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Z:\02 USUARIOS\L. MONDACA\MIS COMPARTIDAS\EDUCACIONAL\TARIFAS\TARIFAS 2022\TRABAJADAS POR DEPTOS 2022\marzo 2022\FINALES MAR 2022\"/>
    </mc:Choice>
  </mc:AlternateContent>
  <bookViews>
    <workbookView xWindow="0" yWindow="0" windowWidth="27570" windowHeight="11880" firstSheet="3" activeTab="7"/>
  </bookViews>
  <sheets>
    <sheet name="Instrucciones" sheetId="14" r:id="rId1"/>
    <sheet name="Índice Tablas" sheetId="11" r:id="rId2"/>
    <sheet name="A) Resumen Ingresos y Egresos" sheetId="2" r:id="rId3"/>
    <sheet name="B) Reajuste Tarifas y Ocupación" sheetId="7" r:id="rId4"/>
    <sheet name="C) Costos Directos" sheetId="3" r:id="rId5"/>
    <sheet name="D) Costos Indirectos" sheetId="13" r:id="rId6"/>
    <sheet name="E) Resumen Tarifado " sheetId="5" r:id="rId7"/>
    <sheet name="F) Remuneraciones" sheetId="12" r:id="rId8"/>
    <sheet name="G) Comparación Mercado" sheetId="1" r:id="rId9"/>
    <sheet name="H) Detalle Datos" sheetId="9" r:id="rId10"/>
    <sheet name="I) Proyección Mensual." sheetId="16" r:id="rId11"/>
  </sheets>
  <externalReferences>
    <externalReference r:id="rId12"/>
    <externalReference r:id="rId13"/>
  </externalReferences>
  <definedNames>
    <definedName name="__xlnm_Print_Area">'A) Resumen Ingresos y Egresos'!$A$1:$N$29</definedName>
    <definedName name="__xlnm_Print_Area_1">'C) Costos Directos'!$A$1:$H$38</definedName>
    <definedName name="__xlnm_Print_Area_2">'E) Resumen Tarifado '!$A$4:$G$12</definedName>
    <definedName name="__xlnm_Print_Titles">'A) Resumen Ingresos y Egresos'!$1:$19</definedName>
    <definedName name="__xlnm_Print_Titles_1">'C) Costos Directos'!$1:$11</definedName>
    <definedName name="__xlnm_Print_Titles_2">NA()</definedName>
    <definedName name="_xlnm.Print_Area" localSheetId="2">'A) Resumen Ingresos y Egresos'!$A$1:$N$29</definedName>
    <definedName name="_xlnm.Print_Area" localSheetId="4">'C) Costos Directos'!$A$1:$H$75</definedName>
    <definedName name="_xlnm.Print_Area" localSheetId="6">'E) Resumen Tarifado '!$A$4:$G$12</definedName>
    <definedName name="bienique1">'A) Resumen Ingresos y Egresos'!$A$8</definedName>
    <definedName name="Excel_BuiltIn_Print_Area" localSheetId="4">'C) Costos Directos'!$A$1:$H$38</definedName>
    <definedName name="Excel_BuiltIn_Print_Area_1_1">NA()</definedName>
    <definedName name="Excel_BuiltIn_Print_Area_4_1">NA()</definedName>
    <definedName name="Excel_BuiltIn_Print_Area_5_1">NA()</definedName>
    <definedName name="Excel_BuiltIn_Print_Titles_4">NA()</definedName>
    <definedName name="Excel_BuiltIn_Print_Titles_5">NA()</definedName>
    <definedName name="_xlnm.Print_Titles" localSheetId="2">'A) Resumen Ingresos y Egresos'!$1:$19</definedName>
    <definedName name="_xlnm.Print_Titles" localSheetId="4">'C) Costos Directos'!$1:$11</definedName>
  </definedNames>
  <calcPr calcId="181029"/>
</workbook>
</file>

<file path=xl/calcChain.xml><?xml version="1.0" encoding="utf-8"?>
<calcChain xmlns="http://schemas.openxmlformats.org/spreadsheetml/2006/main">
  <c r="I26" i="12" l="1"/>
  <c r="F20" i="3"/>
  <c r="G28" i="12"/>
  <c r="G16" i="12"/>
  <c r="G11" i="12"/>
  <c r="F19" i="3"/>
  <c r="F86" i="3"/>
  <c r="F85" i="3"/>
  <c r="W19" i="13" l="1"/>
  <c r="N26" i="3"/>
  <c r="N57" i="3"/>
  <c r="N53" i="3"/>
  <c r="J30" i="12" l="1"/>
  <c r="I30" i="12"/>
  <c r="I29" i="12"/>
  <c r="J27" i="12"/>
  <c r="J29" i="12"/>
  <c r="I28" i="12"/>
  <c r="I27" i="12"/>
  <c r="J26" i="12"/>
  <c r="I11" i="12"/>
  <c r="I20" i="12"/>
  <c r="J18" i="12"/>
  <c r="I18" i="12"/>
  <c r="J14" i="12"/>
  <c r="J15" i="12"/>
  <c r="J17" i="12"/>
  <c r="J13" i="12"/>
  <c r="I14" i="12"/>
  <c r="I15" i="12"/>
  <c r="I16" i="12"/>
  <c r="I17" i="12"/>
  <c r="I13" i="12"/>
  <c r="G20" i="12" l="1"/>
  <c r="G17" i="12" l="1"/>
  <c r="J40" i="9" l="1"/>
  <c r="J39" i="9"/>
  <c r="J16" i="9"/>
  <c r="J15" i="9"/>
  <c r="J14" i="9"/>
  <c r="J4" i="9"/>
  <c r="J17" i="9" l="1"/>
  <c r="W23" i="13"/>
  <c r="L13" i="7" l="1"/>
  <c r="L14" i="7"/>
  <c r="L15" i="7"/>
  <c r="L17" i="7"/>
  <c r="V15" i="5" s="1"/>
  <c r="R15" i="5"/>
  <c r="H15" i="5"/>
  <c r="L15" i="5"/>
  <c r="K15" i="5"/>
  <c r="J15" i="5"/>
  <c r="I15" i="5"/>
  <c r="J23" i="16"/>
  <c r="B23" i="16"/>
  <c r="J11" i="16"/>
  <c r="B11" i="16"/>
  <c r="C18" i="16"/>
  <c r="D18" i="16"/>
  <c r="E18" i="16"/>
  <c r="F18" i="16"/>
  <c r="G18" i="16"/>
  <c r="H18" i="16"/>
  <c r="I18" i="16"/>
  <c r="J18" i="16"/>
  <c r="K18" i="16"/>
  <c r="L18" i="16"/>
  <c r="M18" i="16"/>
  <c r="B18" i="16"/>
  <c r="C6" i="16"/>
  <c r="D6" i="16"/>
  <c r="E6" i="16"/>
  <c r="F6" i="16"/>
  <c r="G6" i="16"/>
  <c r="H6" i="16"/>
  <c r="I6" i="16"/>
  <c r="J6" i="16"/>
  <c r="K6" i="16"/>
  <c r="L6" i="16"/>
  <c r="M6" i="16"/>
  <c r="B6" i="16"/>
  <c r="H12" i="12"/>
  <c r="K12" i="12" s="1"/>
  <c r="H13" i="12"/>
  <c r="H14" i="12"/>
  <c r="K14" i="12" s="1"/>
  <c r="H15" i="12"/>
  <c r="K15" i="12" s="1"/>
  <c r="H16" i="12"/>
  <c r="K16" i="12" s="1"/>
  <c r="H17" i="12"/>
  <c r="K17" i="12" s="1"/>
  <c r="H18" i="12"/>
  <c r="K18" i="12" s="1"/>
  <c r="H20" i="12"/>
  <c r="K20" i="12" s="1"/>
  <c r="H21" i="12"/>
  <c r="K21" i="12" s="1"/>
  <c r="H22" i="12"/>
  <c r="K22" i="12" s="1"/>
  <c r="H23" i="12"/>
  <c r="K23" i="12" s="1"/>
  <c r="H24" i="12"/>
  <c r="K24" i="12" s="1"/>
  <c r="H25" i="12"/>
  <c r="K25" i="12" s="1"/>
  <c r="H26" i="12"/>
  <c r="K26" i="12" s="1"/>
  <c r="H27" i="12"/>
  <c r="K27" i="12" s="1"/>
  <c r="H28" i="12"/>
  <c r="H29" i="12"/>
  <c r="K29" i="12" s="1"/>
  <c r="H30" i="12"/>
  <c r="K30" i="12" s="1"/>
  <c r="H31" i="12"/>
  <c r="K31" i="12" s="1"/>
  <c r="H32" i="12"/>
  <c r="K32" i="12" s="1"/>
  <c r="H33" i="12"/>
  <c r="K33" i="12" s="1"/>
  <c r="H34" i="12"/>
  <c r="K34" i="12" s="1"/>
  <c r="H35" i="12"/>
  <c r="K35" i="12" s="1"/>
  <c r="H36" i="12"/>
  <c r="K36" i="12" s="1"/>
  <c r="H37" i="12"/>
  <c r="K37" i="12" s="1"/>
  <c r="H38" i="12"/>
  <c r="K38" i="12" s="1"/>
  <c r="H39" i="12"/>
  <c r="K39" i="12" s="1"/>
  <c r="H40" i="12"/>
  <c r="K40" i="12" s="1"/>
  <c r="H11" i="12"/>
  <c r="M23" i="16" l="1"/>
  <c r="G22" i="16"/>
  <c r="K28" i="12"/>
  <c r="D10" i="16"/>
  <c r="K22" i="16"/>
  <c r="C22" i="16"/>
  <c r="K13" i="12"/>
  <c r="E10" i="16"/>
  <c r="M11" i="16"/>
  <c r="B22" i="16"/>
  <c r="J22" i="16"/>
  <c r="F22" i="16"/>
  <c r="M22" i="16"/>
  <c r="I22" i="16"/>
  <c r="E22" i="16"/>
  <c r="L22" i="16"/>
  <c r="H22" i="16"/>
  <c r="D22" i="16"/>
  <c r="K10" i="16"/>
  <c r="G10" i="16"/>
  <c r="C10" i="16"/>
  <c r="H10" i="16"/>
  <c r="B10" i="16"/>
  <c r="J10" i="16"/>
  <c r="F10" i="16"/>
  <c r="L10" i="16"/>
  <c r="K11" i="12"/>
  <c r="M10" i="16"/>
  <c r="I10" i="16"/>
  <c r="L11" i="12" l="1"/>
  <c r="J37" i="2"/>
  <c r="K37" i="2"/>
  <c r="F37" i="2" s="1"/>
  <c r="L37" i="2"/>
  <c r="G37" i="2" s="1"/>
  <c r="M37" i="2"/>
  <c r="H37" i="2" s="1"/>
  <c r="I37" i="2"/>
  <c r="P38" i="2"/>
  <c r="D38" i="2"/>
  <c r="M36" i="2"/>
  <c r="H36" i="2" s="1"/>
  <c r="L36" i="2"/>
  <c r="G36" i="2" s="1"/>
  <c r="K36" i="2"/>
  <c r="F36" i="2" s="1"/>
  <c r="J36" i="2"/>
  <c r="E36" i="2" s="1"/>
  <c r="I36" i="2"/>
  <c r="N23" i="16"/>
  <c r="I38" i="2" l="1"/>
  <c r="J38" i="2"/>
  <c r="H38" i="2"/>
  <c r="G38" i="2"/>
  <c r="N38" i="2" s="1"/>
  <c r="F38" i="2"/>
  <c r="L38" i="2"/>
  <c r="E37" i="2"/>
  <c r="E38" i="2" s="1"/>
  <c r="N10" i="16"/>
  <c r="N22" i="16"/>
  <c r="M38" i="2"/>
  <c r="K38" i="2"/>
  <c r="N11" i="16"/>
  <c r="Q17" i="7"/>
  <c r="G15" i="5" s="1"/>
  <c r="Q15" i="5" s="1"/>
  <c r="M17" i="7"/>
  <c r="C15" i="5" s="1"/>
  <c r="M15" i="5" s="1"/>
  <c r="O38" i="2" l="1"/>
  <c r="Q38" i="2" s="1"/>
  <c r="A78" i="3" l="1"/>
  <c r="M15" i="7"/>
  <c r="R13" i="5" l="1"/>
  <c r="V13" i="5"/>
  <c r="H13" i="5"/>
  <c r="W41" i="13"/>
  <c r="W46" i="13"/>
  <c r="G15" i="7" l="1"/>
  <c r="Q15" i="7" s="1"/>
  <c r="F15" i="7"/>
  <c r="E15" i="7"/>
  <c r="J13" i="5" s="1"/>
  <c r="D15" i="7"/>
  <c r="I13" i="5" s="1"/>
  <c r="I15" i="7"/>
  <c r="J15" i="7"/>
  <c r="K15" i="7"/>
  <c r="U13" i="5" s="1"/>
  <c r="I17" i="7"/>
  <c r="S15" i="5" s="1"/>
  <c r="J17" i="7"/>
  <c r="T15" i="5" s="1"/>
  <c r="K17" i="7"/>
  <c r="U15" i="5" s="1"/>
  <c r="N17" i="7" l="1"/>
  <c r="D15" i="5" s="1"/>
  <c r="N15" i="5" s="1"/>
  <c r="P17" i="7"/>
  <c r="F15" i="5" s="1"/>
  <c r="P15" i="5" s="1"/>
  <c r="O17" i="7"/>
  <c r="E15" i="5" s="1"/>
  <c r="O15" i="5" s="1"/>
  <c r="O15" i="7"/>
  <c r="T13" i="5"/>
  <c r="P15" i="7"/>
  <c r="K13" i="5"/>
  <c r="N15" i="7"/>
  <c r="S13" i="5"/>
  <c r="L13" i="5"/>
  <c r="I30" i="2"/>
  <c r="M30" i="2" l="1"/>
  <c r="L30" i="2"/>
  <c r="K30" i="2"/>
  <c r="J30" i="2"/>
  <c r="P43" i="3" l="1"/>
  <c r="D119" i="3" s="1"/>
  <c r="O43" i="3"/>
  <c r="D53" i="3" s="1"/>
  <c r="P61" i="3"/>
  <c r="D138" i="3" s="1"/>
  <c r="O61" i="3"/>
  <c r="D72" i="3" s="1"/>
  <c r="P60" i="3"/>
  <c r="D137" i="3" s="1"/>
  <c r="O60" i="3"/>
  <c r="D71" i="3" s="1"/>
  <c r="P59" i="3"/>
  <c r="D136" i="3" s="1"/>
  <c r="O59" i="3"/>
  <c r="D70" i="3" s="1"/>
  <c r="P58" i="3"/>
  <c r="D135" i="3" s="1"/>
  <c r="O58" i="3"/>
  <c r="D69" i="3" s="1"/>
  <c r="P57" i="3"/>
  <c r="D134" i="3" s="1"/>
  <c r="O57" i="3"/>
  <c r="D68" i="3" s="1"/>
  <c r="P56" i="3"/>
  <c r="D133" i="3" s="1"/>
  <c r="O56" i="3"/>
  <c r="D67" i="3" s="1"/>
  <c r="P55" i="3"/>
  <c r="D132" i="3" s="1"/>
  <c r="O55" i="3"/>
  <c r="D66" i="3" s="1"/>
  <c r="P53" i="3"/>
  <c r="D130" i="3" s="1"/>
  <c r="O53" i="3"/>
  <c r="D64" i="3" s="1"/>
  <c r="P52" i="3"/>
  <c r="D129" i="3" s="1"/>
  <c r="O52" i="3"/>
  <c r="D63" i="3" s="1"/>
  <c r="P51" i="3"/>
  <c r="D128" i="3" s="1"/>
  <c r="O51" i="3"/>
  <c r="D62" i="3" s="1"/>
  <c r="P50" i="3"/>
  <c r="D126" i="3" s="1"/>
  <c r="O50" i="3"/>
  <c r="D60" i="3" s="1"/>
  <c r="P49" i="3"/>
  <c r="D125" i="3" s="1"/>
  <c r="O49" i="3"/>
  <c r="D59" i="3" s="1"/>
  <c r="P48" i="3"/>
  <c r="D124" i="3" s="1"/>
  <c r="O48" i="3"/>
  <c r="D58" i="3" s="1"/>
  <c r="P47" i="3"/>
  <c r="D123" i="3" s="1"/>
  <c r="O47" i="3"/>
  <c r="D57" i="3" s="1"/>
  <c r="P45" i="3"/>
  <c r="D121" i="3" s="1"/>
  <c r="O45" i="3"/>
  <c r="D55" i="3" s="1"/>
  <c r="P44" i="3"/>
  <c r="D120" i="3" s="1"/>
  <c r="O44" i="3"/>
  <c r="D54" i="3" s="1"/>
  <c r="P42" i="3"/>
  <c r="D118" i="3" s="1"/>
  <c r="O42" i="3"/>
  <c r="D52" i="3" s="1"/>
  <c r="P41" i="3"/>
  <c r="D117" i="3" s="1"/>
  <c r="O41" i="3"/>
  <c r="D51" i="3" s="1"/>
  <c r="P40" i="3"/>
  <c r="D116" i="3" s="1"/>
  <c r="O40" i="3"/>
  <c r="D50" i="3" s="1"/>
  <c r="P39" i="3"/>
  <c r="D115" i="3" s="1"/>
  <c r="P38" i="3"/>
  <c r="D114" i="3" s="1"/>
  <c r="O38" i="3"/>
  <c r="D48" i="3" s="1"/>
  <c r="P36" i="3"/>
  <c r="D112" i="3" s="1"/>
  <c r="D111" i="3" s="1"/>
  <c r="O36" i="3"/>
  <c r="D46" i="3" s="1"/>
  <c r="P34" i="3"/>
  <c r="D110" i="3" s="1"/>
  <c r="O34" i="3"/>
  <c r="D44" i="3" s="1"/>
  <c r="P33" i="3"/>
  <c r="D109" i="3" s="1"/>
  <c r="O33" i="3"/>
  <c r="D43" i="3" s="1"/>
  <c r="P30" i="3"/>
  <c r="D104" i="3" s="1"/>
  <c r="O30" i="3"/>
  <c r="D38" i="3" s="1"/>
  <c r="P29" i="3"/>
  <c r="D103" i="3" s="1"/>
  <c r="O29" i="3"/>
  <c r="D37" i="3" s="1"/>
  <c r="P28" i="3"/>
  <c r="D102" i="3" s="1"/>
  <c r="O28" i="3"/>
  <c r="D36" i="3" s="1"/>
  <c r="P27" i="3"/>
  <c r="D101" i="3" s="1"/>
  <c r="O27" i="3"/>
  <c r="D35" i="3" s="1"/>
  <c r="P26" i="3"/>
  <c r="D100" i="3" s="1"/>
  <c r="O26" i="3"/>
  <c r="D34" i="3" s="1"/>
  <c r="P25" i="3"/>
  <c r="D99" i="3" s="1"/>
  <c r="O25" i="3"/>
  <c r="D33" i="3" s="1"/>
  <c r="P24" i="3"/>
  <c r="D98" i="3" s="1"/>
  <c r="P23" i="3"/>
  <c r="D97" i="3" s="1"/>
  <c r="O23" i="3"/>
  <c r="D31" i="3" s="1"/>
  <c r="P22" i="3"/>
  <c r="D96" i="3" s="1"/>
  <c r="O22" i="3"/>
  <c r="D30" i="3" s="1"/>
  <c r="P21" i="3"/>
  <c r="D95" i="3" s="1"/>
  <c r="O21" i="3"/>
  <c r="D29" i="3" s="1"/>
  <c r="P20" i="3"/>
  <c r="D94" i="3" s="1"/>
  <c r="O20" i="3"/>
  <c r="D28" i="3" s="1"/>
  <c r="P19" i="3"/>
  <c r="D93" i="3" s="1"/>
  <c r="O19" i="3"/>
  <c r="D27" i="3" s="1"/>
  <c r="P18" i="3"/>
  <c r="D92" i="3" s="1"/>
  <c r="O18" i="3"/>
  <c r="P17" i="3"/>
  <c r="D91" i="3" s="1"/>
  <c r="P16" i="3"/>
  <c r="D90" i="3" s="1"/>
  <c r="O16" i="3"/>
  <c r="D24" i="3" s="1"/>
  <c r="P15" i="3"/>
  <c r="D89" i="3" s="1"/>
  <c r="O15" i="3"/>
  <c r="D23" i="3" s="1"/>
  <c r="P14" i="3"/>
  <c r="D88" i="3" s="1"/>
  <c r="O14" i="3"/>
  <c r="D22" i="3" s="1"/>
  <c r="G140" i="3"/>
  <c r="G139" i="3" s="1"/>
  <c r="D139" i="3"/>
  <c r="G138" i="3"/>
  <c r="G137" i="3"/>
  <c r="G136" i="3"/>
  <c r="G135" i="3"/>
  <c r="G134" i="3"/>
  <c r="G133" i="3"/>
  <c r="G132" i="3"/>
  <c r="G130" i="3"/>
  <c r="G129" i="3"/>
  <c r="G128" i="3"/>
  <c r="G126" i="3"/>
  <c r="G125" i="3"/>
  <c r="G124" i="3"/>
  <c r="G123" i="3"/>
  <c r="G121" i="3"/>
  <c r="G120" i="3"/>
  <c r="G119" i="3"/>
  <c r="G118" i="3"/>
  <c r="G117" i="3"/>
  <c r="G116" i="3"/>
  <c r="G115" i="3"/>
  <c r="G114" i="3"/>
  <c r="G112" i="3"/>
  <c r="G111" i="3" s="1"/>
  <c r="G110" i="3"/>
  <c r="G109" i="3"/>
  <c r="G108" i="3"/>
  <c r="H108" i="3" s="1"/>
  <c r="G107" i="3"/>
  <c r="H107" i="3" s="1"/>
  <c r="G104" i="3"/>
  <c r="G103" i="3"/>
  <c r="G102" i="3"/>
  <c r="G101" i="3"/>
  <c r="G100" i="3"/>
  <c r="G99" i="3"/>
  <c r="G98" i="3"/>
  <c r="G97" i="3"/>
  <c r="G96" i="3"/>
  <c r="G95" i="3"/>
  <c r="G94" i="3"/>
  <c r="G93" i="3"/>
  <c r="G92" i="3"/>
  <c r="G91" i="3"/>
  <c r="G90" i="3"/>
  <c r="G89" i="3"/>
  <c r="G88" i="3"/>
  <c r="G87" i="3"/>
  <c r="H87" i="3" s="1"/>
  <c r="G86" i="3"/>
  <c r="H86" i="3" s="1"/>
  <c r="G85" i="3"/>
  <c r="H85" i="3" s="1"/>
  <c r="G83" i="3"/>
  <c r="H83" i="3" s="1"/>
  <c r="G82" i="3"/>
  <c r="G81" i="3"/>
  <c r="H81" i="3" s="1"/>
  <c r="G80" i="3"/>
  <c r="D106" i="3" l="1"/>
  <c r="H109" i="3"/>
  <c r="H110" i="3"/>
  <c r="H89" i="3"/>
  <c r="H90" i="3"/>
  <c r="H100" i="3"/>
  <c r="H115" i="3"/>
  <c r="H133" i="3"/>
  <c r="H137" i="3"/>
  <c r="H135" i="3"/>
  <c r="D122" i="3"/>
  <c r="D131" i="3"/>
  <c r="H88" i="3"/>
  <c r="H104" i="3"/>
  <c r="H114" i="3"/>
  <c r="D113" i="3"/>
  <c r="H93" i="3"/>
  <c r="H97" i="3"/>
  <c r="H101" i="3"/>
  <c r="H124" i="3"/>
  <c r="H128" i="3"/>
  <c r="H94" i="3"/>
  <c r="H98" i="3"/>
  <c r="H120" i="3"/>
  <c r="H91" i="3"/>
  <c r="H95" i="3"/>
  <c r="H103" i="3"/>
  <c r="H117" i="3"/>
  <c r="H121" i="3"/>
  <c r="H126" i="3"/>
  <c r="H130" i="3"/>
  <c r="H138" i="3"/>
  <c r="H136" i="3"/>
  <c r="H134" i="3"/>
  <c r="H125" i="3"/>
  <c r="H129" i="3"/>
  <c r="H119" i="3"/>
  <c r="H116" i="3"/>
  <c r="H118" i="3"/>
  <c r="H102" i="3"/>
  <c r="H99" i="3"/>
  <c r="D84" i="3"/>
  <c r="H92" i="3"/>
  <c r="H96" i="3"/>
  <c r="G79" i="3"/>
  <c r="O39" i="3"/>
  <c r="D49" i="3" s="1"/>
  <c r="O24" i="3"/>
  <c r="D32" i="3" s="1"/>
  <c r="O17" i="3"/>
  <c r="D25" i="3" s="1"/>
  <c r="G113" i="3"/>
  <c r="G131" i="3"/>
  <c r="G106" i="3"/>
  <c r="H106" i="3"/>
  <c r="G84" i="3"/>
  <c r="H132" i="3"/>
  <c r="H112" i="3"/>
  <c r="H111" i="3" s="1"/>
  <c r="H123" i="3"/>
  <c r="H140" i="3"/>
  <c r="H139" i="3" s="1"/>
  <c r="D18" i="3" l="1"/>
  <c r="H131" i="3"/>
  <c r="H113" i="3"/>
  <c r="H84" i="3"/>
  <c r="G78" i="3"/>
  <c r="B26" i="12" l="1"/>
  <c r="E13" i="5"/>
  <c r="O13" i="5" s="1"/>
  <c r="G13" i="5"/>
  <c r="Q13" i="5" s="1"/>
  <c r="C13" i="5"/>
  <c r="M13" i="5" s="1"/>
  <c r="A13" i="5"/>
  <c r="B15" i="5"/>
  <c r="B14" i="5"/>
  <c r="B13" i="5"/>
  <c r="A30" i="2"/>
  <c r="A20" i="16" s="1"/>
  <c r="A10" i="2"/>
  <c r="J31" i="2"/>
  <c r="K31" i="2"/>
  <c r="F31" i="2" s="1"/>
  <c r="L31" i="2"/>
  <c r="G31" i="2" s="1"/>
  <c r="M31" i="2"/>
  <c r="H31" i="2" s="1"/>
  <c r="I31" i="2"/>
  <c r="I32" i="2" s="1"/>
  <c r="B36" i="2"/>
  <c r="P35" i="2"/>
  <c r="M35" i="2"/>
  <c r="J35" i="2"/>
  <c r="I35" i="2"/>
  <c r="E35" i="2"/>
  <c r="D35" i="2"/>
  <c r="L35" i="2"/>
  <c r="F35" i="2"/>
  <c r="H35" i="2"/>
  <c r="G35" i="2"/>
  <c r="B33" i="2"/>
  <c r="P32" i="2"/>
  <c r="D32" i="2"/>
  <c r="G30" i="2"/>
  <c r="F30" i="2"/>
  <c r="E30" i="2"/>
  <c r="B30" i="2"/>
  <c r="B29" i="7"/>
  <c r="B30" i="7"/>
  <c r="B31" i="7"/>
  <c r="A29" i="7"/>
  <c r="H31" i="7"/>
  <c r="H29" i="7"/>
  <c r="F13" i="5"/>
  <c r="P13" i="5" s="1"/>
  <c r="D13" i="5"/>
  <c r="N13" i="5" s="1"/>
  <c r="M32" i="2" l="1"/>
  <c r="M39" i="2" s="1"/>
  <c r="I31" i="7"/>
  <c r="F127" i="3" s="1"/>
  <c r="G127" i="3" s="1"/>
  <c r="H30" i="2"/>
  <c r="H32" i="2" s="1"/>
  <c r="F32" i="2"/>
  <c r="G32" i="2"/>
  <c r="I39" i="2"/>
  <c r="J32" i="2"/>
  <c r="L26" i="12"/>
  <c r="L32" i="2"/>
  <c r="E32" i="2"/>
  <c r="D39" i="2"/>
  <c r="P39" i="2"/>
  <c r="D10" i="2" s="1"/>
  <c r="N35" i="2"/>
  <c r="K32" i="2"/>
  <c r="K35" i="2"/>
  <c r="O35" i="2" s="1"/>
  <c r="H127" i="3" l="1"/>
  <c r="H122" i="3" s="1"/>
  <c r="H105" i="3" s="1"/>
  <c r="G122" i="3"/>
  <c r="G105" i="3" s="1"/>
  <c r="G141" i="3" s="1"/>
  <c r="G17" i="16"/>
  <c r="K17" i="16"/>
  <c r="F17" i="16"/>
  <c r="H17" i="16"/>
  <c r="L17" i="16"/>
  <c r="E17" i="16"/>
  <c r="I17" i="16"/>
  <c r="M17" i="16"/>
  <c r="J17" i="16"/>
  <c r="D17" i="16"/>
  <c r="D80" i="3"/>
  <c r="H80" i="3" s="1"/>
  <c r="L41" i="12"/>
  <c r="H82" i="3"/>
  <c r="J39" i="2"/>
  <c r="G39" i="2"/>
  <c r="F39" i="2"/>
  <c r="H39" i="2"/>
  <c r="L39" i="2"/>
  <c r="O32" i="2"/>
  <c r="Q35" i="2"/>
  <c r="E39" i="2"/>
  <c r="N32" i="2"/>
  <c r="K39" i="2"/>
  <c r="K140" i="3" l="1"/>
  <c r="D79" i="3"/>
  <c r="D78" i="3" s="1"/>
  <c r="D141" i="3" s="1"/>
  <c r="N39" i="2"/>
  <c r="H79" i="3"/>
  <c r="H78" i="3" s="1"/>
  <c r="H141" i="3" s="1"/>
  <c r="O39" i="2"/>
  <c r="C10" i="2" s="1"/>
  <c r="Q32" i="2"/>
  <c r="Q39" i="2" s="1"/>
  <c r="B10" i="2" l="1"/>
  <c r="E10" i="2" s="1"/>
  <c r="C21" i="16"/>
  <c r="G21" i="16"/>
  <c r="K21" i="16"/>
  <c r="D21" i="16"/>
  <c r="H21" i="16"/>
  <c r="L21" i="16"/>
  <c r="E21" i="16"/>
  <c r="I21" i="16"/>
  <c r="M21" i="16"/>
  <c r="F21" i="16"/>
  <c r="J21" i="16"/>
  <c r="B21" i="16"/>
  <c r="F10" i="2"/>
  <c r="D24" i="16"/>
  <c r="H24" i="16"/>
  <c r="L24" i="16"/>
  <c r="E24" i="16"/>
  <c r="I24" i="16"/>
  <c r="M24" i="16"/>
  <c r="F24" i="16"/>
  <c r="J24" i="16"/>
  <c r="B24" i="16"/>
  <c r="C24" i="16"/>
  <c r="G24" i="16"/>
  <c r="K24" i="16"/>
  <c r="N21" i="16" l="1"/>
  <c r="H12" i="5"/>
  <c r="I12" i="5"/>
  <c r="J12" i="5"/>
  <c r="K12" i="5"/>
  <c r="L12" i="5"/>
  <c r="R12" i="5"/>
  <c r="M14" i="7"/>
  <c r="V12" i="5"/>
  <c r="K14" i="7"/>
  <c r="P14" i="7" s="1"/>
  <c r="J14" i="7"/>
  <c r="O14" i="7" s="1"/>
  <c r="I14" i="7"/>
  <c r="S12" i="5" s="1"/>
  <c r="T12" i="5" l="1"/>
  <c r="N14" i="7"/>
  <c r="U12" i="5"/>
  <c r="Q14" i="7"/>
  <c r="B23" i="2"/>
  <c r="J24" i="2" l="1"/>
  <c r="K24" i="2"/>
  <c r="L24" i="2"/>
  <c r="M24" i="2"/>
  <c r="I24" i="2"/>
  <c r="Q17" i="1"/>
  <c r="B17" i="1"/>
  <c r="R11" i="5"/>
  <c r="H11" i="5"/>
  <c r="I11" i="5"/>
  <c r="J11" i="5"/>
  <c r="K11" i="5"/>
  <c r="L11" i="5"/>
  <c r="B11" i="5"/>
  <c r="P23" i="2"/>
  <c r="H27" i="7"/>
  <c r="M13" i="7"/>
  <c r="C11" i="5" s="1"/>
  <c r="M11" i="5" s="1"/>
  <c r="Q13" i="7"/>
  <c r="M23" i="2" s="1"/>
  <c r="K13" i="7"/>
  <c r="P13" i="7" s="1"/>
  <c r="F17" i="1" s="1"/>
  <c r="J13" i="7"/>
  <c r="O13" i="7" s="1"/>
  <c r="E17" i="1" s="1"/>
  <c r="I13" i="7"/>
  <c r="N13" i="7" l="1"/>
  <c r="J23" i="2" s="1"/>
  <c r="V11" i="5"/>
  <c r="K17" i="1"/>
  <c r="T11" i="5"/>
  <c r="U11" i="5"/>
  <c r="S11" i="5"/>
  <c r="F11" i="5"/>
  <c r="P11" i="5" s="1"/>
  <c r="L23" i="2"/>
  <c r="E11" i="5"/>
  <c r="O11" i="5" s="1"/>
  <c r="G17" i="1"/>
  <c r="L17" i="1" s="1"/>
  <c r="C17" i="1"/>
  <c r="H17" i="1" s="1"/>
  <c r="K23" i="2"/>
  <c r="I23" i="2"/>
  <c r="G11" i="5"/>
  <c r="Q11" i="5" s="1"/>
  <c r="J17" i="1"/>
  <c r="B27" i="7"/>
  <c r="B28" i="7"/>
  <c r="D11" i="5" l="1"/>
  <c r="N11" i="5" s="1"/>
  <c r="D17" i="1"/>
  <c r="I17" i="1" s="1"/>
  <c r="P25" i="2"/>
  <c r="M25" i="2"/>
  <c r="K25" i="2"/>
  <c r="I25" i="2"/>
  <c r="L25" i="2"/>
  <c r="E23" i="2"/>
  <c r="G24" i="2"/>
  <c r="E24" i="2"/>
  <c r="H23" i="2"/>
  <c r="F23" i="2"/>
  <c r="D23" i="2"/>
  <c r="E25" i="2" l="1"/>
  <c r="J25" i="2"/>
  <c r="G23" i="2"/>
  <c r="G25" i="2" s="1"/>
  <c r="F24" i="2"/>
  <c r="F25" i="2" s="1"/>
  <c r="D24" i="2"/>
  <c r="D25" i="2" s="1"/>
  <c r="H24" i="2"/>
  <c r="H25" i="2" s="1"/>
  <c r="O25" i="2" l="1"/>
  <c r="N25" i="2"/>
  <c r="Q25" i="2" l="1"/>
  <c r="G20" i="3"/>
  <c r="H20" i="3" s="1"/>
  <c r="G21" i="3"/>
  <c r="H21" i="3" s="1"/>
  <c r="I12" i="7" l="1"/>
  <c r="N12" i="7" s="1"/>
  <c r="M12" i="7" l="1"/>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15" i="13"/>
  <c r="J48" i="13"/>
  <c r="K48" i="13" s="1"/>
  <c r="J47" i="13"/>
  <c r="K47" i="13" s="1"/>
  <c r="J46" i="13"/>
  <c r="K46" i="13" s="1"/>
  <c r="R46" i="13" s="1"/>
  <c r="J45" i="13"/>
  <c r="K45" i="13" s="1"/>
  <c r="J44" i="13"/>
  <c r="K44" i="13" s="1"/>
  <c r="J43" i="13"/>
  <c r="K43" i="13" s="1"/>
  <c r="J42" i="13"/>
  <c r="K42" i="13" s="1"/>
  <c r="R42" i="13" s="1"/>
  <c r="J41" i="13"/>
  <c r="K41" i="13" s="1"/>
  <c r="J53" i="13"/>
  <c r="K53" i="13" s="1"/>
  <c r="R53" i="13" s="1"/>
  <c r="J52" i="13"/>
  <c r="K52" i="13" s="1"/>
  <c r="J51" i="13"/>
  <c r="K51" i="13" s="1"/>
  <c r="J50" i="13"/>
  <c r="K50" i="13" s="1"/>
  <c r="R45" i="13" l="1"/>
  <c r="P45" i="13"/>
  <c r="N45" i="13"/>
  <c r="N48" i="13"/>
  <c r="R48" i="13"/>
  <c r="P48" i="13"/>
  <c r="P43" i="13"/>
  <c r="N43" i="13"/>
  <c r="R43" i="13"/>
  <c r="R41" i="13"/>
  <c r="P41" i="13"/>
  <c r="N41" i="13"/>
  <c r="N44" i="13"/>
  <c r="R44" i="13"/>
  <c r="P44" i="13"/>
  <c r="P47" i="13"/>
  <c r="N47" i="13"/>
  <c r="R47" i="13"/>
  <c r="N42" i="13"/>
  <c r="N46" i="13"/>
  <c r="P42" i="13"/>
  <c r="P46" i="13"/>
  <c r="N51" i="13"/>
  <c r="R51" i="13"/>
  <c r="P51" i="13"/>
  <c r="R52" i="13"/>
  <c r="P52" i="13"/>
  <c r="N52" i="13"/>
  <c r="P50" i="13"/>
  <c r="N50" i="13"/>
  <c r="R50" i="13"/>
  <c r="N53" i="13"/>
  <c r="P53" i="13"/>
  <c r="Q16" i="1"/>
  <c r="R10" i="5"/>
  <c r="J10" i="5"/>
  <c r="K10" i="5"/>
  <c r="L10" i="5"/>
  <c r="W78" i="13"/>
  <c r="W70" i="13"/>
  <c r="W60" i="13"/>
  <c r="W49" i="13"/>
  <c r="W20" i="13"/>
  <c r="W16" i="13"/>
  <c r="J69" i="13"/>
  <c r="K69" i="13" s="1"/>
  <c r="J68" i="13"/>
  <c r="K68" i="13" s="1"/>
  <c r="J67" i="13"/>
  <c r="K67" i="13" s="1"/>
  <c r="J66" i="13"/>
  <c r="K66" i="13" s="1"/>
  <c r="J65" i="13"/>
  <c r="K65" i="13" s="1"/>
  <c r="J61" i="13"/>
  <c r="K61" i="13" s="1"/>
  <c r="J60" i="13"/>
  <c r="K60" i="13" s="1"/>
  <c r="J59" i="13"/>
  <c r="K59" i="13" s="1"/>
  <c r="J58" i="13"/>
  <c r="K58" i="13" s="1"/>
  <c r="J57" i="13"/>
  <c r="K57" i="13" s="1"/>
  <c r="J56" i="13"/>
  <c r="K56" i="13" s="1"/>
  <c r="J55" i="13"/>
  <c r="K55" i="13" s="1"/>
  <c r="J54" i="13"/>
  <c r="K54" i="13" s="1"/>
  <c r="J49" i="13"/>
  <c r="K49" i="13" s="1"/>
  <c r="P49" i="13" s="1"/>
  <c r="J40" i="13"/>
  <c r="K40" i="13" s="1"/>
  <c r="J39" i="13"/>
  <c r="K39" i="13" s="1"/>
  <c r="J38" i="13"/>
  <c r="K38" i="13" s="1"/>
  <c r="R38" i="13" s="1"/>
  <c r="J37" i="13"/>
  <c r="K37" i="13" s="1"/>
  <c r="J36" i="13"/>
  <c r="K36" i="13" s="1"/>
  <c r="J35" i="13"/>
  <c r="K35" i="13" s="1"/>
  <c r="J34" i="13"/>
  <c r="K34" i="13" s="1"/>
  <c r="J33" i="13"/>
  <c r="K33" i="13" s="1"/>
  <c r="J32" i="13"/>
  <c r="K32" i="13" s="1"/>
  <c r="J31" i="13"/>
  <c r="K31" i="13" s="1"/>
  <c r="J30" i="13"/>
  <c r="K30" i="13" s="1"/>
  <c r="J29" i="13"/>
  <c r="K29" i="13" s="1"/>
  <c r="J28" i="13"/>
  <c r="K28" i="13" s="1"/>
  <c r="J27" i="13"/>
  <c r="K27" i="13" s="1"/>
  <c r="J26" i="13"/>
  <c r="K26" i="13" s="1"/>
  <c r="J25" i="13"/>
  <c r="K25" i="13" s="1"/>
  <c r="J24" i="13"/>
  <c r="K24" i="13" s="1"/>
  <c r="J23" i="13"/>
  <c r="K23" i="13" s="1"/>
  <c r="J22" i="13"/>
  <c r="K22" i="13" s="1"/>
  <c r="J21" i="13"/>
  <c r="K21" i="13" s="1"/>
  <c r="J20" i="13"/>
  <c r="K20" i="13" s="1"/>
  <c r="J19" i="13"/>
  <c r="K19" i="13" s="1"/>
  <c r="J18" i="13"/>
  <c r="K18" i="13" s="1"/>
  <c r="J17" i="13"/>
  <c r="K17" i="13" s="1"/>
  <c r="J16" i="13"/>
  <c r="K16" i="13" s="1"/>
  <c r="J15" i="13"/>
  <c r="K15" i="13" s="1"/>
  <c r="E4" i="13"/>
  <c r="W40" i="13" l="1"/>
  <c r="K70" i="13"/>
  <c r="K62" i="13"/>
  <c r="N15" i="13"/>
  <c r="P15" i="13"/>
  <c r="W15" i="13"/>
  <c r="R34" i="13"/>
  <c r="P60" i="13"/>
  <c r="P61" i="13"/>
  <c r="N57" i="13"/>
  <c r="R61" i="13"/>
  <c r="P57" i="13"/>
  <c r="P56" i="13"/>
  <c r="N56" i="13"/>
  <c r="N28" i="13"/>
  <c r="P28" i="13"/>
  <c r="R19" i="13"/>
  <c r="P22" i="13"/>
  <c r="N25" i="13"/>
  <c r="N29" i="13"/>
  <c r="N37" i="13"/>
  <c r="R22" i="13"/>
  <c r="P25" i="13"/>
  <c r="P29" i="13"/>
  <c r="R33" i="13"/>
  <c r="R37" i="13"/>
  <c r="R57" i="13"/>
  <c r="R29" i="13"/>
  <c r="R15" i="13"/>
  <c r="R17" i="13"/>
  <c r="P17" i="13"/>
  <c r="N17" i="13"/>
  <c r="N18" i="13"/>
  <c r="P18" i="13"/>
  <c r="P55" i="13"/>
  <c r="N55" i="13"/>
  <c r="R55" i="13"/>
  <c r="R16" i="13"/>
  <c r="P16" i="13"/>
  <c r="N16" i="13"/>
  <c r="R18" i="13"/>
  <c r="P21" i="13"/>
  <c r="R21" i="13"/>
  <c r="N21" i="13"/>
  <c r="N26" i="13"/>
  <c r="P26" i="13"/>
  <c r="R26" i="13"/>
  <c r="N30" i="13"/>
  <c r="R30" i="13"/>
  <c r="P30" i="13"/>
  <c r="P31" i="13"/>
  <c r="R31" i="13"/>
  <c r="N31" i="13"/>
  <c r="P39" i="13"/>
  <c r="R39" i="13"/>
  <c r="N39" i="13"/>
  <c r="R40" i="13"/>
  <c r="P40" i="13"/>
  <c r="N40" i="13"/>
  <c r="N54" i="13"/>
  <c r="P54" i="13"/>
  <c r="R32" i="13"/>
  <c r="N32" i="13"/>
  <c r="P32" i="13"/>
  <c r="R54" i="13"/>
  <c r="P59" i="13"/>
  <c r="R59" i="13"/>
  <c r="N59" i="13"/>
  <c r="P27" i="13"/>
  <c r="N27" i="13"/>
  <c r="R27" i="13"/>
  <c r="R36" i="13"/>
  <c r="P36" i="13"/>
  <c r="N36" i="13"/>
  <c r="N58" i="13"/>
  <c r="R58" i="13"/>
  <c r="P58" i="13"/>
  <c r="R20" i="13"/>
  <c r="P20" i="13"/>
  <c r="P23" i="13"/>
  <c r="R24" i="13"/>
  <c r="P35" i="13"/>
  <c r="P19" i="13"/>
  <c r="N20" i="13"/>
  <c r="N23" i="13"/>
  <c r="N24" i="13"/>
  <c r="N33" i="13"/>
  <c r="N34" i="13"/>
  <c r="N35" i="13"/>
  <c r="N38" i="13"/>
  <c r="R49" i="13"/>
  <c r="N19" i="13"/>
  <c r="N22" i="13"/>
  <c r="R23" i="13"/>
  <c r="P24" i="13"/>
  <c r="R25" i="13"/>
  <c r="P33" i="13"/>
  <c r="P34" i="13"/>
  <c r="R35" i="13"/>
  <c r="P37" i="13"/>
  <c r="P38" i="13"/>
  <c r="N49" i="13"/>
  <c r="R60" i="13"/>
  <c r="R28" i="13"/>
  <c r="R56" i="13"/>
  <c r="N60" i="13"/>
  <c r="N61" i="13"/>
  <c r="I21" i="2"/>
  <c r="W80" i="13" l="1"/>
  <c r="R62" i="13"/>
  <c r="P62" i="13"/>
  <c r="N62" i="13"/>
  <c r="O62" i="13" l="1"/>
  <c r="AB15" i="13" s="1"/>
  <c r="AI15" i="13" s="1"/>
  <c r="AJ15" i="13" s="1"/>
  <c r="AC15" i="13"/>
  <c r="M62" i="13"/>
  <c r="Z15" i="13" s="1"/>
  <c r="AG15" i="13" s="1"/>
  <c r="AH15" i="13" s="1"/>
  <c r="AA15" i="13"/>
  <c r="Q62" i="13"/>
  <c r="AD15" i="13" s="1"/>
  <c r="AK15" i="13" s="1"/>
  <c r="AL15" i="13" s="1"/>
  <c r="AE15" i="13"/>
  <c r="I20" i="2"/>
  <c r="AP15" i="13" l="1"/>
  <c r="AN15" i="13"/>
  <c r="AR15" i="13"/>
  <c r="C12" i="5"/>
  <c r="M12" i="5" s="1"/>
  <c r="C18" i="1"/>
  <c r="D16" i="1"/>
  <c r="I16" i="1" s="1"/>
  <c r="S10" i="5"/>
  <c r="L12" i="7"/>
  <c r="Q12" i="7" s="1"/>
  <c r="K12" i="7"/>
  <c r="P12" i="7" s="1"/>
  <c r="F16" i="1" l="1"/>
  <c r="K16" i="1" s="1"/>
  <c r="U10" i="5"/>
  <c r="G16" i="1"/>
  <c r="L16" i="1" s="1"/>
  <c r="V10" i="5"/>
  <c r="P20" i="2"/>
  <c r="E12" i="5" l="1"/>
  <c r="O12" i="5" s="1"/>
  <c r="E18" i="1"/>
  <c r="G12" i="5"/>
  <c r="Q12" i="5" s="1"/>
  <c r="G18" i="1"/>
  <c r="D12" i="5"/>
  <c r="N12" i="5" s="1"/>
  <c r="D18" i="1"/>
  <c r="F12" i="5"/>
  <c r="P12" i="5" s="1"/>
  <c r="F18" i="1"/>
  <c r="L20" i="2"/>
  <c r="P26" i="2"/>
  <c r="P28" i="2" s="1"/>
  <c r="P22" i="2" l="1"/>
  <c r="P29" i="2" s="1"/>
  <c r="B9" i="16" s="1"/>
  <c r="P40" i="2" l="1"/>
  <c r="K27" i="2"/>
  <c r="F27" i="2" s="1"/>
  <c r="K21" i="2"/>
  <c r="F21" i="2" s="1"/>
  <c r="J12" i="7"/>
  <c r="O12" i="7" s="1"/>
  <c r="H26" i="7"/>
  <c r="T10" i="5" l="1"/>
  <c r="K20" i="2"/>
  <c r="E16" i="1" l="1"/>
  <c r="J16" i="1" s="1"/>
  <c r="E10" i="5"/>
  <c r="O10" i="5" s="1"/>
  <c r="F20" i="2"/>
  <c r="F22" i="2" s="1"/>
  <c r="K22" i="2"/>
  <c r="K26" i="2" l="1"/>
  <c r="D9" i="2"/>
  <c r="D11" i="2" s="1"/>
  <c r="F26" i="2" l="1"/>
  <c r="F28" i="2" s="1"/>
  <c r="K28" i="2"/>
  <c r="E4" i="12"/>
  <c r="B11" i="12"/>
  <c r="K29" i="2" l="1"/>
  <c r="K40" i="2" s="1"/>
  <c r="F29" i="2"/>
  <c r="F40" i="2" s="1"/>
  <c r="D14" i="3"/>
  <c r="D16" i="3" s="1"/>
  <c r="C16" i="1" l="1"/>
  <c r="H16" i="1" s="1"/>
  <c r="J27" i="2" l="1"/>
  <c r="E27" i="2" s="1"/>
  <c r="L27" i="2"/>
  <c r="M27" i="2"/>
  <c r="I27" i="2"/>
  <c r="I26" i="2"/>
  <c r="D26" i="2" s="1"/>
  <c r="J21" i="2"/>
  <c r="E21" i="2" s="1"/>
  <c r="L21" i="2"/>
  <c r="G21" i="2" s="1"/>
  <c r="M21" i="2"/>
  <c r="D21" i="2"/>
  <c r="B26" i="2"/>
  <c r="B20" i="2"/>
  <c r="I10" i="5"/>
  <c r="H10" i="5"/>
  <c r="B12" i="5"/>
  <c r="G74" i="3"/>
  <c r="H74" i="3" s="1"/>
  <c r="G72" i="3"/>
  <c r="H72" i="3" s="1"/>
  <c r="G71" i="3"/>
  <c r="H71" i="3" s="1"/>
  <c r="G70" i="3"/>
  <c r="H70" i="3" s="1"/>
  <c r="G69" i="3"/>
  <c r="H69" i="3" s="1"/>
  <c r="G68" i="3"/>
  <c r="H68" i="3" s="1"/>
  <c r="G67" i="3"/>
  <c r="H67" i="3" s="1"/>
  <c r="G66" i="3"/>
  <c r="H66" i="3" s="1"/>
  <c r="G64" i="3"/>
  <c r="H64" i="3" s="1"/>
  <c r="G63" i="3"/>
  <c r="H63" i="3" s="1"/>
  <c r="G62" i="3"/>
  <c r="H62" i="3" s="1"/>
  <c r="G60" i="3"/>
  <c r="H60" i="3" s="1"/>
  <c r="G59" i="3"/>
  <c r="H59" i="3" s="1"/>
  <c r="G58" i="3"/>
  <c r="H58" i="3" s="1"/>
  <c r="G57" i="3"/>
  <c r="H57" i="3" s="1"/>
  <c r="G55" i="3"/>
  <c r="H55" i="3" s="1"/>
  <c r="G54" i="3"/>
  <c r="H54" i="3" s="1"/>
  <c r="G53" i="3"/>
  <c r="H53" i="3" s="1"/>
  <c r="G52" i="3"/>
  <c r="H52" i="3" s="1"/>
  <c r="G51" i="3"/>
  <c r="H51" i="3" s="1"/>
  <c r="G50" i="3"/>
  <c r="H50" i="3" s="1"/>
  <c r="G49" i="3"/>
  <c r="H49" i="3" s="1"/>
  <c r="G48" i="3"/>
  <c r="H48" i="3" s="1"/>
  <c r="B18" i="1"/>
  <c r="B16" i="1"/>
  <c r="M26" i="2"/>
  <c r="H26" i="2" s="1"/>
  <c r="H28" i="7"/>
  <c r="I28" i="7" s="1"/>
  <c r="F61" i="3" s="1"/>
  <c r="G61" i="3" s="1"/>
  <c r="H61" i="3" s="1"/>
  <c r="A26" i="7"/>
  <c r="B26" i="7"/>
  <c r="M20" i="2"/>
  <c r="H20" i="2" s="1"/>
  <c r="D20" i="2"/>
  <c r="A16" i="1"/>
  <c r="C8" i="2"/>
  <c r="B8" i="2"/>
  <c r="E5" i="16" l="1"/>
  <c r="M5" i="16"/>
  <c r="F5" i="16"/>
  <c r="J5" i="16"/>
  <c r="D5" i="16"/>
  <c r="G5" i="16"/>
  <c r="K5" i="16"/>
  <c r="H5" i="16"/>
  <c r="L5" i="16"/>
  <c r="I5" i="16"/>
  <c r="D22" i="2"/>
  <c r="H21" i="2"/>
  <c r="M22" i="2"/>
  <c r="D27" i="2"/>
  <c r="I28" i="2"/>
  <c r="H27" i="2"/>
  <c r="M28" i="2"/>
  <c r="G27" i="2"/>
  <c r="I22" i="2"/>
  <c r="G20" i="2"/>
  <c r="L22" i="2"/>
  <c r="L26" i="2"/>
  <c r="L28" i="2" s="1"/>
  <c r="F10" i="5"/>
  <c r="P10" i="5" s="1"/>
  <c r="C10" i="5"/>
  <c r="M10" i="5" s="1"/>
  <c r="G10" i="5"/>
  <c r="Q10" i="5" s="1"/>
  <c r="M29" i="2" l="1"/>
  <c r="M40" i="2" s="1"/>
  <c r="L29" i="2"/>
  <c r="L40" i="2" s="1"/>
  <c r="I29" i="2"/>
  <c r="I40" i="2" s="1"/>
  <c r="G26" i="2"/>
  <c r="Q18" i="1" l="1"/>
  <c r="H18" i="1" l="1"/>
  <c r="I18" i="1"/>
  <c r="J18" i="1"/>
  <c r="K18" i="1"/>
  <c r="L18" i="1"/>
  <c r="D4" i="1"/>
  <c r="B10" i="5" l="1"/>
  <c r="A10" i="5"/>
  <c r="A20" i="2" l="1"/>
  <c r="A8" i="16" s="1"/>
  <c r="A9" i="2"/>
  <c r="A12" i="3"/>
  <c r="D65" i="3" l="1"/>
  <c r="G65" i="3"/>
  <c r="H65" i="3"/>
  <c r="G46" i="3" l="1"/>
  <c r="H46" i="3" s="1"/>
  <c r="H73" i="3" l="1"/>
  <c r="G73" i="3"/>
  <c r="D73" i="3"/>
  <c r="H56" i="3"/>
  <c r="G56" i="3"/>
  <c r="D56" i="3"/>
  <c r="H47" i="3"/>
  <c r="G47" i="3"/>
  <c r="D47" i="3"/>
  <c r="H45" i="3"/>
  <c r="G45" i="3"/>
  <c r="D45" i="3"/>
  <c r="D40" i="3" l="1"/>
  <c r="G43" i="3"/>
  <c r="H43" i="3" s="1"/>
  <c r="G44" i="3"/>
  <c r="H44" i="3" s="1"/>
  <c r="G42" i="3" l="1"/>
  <c r="H42" i="3" s="1"/>
  <c r="G41" i="3"/>
  <c r="G16" i="3"/>
  <c r="H16" i="3" s="1"/>
  <c r="G17" i="3"/>
  <c r="H17" i="3" s="1"/>
  <c r="G19" i="3"/>
  <c r="G22" i="3"/>
  <c r="H22" i="3" s="1"/>
  <c r="G23" i="3"/>
  <c r="H23" i="3" s="1"/>
  <c r="G24" i="3"/>
  <c r="H24" i="3" s="1"/>
  <c r="G25" i="3"/>
  <c r="H25" i="3" s="1"/>
  <c r="G26" i="3"/>
  <c r="H26" i="3" s="1"/>
  <c r="G27" i="3"/>
  <c r="H27" i="3" s="1"/>
  <c r="G28" i="3"/>
  <c r="G29" i="3"/>
  <c r="H29" i="3" s="1"/>
  <c r="G30" i="3"/>
  <c r="H30" i="3" s="1"/>
  <c r="G31" i="3"/>
  <c r="H31" i="3" s="1"/>
  <c r="G32" i="3"/>
  <c r="H32" i="3" s="1"/>
  <c r="G33" i="3"/>
  <c r="H33" i="3" s="1"/>
  <c r="G34" i="3"/>
  <c r="H34" i="3" s="1"/>
  <c r="G35" i="3"/>
  <c r="H35" i="3" s="1"/>
  <c r="G36" i="3"/>
  <c r="H36" i="3" s="1"/>
  <c r="G37" i="3"/>
  <c r="H37" i="3" s="1"/>
  <c r="G38" i="3"/>
  <c r="H38" i="3" s="1"/>
  <c r="H28" i="3" l="1"/>
  <c r="K74" i="3" s="1"/>
  <c r="G18" i="3"/>
  <c r="H41" i="3"/>
  <c r="H40" i="3" s="1"/>
  <c r="H39" i="3" s="1"/>
  <c r="G40" i="3"/>
  <c r="G39" i="3" s="1"/>
  <c r="H19" i="3"/>
  <c r="H18" i="3" l="1"/>
  <c r="G14" i="3"/>
  <c r="G15" i="3" l="1"/>
  <c r="A9" i="5"/>
  <c r="B9" i="5"/>
  <c r="H15" i="3" l="1"/>
  <c r="G13" i="3"/>
  <c r="G22" i="2"/>
  <c r="H22" i="2"/>
  <c r="G28" i="2"/>
  <c r="D28" i="2"/>
  <c r="D29" i="2" s="1"/>
  <c r="H28" i="2"/>
  <c r="G29" i="2" l="1"/>
  <c r="G40" i="2" s="1"/>
  <c r="H29" i="2"/>
  <c r="H40" i="2" s="1"/>
  <c r="G12" i="3"/>
  <c r="G75" i="3" s="1"/>
  <c r="D40" i="2"/>
  <c r="H14" i="3" l="1"/>
  <c r="H13" i="3" s="1"/>
  <c r="D13" i="3"/>
  <c r="H12" i="3" l="1"/>
  <c r="H75" i="3" s="1"/>
  <c r="D12" i="3"/>
  <c r="D75" i="3" s="1"/>
  <c r="D12" i="16" l="1"/>
  <c r="H12" i="16"/>
  <c r="L12" i="16"/>
  <c r="E12" i="16"/>
  <c r="I12" i="16"/>
  <c r="M12" i="16"/>
  <c r="F12" i="16"/>
  <c r="J12" i="16"/>
  <c r="B12" i="16"/>
  <c r="C12" i="16"/>
  <c r="G12" i="16"/>
  <c r="K12" i="16"/>
  <c r="K75" i="3"/>
  <c r="H142" i="3"/>
  <c r="K141" i="3" s="1"/>
  <c r="F9" i="2"/>
  <c r="F11" i="2" l="1"/>
  <c r="G9" i="2" s="1"/>
  <c r="J26" i="2"/>
  <c r="G10" i="2" l="1"/>
  <c r="H9" i="2"/>
  <c r="J28" i="2"/>
  <c r="E26" i="2"/>
  <c r="E28" i="2" s="1"/>
  <c r="G11" i="2" l="1"/>
  <c r="L9" i="2" s="1"/>
  <c r="H10" i="2"/>
  <c r="I10" i="2" s="1"/>
  <c r="N28" i="2"/>
  <c r="O28" i="2"/>
  <c r="L10" i="2" l="1"/>
  <c r="L11" i="2" s="1"/>
  <c r="H11" i="2"/>
  <c r="Q28" i="2"/>
  <c r="D10" i="5" l="1"/>
  <c r="N10" i="5" s="1"/>
  <c r="J20" i="2"/>
  <c r="J22" i="2" s="1"/>
  <c r="J29" i="2" l="1"/>
  <c r="J40" i="2" s="1"/>
  <c r="E20" i="2"/>
  <c r="E22" i="2" s="1"/>
  <c r="O22" i="2"/>
  <c r="E29" i="2" l="1"/>
  <c r="E40" i="2" s="1"/>
  <c r="O29" i="2"/>
  <c r="N22" i="2"/>
  <c r="M9" i="16" l="1"/>
  <c r="G9" i="16"/>
  <c r="K9" i="16"/>
  <c r="H9" i="16"/>
  <c r="F9" i="16"/>
  <c r="J9" i="16"/>
  <c r="I9" i="16"/>
  <c r="E9" i="16"/>
  <c r="L9" i="16"/>
  <c r="Q22" i="2"/>
  <c r="Q29" i="2" s="1"/>
  <c r="Q40" i="2" s="1"/>
  <c r="N29" i="2"/>
  <c r="O40" i="2"/>
  <c r="C9" i="2"/>
  <c r="C11" i="2" s="1"/>
  <c r="D9" i="16" l="1"/>
  <c r="C9" i="16"/>
  <c r="N40" i="2"/>
  <c r="B9" i="2"/>
  <c r="N9" i="16" l="1"/>
  <c r="E9" i="2"/>
  <c r="B11" i="2"/>
  <c r="E11" i="2" l="1"/>
  <c r="I9" i="2"/>
  <c r="I11" i="2" s="1"/>
  <c r="K25" i="16" l="1"/>
  <c r="G25" i="16"/>
  <c r="C25" i="16"/>
  <c r="J25" i="16"/>
  <c r="F25" i="16"/>
  <c r="M25" i="16"/>
  <c r="I25" i="16"/>
  <c r="E25" i="16"/>
  <c r="L25" i="16"/>
  <c r="H25" i="16"/>
  <c r="D25" i="16"/>
  <c r="N24" i="16" l="1"/>
  <c r="N25" i="16" s="1"/>
  <c r="B25" i="16"/>
  <c r="M13" i="16" l="1"/>
  <c r="I13" i="16"/>
  <c r="E13" i="16"/>
  <c r="L13" i="16"/>
  <c r="H13" i="16"/>
  <c r="D13" i="16"/>
  <c r="K13" i="16"/>
  <c r="G13" i="16"/>
  <c r="C13" i="16"/>
  <c r="J13" i="16"/>
  <c r="F13" i="16"/>
  <c r="N12" i="16" l="1"/>
  <c r="N13" i="16" s="1"/>
  <c r="B13" i="16"/>
</calcChain>
</file>

<file path=xl/sharedStrings.xml><?xml version="1.0" encoding="utf-8"?>
<sst xmlns="http://schemas.openxmlformats.org/spreadsheetml/2006/main" count="817" uniqueCount="418">
  <si>
    <t>REPARTICION:</t>
  </si>
  <si>
    <t xml:space="preserve">TOTAL </t>
  </si>
  <si>
    <t>Cálculo Ingreso</t>
  </si>
  <si>
    <t>Ocupación / Cargo</t>
  </si>
  <si>
    <t>Reajuste</t>
  </si>
  <si>
    <t>Prestación</t>
  </si>
  <si>
    <t>Total</t>
  </si>
  <si>
    <t>Meta Ocupación</t>
  </si>
  <si>
    <t>Total Prestaciones</t>
  </si>
  <si>
    <t>Ingreso anual</t>
  </si>
  <si>
    <t>Ingreso total anual</t>
  </si>
  <si>
    <t>COSTOS DE OPERACIÓN</t>
  </si>
  <si>
    <t>REMUNERACIONES DIRECTAS</t>
  </si>
  <si>
    <t>SUPLENCIAS Y REEMPLAZOS</t>
  </si>
  <si>
    <t>PERSONAL A TRATO Y TEMPORAL</t>
  </si>
  <si>
    <t>OTRAS REMUNERACIONES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</si>
  <si>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</si>
  <si>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</si>
  <si>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</si>
  <si>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</si>
  <si>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</si>
  <si>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</si>
  <si>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</si>
  <si>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</si>
  <si>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</si>
  <si>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</si>
  <si>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</si>
  <si>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</si>
  <si>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</si>
  <si>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</si>
  <si>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</si>
  <si>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</si>
  <si>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SERVICIOS INFORMATICOS</t>
  </si>
  <si>
    <t>MAQUINAS Y EQUIPOS DE OFICINA</t>
  </si>
  <si>
    <t>GASTOS DE ADMINISTRACIÓN Y VENTAS</t>
  </si>
  <si>
    <t>GASTO EN PERSONAL</t>
  </si>
  <si>
    <t>% tiempo</t>
  </si>
  <si>
    <t>$ Costo</t>
  </si>
  <si>
    <t>VIATICOS PERSONAL COD.TRABAJO</t>
  </si>
  <si>
    <t>VESTUARIO ACC.Y PRENDAS DIVERS</t>
  </si>
  <si>
    <t>CALZADO</t>
  </si>
  <si>
    <t>CURSOS DE CAPACITACION</t>
  </si>
  <si>
    <t>CONSUMOS BÁSICOS</t>
  </si>
  <si>
    <t>ENLACES DE TELECOMUNICACIONES</t>
  </si>
  <si>
    <t>OTROS SERVICIOS BASICOS</t>
  </si>
  <si>
    <t>BIENES DE CONSUMO</t>
  </si>
  <si>
    <t>COMB.LUBR.DIRECTOS-INDIRECTOS</t>
  </si>
  <si>
    <t>MATERIALES DE OFICINA</t>
  </si>
  <si>
    <t>PROD.QUIMIC,FARMACEUTICOS IND.</t>
  </si>
  <si>
    <t>FERT.INSECT.FUNG.Y OTROS</t>
  </si>
  <si>
    <t>MAT.Y UTILES DE ASEO</t>
  </si>
  <si>
    <t>MENAJE OFICINA CASINO Y OTROS</t>
  </si>
  <si>
    <t>MOBILIARIO Y OTROS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</si>
  <si>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</si>
  <si>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</si>
  <si>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</si>
  <si>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</si>
  <si>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</si>
  <si>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</si>
  <si>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</si>
  <si>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</si>
  <si>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</si>
  <si>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</si>
  <si>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</si>
  <si>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</si>
  <si>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</si>
  <si>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OTROS GASTOS</t>
  </si>
  <si>
    <t>Costo Unitario Promedio</t>
  </si>
  <si>
    <t>Cantidad</t>
  </si>
  <si>
    <t>ASISTENCIA RECREATIVA</t>
  </si>
  <si>
    <t>ASISTENCIA EDUCACIONAL</t>
  </si>
  <si>
    <t>ASISTENCIA COMERCIAL</t>
  </si>
  <si>
    <t>Institución</t>
  </si>
  <si>
    <t>Nombre</t>
  </si>
  <si>
    <t>Apellido</t>
  </si>
  <si>
    <t>DETALLE / OBSERVACIONES</t>
  </si>
  <si>
    <t>Número de Cuenta</t>
  </si>
  <si>
    <t>ítem de Gasto (según Plan de Cuenta Institucional)</t>
  </si>
  <si>
    <t>Costos Fijos</t>
  </si>
  <si>
    <t>Costos Variables</t>
  </si>
  <si>
    <t>Costos Directos</t>
  </si>
  <si>
    <t>Costos Indirectos</t>
  </si>
  <si>
    <t>Centro de Costo</t>
  </si>
  <si>
    <t>Ingresos Totales</t>
  </si>
  <si>
    <t>INSTRUCCIONES</t>
  </si>
  <si>
    <t>ÍNDICE DE TABLAS</t>
  </si>
  <si>
    <t>Mensualidad</t>
  </si>
  <si>
    <t>Personal Servicio Activo Armada y otras FFAA</t>
  </si>
  <si>
    <t>En retiro</t>
  </si>
  <si>
    <t>Casos Especiales</t>
  </si>
  <si>
    <t>Ingreso por Matrícula</t>
  </si>
  <si>
    <t>Ingreso por Mensualidad</t>
  </si>
  <si>
    <t>Departamento de Informática</t>
  </si>
  <si>
    <t>Departamento de RR.HH.</t>
  </si>
  <si>
    <t>Departamento de Finanzas y Abastecimiento</t>
  </si>
  <si>
    <t>TOTAL GENERAL</t>
  </si>
  <si>
    <t>REMUNERACIONES TOTALES CÓDIGO DEL TRABAJO</t>
  </si>
  <si>
    <t>OTROS MATERIALES DE USO CONSUMO</t>
  </si>
  <si>
    <t>OTROS GASTOS IMPREVISTOS</t>
  </si>
  <si>
    <t>GASTOS MENORES (FOFI)</t>
  </si>
  <si>
    <t>MANT.Y REPAR. MOBILIARIO Y OTROS</t>
  </si>
  <si>
    <t>MANT.Y REPAR. DE EQUIPOS OFICINA</t>
  </si>
  <si>
    <t>MANT.Y REPAR. OTRAS MAQ. Y EQUIP.</t>
  </si>
  <si>
    <t>MANT.Y REPAR. EQUIPOS INFORMATICOS</t>
  </si>
  <si>
    <t>OTROS MANTEN. Y REPAR. MENORES</t>
  </si>
  <si>
    <t>SERVICIO DE MANTENCION JARDINES</t>
  </si>
  <si>
    <t>COSTO DIRECTO TOTAL</t>
  </si>
  <si>
    <t>Total Anual</t>
  </si>
  <si>
    <t>Costos Totales</t>
  </si>
  <si>
    <t>Reajuste propuesto</t>
  </si>
  <si>
    <t>TOTAL GENERAL COSTOS DIRECTOS</t>
  </si>
  <si>
    <t>COMPARACIÓN 1</t>
  </si>
  <si>
    <t>COMPARACIÓN 2</t>
  </si>
  <si>
    <t>% Distribución Costo Indirecto</t>
  </si>
  <si>
    <t>Excedentes</t>
  </si>
  <si>
    <t>Centro de Beneficio</t>
  </si>
  <si>
    <t>Costo Total Remuneraciones por Centro de Beneficio</t>
  </si>
  <si>
    <t>Total Bonos anual</t>
  </si>
  <si>
    <t>Total Aguinaldos anual</t>
  </si>
  <si>
    <t>Unidades de Apoyo Administrativo</t>
  </si>
  <si>
    <t>Otros</t>
  </si>
  <si>
    <t>APOYO ADM.</t>
  </si>
  <si>
    <t>Asistencia Educacional</t>
  </si>
  <si>
    <t xml:space="preserve">En esta hoja deberá incorporar toda la información, tablas y cálculos complementarios que permitan explicar y justificar sus proyecciones de ingresos y egresos, de acuerdo a los datos incorporados en las hojas anteriores.
</t>
  </si>
  <si>
    <t>Reajuste en pesos ($)</t>
  </si>
  <si>
    <t>Reajuste en porcentaje (%)</t>
  </si>
  <si>
    <t>Ingreso por Escuela de Verano</t>
  </si>
  <si>
    <t>Media jornada</t>
  </si>
  <si>
    <t>Jardín Infantil ABC</t>
  </si>
  <si>
    <r>
      <t xml:space="preserve">Con el objeto de medir comparativamente el bienestar otorgado al personal de la Armada, es necesario recabar antecedentes comparativos que permitan cuantificar las alternativas de precios que ofrece el mercado </t>
    </r>
    <r>
      <rPr>
        <b/>
        <u/>
        <sz val="10"/>
        <rFont val="Arial"/>
        <family val="2"/>
      </rPr>
      <t>dentro de la misma comuna en la que se encuentran los Jardines Infantiles (J.I.) y Salas Cunas (S.C.)</t>
    </r>
    <r>
      <rPr>
        <sz val="10"/>
        <rFont val="Arial"/>
        <family val="2"/>
      </rPr>
      <t xml:space="preserve"> de su Repartición. Este cuadro comparativo debe ser completado con, </t>
    </r>
    <r>
      <rPr>
        <b/>
        <u/>
        <sz val="10"/>
        <rFont val="Arial"/>
        <family val="2"/>
      </rPr>
      <t>A LO MENOS</t>
    </r>
    <r>
      <rPr>
        <sz val="10"/>
        <rFont val="Arial"/>
        <family val="2"/>
      </rPr>
      <t xml:space="preserve">, dos instituciones públicas o privadas </t>
    </r>
    <r>
      <rPr>
        <b/>
        <u/>
        <sz val="10"/>
        <rFont val="Arial"/>
        <family val="2"/>
      </rPr>
      <t>puedan considerarse como las principales competencias directas</t>
    </r>
    <r>
      <rPr>
        <sz val="10"/>
        <rFont val="Arial"/>
        <family val="2"/>
      </rPr>
      <t xml:space="preserve"> y que otorguen </t>
    </r>
    <r>
      <rPr>
        <b/>
        <u/>
        <sz val="10"/>
        <rFont val="Arial"/>
        <family val="2"/>
      </rPr>
      <t>prestaciones de calidad igual o similar</t>
    </r>
    <r>
      <rPr>
        <sz val="10"/>
        <rFont val="Arial"/>
        <family val="2"/>
      </rPr>
      <t xml:space="preserve"> a las brindadas por las instalaciones de este Departamento/Delegación.</t>
    </r>
  </si>
  <si>
    <t>Precio promedio mercado (ppm)</t>
  </si>
  <si>
    <t>SERVICIO DE SUSCRIPCION</t>
  </si>
  <si>
    <t>EQUIPOS COMPUTACIONALES</t>
  </si>
  <si>
    <t>Total Meta Ocupación</t>
  </si>
  <si>
    <t>Jardines Infantiles</t>
  </si>
  <si>
    <t>PDI</t>
  </si>
  <si>
    <t>GENDARMERIA</t>
  </si>
  <si>
    <t>ÁREA APOYO A. EDUCACIONAL</t>
  </si>
  <si>
    <t>ADMINISTRACIÓN CENTRAL</t>
  </si>
  <si>
    <t>COSTO  TOTAL</t>
  </si>
  <si>
    <t>% Respecto a Precio Promedio Mercado</t>
  </si>
  <si>
    <t>Tiempo Total</t>
  </si>
  <si>
    <t>$ Costo Total</t>
  </si>
  <si>
    <t>$Costo Total</t>
  </si>
  <si>
    <t>TABLA 1: RESUMEN DE INGRESOS Y EGRESOS DE CENTROS DE BENEFICIOS</t>
  </si>
  <si>
    <t>TABLA 2: DETALLE DE INGRESOS POR PRESTACIÓN Y SEGMENTO</t>
  </si>
  <si>
    <t>TABLA 3: REAJUSTE DE TARIFAS POR PRESTACIÓN Y SEGMENTO</t>
  </si>
  <si>
    <t>TABLA 4: METAS DE OCUPACIÓN POR PRESTACIÓN Y SEGMENTO</t>
  </si>
  <si>
    <t>Depto./ Del.</t>
  </si>
  <si>
    <t>TABLA 5: COSTOS DIRECTOS DE CENTROS DE BENEFICIOS</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</si>
  <si>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</si>
  <si>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</si>
  <si>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</si>
  <si>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 Y APOYO ADMINISTRATIVO A. EDUCACIONAL</t>
  </si>
  <si>
    <t>TABLA 10: RESUMEN DISTRIBUCION COSTOS OPERACIÓN ADMINISTRACION CENTRAL  Y APOYO ADMINISTRATIVO A. EDUCACIONAL</t>
  </si>
  <si>
    <t>TABLA 11: FINANCIAMIENTO ADM. CENTRAL  Y APOYO ADMINISTRATIVO 
(REMUNERACIONES + COSTO OPERACIÓN)</t>
  </si>
  <si>
    <t>TABLA 12: RESUMEN DE TARIFADO</t>
  </si>
  <si>
    <t>TABLA 13: REMUNERACIONES DEL PERSONAL LEY 18.712 DE CENTROS DE BENEFICIOS</t>
  </si>
  <si>
    <t>TABLA 14: COMPARACIÓN TARIFAS CON PRECIOS DE MERCADO</t>
  </si>
  <si>
    <t>A) Resumen Ingresos y Egresos</t>
  </si>
  <si>
    <t>B) Reajuste Tarifas y Ocupación</t>
  </si>
  <si>
    <t>C) Costos Directos</t>
  </si>
  <si>
    <t>D) Costos Indirectos</t>
  </si>
  <si>
    <t>E) Resumen Tarifado</t>
  </si>
  <si>
    <t>F) Remuneraciones</t>
  </si>
  <si>
    <t>G) Comparación Mercado</t>
  </si>
  <si>
    <t>H) Detalle Datos</t>
  </si>
  <si>
    <t>SERVICIOS DE VIGILANCIA /SEGURIDAD</t>
  </si>
  <si>
    <t>SUPLENCIAS Y REEMPLAZOS (EC  oPAC)</t>
  </si>
  <si>
    <t xml:space="preserve"> INDEMNIZACIÓN CÓDIGO DEL TRABAJO</t>
  </si>
  <si>
    <t>OTRAS REMUNERACIONES (ALUMNOS EN PRACTICA)</t>
  </si>
  <si>
    <t>ALIMENTOS Y BEBIDAS (PERSONAL)</t>
  </si>
  <si>
    <t>ALIMENTOS Y BEBIDAS (NIÑOS)</t>
  </si>
  <si>
    <t>ALIMENTOS Y BEBIDAS (ALUMNOS EN PRÁCTICA)</t>
  </si>
  <si>
    <t>TEXTILES Y ACABADOS TEXTILES (CORTINAJE ROLLER, SACOS DE DORMIR, COBERTORES, ETC.)</t>
  </si>
  <si>
    <t>PARA CALEFACCION (CALDERAS, ESTUFAS, ETC)</t>
  </si>
  <si>
    <t>TEXTOS Y OTROS MAT.ENSEÑANZA</t>
  </si>
  <si>
    <t>EQUIPOS MENORES (EQUIPAMIENTO)</t>
  </si>
  <si>
    <t>SERVICIO DE SUSCRIPCION (MATERIAL DE APOYO)</t>
  </si>
  <si>
    <t>GASTOS MENORES (FOFI) DIRECTIVA DGFA N°02-DC/0201/22 FECHA ENERO 2009</t>
  </si>
  <si>
    <t>MAQUINAS Y EQUIPOS DE OFICINA (ADQUISICION)</t>
  </si>
  <si>
    <t>VESTUARIO ACC.Y PRENDAS DIVERSAS</t>
  </si>
  <si>
    <t>CALZADO E PERSONAL DE COCINA</t>
  </si>
  <si>
    <t>COM.DE SERVICIO EN EL PAIS (VIATICO - 2 REUNIONES ANUALES DIRECTORA)</t>
  </si>
  <si>
    <t>EQUIPOS COMPUTACIONALES (CAMARAS DE VIGILANCIA)</t>
  </si>
  <si>
    <t>OTROS SERVICIOS GENERALES (FUMIGACIÓN)</t>
  </si>
  <si>
    <t>OTROS ARRIENDOS (BUSES)</t>
  </si>
  <si>
    <t>SEGURO PARVULOS</t>
  </si>
  <si>
    <t>OTROS SERVICIOS GENERALES (LAVANDERIIA)</t>
  </si>
  <si>
    <t>MANT.Y REPAR. OTRAS MAQ. Y EQUIP. (COCINA)</t>
  </si>
  <si>
    <t>OTROS MANTEN. Y REPAR. MENORES (GASFITERIA Y ELECTRICIDAD)</t>
  </si>
  <si>
    <t>A) RESUMEN DE INGRESOS Y EGRESOS</t>
  </si>
  <si>
    <t>B) REAJUSTE DE TARIFAS Y METAS DE OCUPACIÓN POR CENTRO DE BENEFICIO</t>
  </si>
  <si>
    <t>D) COSTOS INDIRECTOS ASISTENCIA EDUCACIONAL</t>
  </si>
  <si>
    <t>E) RESUMEN DE TARIFADO</t>
  </si>
  <si>
    <t>F) REMUNERACIONES DEL PERSONAL CÓDIGO DEL TRABAJO</t>
  </si>
  <si>
    <t>G) COMPARACIÓN TARIFAS CON PRECIOS DE MERCADO</t>
  </si>
  <si>
    <t>H) DETALLE DE DATOS COMPLEMENTARIOS</t>
  </si>
  <si>
    <t>ANEXO A</t>
  </si>
  <si>
    <t>ANEXO B</t>
  </si>
  <si>
    <t>ANEXO C</t>
  </si>
  <si>
    <t>ANEXO D</t>
  </si>
  <si>
    <t>ANEXO E</t>
  </si>
  <si>
    <t>ANEXO F</t>
  </si>
  <si>
    <t>ANEXO G</t>
  </si>
  <si>
    <t>TABLA 9: RESUMEN DISTRIBUCION COSTOS REMUNERACIONES ADMINISTRACION CENTRAL</t>
  </si>
  <si>
    <t>Jardín Infantil Mar y Cielo</t>
  </si>
  <si>
    <t xml:space="preserve">Doble jornada </t>
  </si>
  <si>
    <t>Jornada completa</t>
  </si>
  <si>
    <t>C) ESTIMACION DE COSTOS DIRECTOS</t>
  </si>
  <si>
    <t>Mensualidad 2021</t>
  </si>
  <si>
    <t>Gasto Total Empresa</t>
  </si>
  <si>
    <t>OTROS MANTEN. Y REP.MENORES</t>
  </si>
  <si>
    <t>PROD.QUIMIC,FARMACEUTICOS IND. (BOTIQUIN)</t>
  </si>
  <si>
    <t>PRODUCTOS QUIMICOS (EXTINTOR)</t>
  </si>
  <si>
    <t>CUOTA DE PADRES</t>
  </si>
  <si>
    <t>AFL</t>
  </si>
  <si>
    <t>PAF</t>
  </si>
  <si>
    <t>EDUC.PARV</t>
  </si>
  <si>
    <t>TECNICO EN PARV</t>
  </si>
  <si>
    <t>TOTAL</t>
  </si>
  <si>
    <t>ADM CENTRAL</t>
  </si>
  <si>
    <t>Diurna</t>
  </si>
  <si>
    <t>Nocturna</t>
  </si>
  <si>
    <t>Media Jornada</t>
  </si>
  <si>
    <t>JI (80%)</t>
  </si>
  <si>
    <t>SC (20%)</t>
  </si>
  <si>
    <t xml:space="preserve"> COSTOS DIRECTOS COMUNES  "JARDIN INFANTIL Y SALA CUNA MAR Y CIELO"</t>
  </si>
  <si>
    <t>Propuesta Mensualidad 2022</t>
  </si>
  <si>
    <t>Meta Ocupación niños 2022</t>
  </si>
  <si>
    <t>Matrícula 2022</t>
  </si>
  <si>
    <t>Mensualidad 2022</t>
  </si>
  <si>
    <t>REMUNERACIONES 2021</t>
  </si>
  <si>
    <t>Costo Total anual por Servidor 2021</t>
  </si>
  <si>
    <t>Costo Total por Servidor Reajustado 2022</t>
  </si>
  <si>
    <t>Jardín Infantil XYZ</t>
  </si>
  <si>
    <t>COSTO INDIRECTO ESTIMADO 2022</t>
  </si>
  <si>
    <t>COSTO DIRECTO ESTIMADO 2022</t>
  </si>
  <si>
    <t>Tarifa 2022</t>
  </si>
  <si>
    <t>I) Proyección Mensual</t>
  </si>
  <si>
    <t>ENERO</t>
  </si>
  <si>
    <t>FEBRERO</t>
  </si>
  <si>
    <t>MARZO</t>
  </si>
  <si>
    <t>ABRIL</t>
  </si>
  <si>
    <t>MAYO</t>
  </si>
  <si>
    <t>JUNIO</t>
  </si>
  <si>
    <t>JULIO</t>
  </si>
  <si>
    <t>AGOSTO</t>
  </si>
  <si>
    <t>SEPTIEMBRE</t>
  </si>
  <si>
    <t>OCTUBRE</t>
  </si>
  <si>
    <t>NOVIEMBRE</t>
  </si>
  <si>
    <t>DICIEMBRE</t>
  </si>
  <si>
    <t>INGRESOS DE OPERACION</t>
  </si>
  <si>
    <t>REMUNERACIONES COD.DEL TRABAJO</t>
  </si>
  <si>
    <t>COSTOS  DE OPERACION</t>
  </si>
  <si>
    <t>BONOS CÓDIGO DEL TRABAJO</t>
  </si>
  <si>
    <t>Sala Cuna Mar y Cielo Diurna</t>
  </si>
  <si>
    <t>TABLA N°15: PROYECCIÓN MENSUAL</t>
  </si>
  <si>
    <t>MATRICULA</t>
  </si>
  <si>
    <t>PERSONAL</t>
  </si>
  <si>
    <t>ACUMULADO A DICIEMBRE</t>
  </si>
  <si>
    <t>RESULTADO OPERACIONAL</t>
  </si>
  <si>
    <t>Gasto Total empresa
2021</t>
  </si>
  <si>
    <t>Gasto Total empresa
2022</t>
  </si>
  <si>
    <t>Sala Cuna Mar y Cielo</t>
  </si>
  <si>
    <t>BIENMAG</t>
  </si>
  <si>
    <t>MANIP. DE ALIMENTOS</t>
  </si>
  <si>
    <t>AUX DE ASEO</t>
  </si>
  <si>
    <t xml:space="preserve">BIENMAG </t>
  </si>
  <si>
    <t xml:space="preserve">CONSTANZA </t>
  </si>
  <si>
    <t xml:space="preserve">KAREN </t>
  </si>
  <si>
    <t xml:space="preserve">NICOLE </t>
  </si>
  <si>
    <t xml:space="preserve">JENIFER </t>
  </si>
  <si>
    <t xml:space="preserve">JACQUEILINE </t>
  </si>
  <si>
    <t xml:space="preserve">ACEVEDO </t>
  </si>
  <si>
    <t xml:space="preserve">BARRÍA </t>
  </si>
  <si>
    <t xml:space="preserve">SANZANA </t>
  </si>
  <si>
    <t xml:space="preserve">LAVÍN </t>
  </si>
  <si>
    <t xml:space="preserve">LEONTINA (50%) </t>
  </si>
  <si>
    <t xml:space="preserve">BUSTAMANTE </t>
  </si>
  <si>
    <t xml:space="preserve">ELENA </t>
  </si>
  <si>
    <t xml:space="preserve">MADRIAZA </t>
  </si>
  <si>
    <t xml:space="preserve">CHÁVEZ </t>
  </si>
  <si>
    <t xml:space="preserve">EDUC. PARV (SUPLENCIA) </t>
  </si>
  <si>
    <t>BARRERA</t>
  </si>
  <si>
    <t xml:space="preserve">EDUC. PARV  </t>
  </si>
  <si>
    <t xml:space="preserve">EC CARLA </t>
  </si>
  <si>
    <t xml:space="preserve">EC MILENNA </t>
  </si>
  <si>
    <t xml:space="preserve">MIRANDA </t>
  </si>
  <si>
    <t xml:space="preserve">EDUC. PARV </t>
  </si>
  <si>
    <t xml:space="preserve">PAC GLORIA </t>
  </si>
  <si>
    <t xml:space="preserve">CARLOS </t>
  </si>
  <si>
    <t>MAYORDOMO GENERAL</t>
  </si>
  <si>
    <t>MARISOL</t>
  </si>
  <si>
    <t>CHIGUAY</t>
  </si>
  <si>
    <t>ENCARGADA DE DEUDORES</t>
  </si>
  <si>
    <t>VICTOR</t>
  </si>
  <si>
    <t>DIAZ</t>
  </si>
  <si>
    <t>CAJERO</t>
  </si>
  <si>
    <t>SEBASTIAN</t>
  </si>
  <si>
    <t>MATULICH</t>
  </si>
  <si>
    <t>ADMINISTRATIVO CONTABLE</t>
  </si>
  <si>
    <t>ANGELICA</t>
  </si>
  <si>
    <t>RIVERA</t>
  </si>
  <si>
    <t>TESORERA - RENDICUENTA</t>
  </si>
  <si>
    <t>GABRIELA</t>
  </si>
  <si>
    <t>RUIZ</t>
  </si>
  <si>
    <t>ADM. ADQUISICIONES</t>
  </si>
  <si>
    <t>AURELIA</t>
  </si>
  <si>
    <t>ZUÑIGA</t>
  </si>
  <si>
    <t>ENC. PRESUPUESTO</t>
  </si>
  <si>
    <t>CARMEN LUZ</t>
  </si>
  <si>
    <t>OBANDO</t>
  </si>
  <si>
    <t>ENC. RR.HH.</t>
  </si>
  <si>
    <t>SERGIO</t>
  </si>
  <si>
    <t>ESCOBAR</t>
  </si>
  <si>
    <t>ADM. CS FISCALES</t>
  </si>
  <si>
    <t>CASAS FISCALES</t>
  </si>
  <si>
    <t>GERALDINE</t>
  </si>
  <si>
    <t>COLLAO</t>
  </si>
  <si>
    <t>ADM. SEGUROS</t>
  </si>
  <si>
    <t xml:space="preserve">BARRIA </t>
  </si>
  <si>
    <t xml:space="preserve">Jardín Infantil CONE </t>
  </si>
  <si>
    <t xml:space="preserve">Jardín Infantil J.C. CONE </t>
  </si>
  <si>
    <t xml:space="preserve">Jardín Infantil J.C. TURRON </t>
  </si>
  <si>
    <t xml:space="preserve">Jardín Infantil M.J. TURRON </t>
  </si>
  <si>
    <t>CONSIDERACIONES A PROYECCIÓN DE INGRESOS Y COSTOS:</t>
  </si>
  <si>
    <t>Capc maxima</t>
  </si>
  <si>
    <t>MEDIA JORNADA</t>
  </si>
  <si>
    <t>DOBLE JORNADA</t>
  </si>
  <si>
    <t>COMPLETA C/ALIM.</t>
  </si>
  <si>
    <t xml:space="preserve">PROYECCIÓN DE NIÑOS AÑO 2022 = 56 NIÑOS JI y 14 SC </t>
  </si>
  <si>
    <t>% ocup JI</t>
  </si>
  <si>
    <t>% ocup SC</t>
  </si>
  <si>
    <t>PROYECCIÓN  CONSIDERADA JI :</t>
  </si>
  <si>
    <t>PROYECCIÓN  CONSIDERADA SC:</t>
  </si>
  <si>
    <t>DIRECTORA</t>
  </si>
  <si>
    <t>EC CARLA BARRERA MORALES</t>
  </si>
  <si>
    <t>NIVELES</t>
  </si>
  <si>
    <t>EDUCADORAS</t>
  </si>
  <si>
    <t>TÉCNICOS</t>
  </si>
  <si>
    <t>HETEROGÉNEO</t>
  </si>
  <si>
    <t>2 J.C.</t>
  </si>
  <si>
    <t>TRANSICIÓN 1</t>
  </si>
  <si>
    <t>1 J.C.</t>
  </si>
  <si>
    <t xml:space="preserve">SALA CUNA </t>
  </si>
  <si>
    <t xml:space="preserve">EP CONSTANZA ACEVEDO </t>
  </si>
  <si>
    <t xml:space="preserve">TRANSICIÓN 2 </t>
  </si>
  <si>
    <t xml:space="preserve">PAC GLORIA BARRÍA </t>
  </si>
  <si>
    <t xml:space="preserve">CANT. NIÑOS </t>
  </si>
  <si>
    <t xml:space="preserve">14 LACT. </t>
  </si>
  <si>
    <t xml:space="preserve">20 NIÑOS </t>
  </si>
  <si>
    <r>
      <rPr>
        <b/>
        <sz val="10"/>
        <rFont val="Arial"/>
        <family val="2"/>
      </rPr>
      <t>1.</t>
    </r>
    <r>
      <rPr>
        <sz val="10"/>
        <rFont val="Arial"/>
        <family val="2"/>
      </rPr>
      <t>- Se está  proyectando 56 niños en JI divididos en 4 niveles, pero atendiendo en 3 salas. Uno de los niveles tendrá que ser heterogéneo, que se definirá una vez finalizado el proceso de inscripción para el periodo 2022.  Los 56 niños corresponden a la capacidad máxima del JI según autorización MINEDUC por aforo COVID.</t>
    </r>
  </si>
  <si>
    <r>
      <rPr>
        <b/>
        <sz val="10"/>
        <rFont val="Arial"/>
        <family val="2"/>
      </rPr>
      <t>2.-</t>
    </r>
    <r>
      <rPr>
        <sz val="10"/>
        <rFont val="Arial"/>
        <family val="2"/>
      </rPr>
      <t xml:space="preserve"> El JI atendiendo con sus 4 salas podría haber tenido capacidad por aforo COVID para 76 niños y el interés de las familias navales en el transcurso del primer semestre nos demuestra que podríamos haber cubierto esa demanda, llegando a esa capacidad máxima de atención. </t>
    </r>
  </si>
  <si>
    <r>
      <rPr>
        <b/>
        <sz val="10"/>
        <rFont val="Arial"/>
        <family val="2"/>
      </rPr>
      <t>3.-</t>
    </r>
    <r>
      <rPr>
        <sz val="10"/>
        <rFont val="Arial"/>
        <family val="2"/>
      </rPr>
      <t xml:space="preserve"> Actualmente el JI cuenta con una lista de espera de 17 niños para los niveles medio menor y medio mayor, esa cantidad es de los apoderados que quisieron llenar la ficha, ya que hay muchos más que no quisieron hacerlo al saber la cantidad de anotados que hay.</t>
    </r>
  </si>
  <si>
    <r>
      <rPr>
        <b/>
        <sz val="10"/>
        <rFont val="Arial"/>
        <family val="2"/>
      </rPr>
      <t>4.-</t>
    </r>
    <r>
      <rPr>
        <sz val="10"/>
        <rFont val="Arial"/>
        <family val="2"/>
      </rPr>
      <t xml:space="preserve"> El poner en funcionamiento la sala cuna naval, trae un importante beneficio para las familias navales y principalmente a las funcionarias, pero el costo por ocupar una sala del JI ha dejado a muchos niños de 2 y 3 años sin poder ingresar. Y dado el número de interesados en los niveles transición 1 y 2 lo más probable es que nuevamente se tengan que fusionar los niveles medio menor y mayor,  situación que pedagógicamente es muy complejo, ya que la diferencia de edad es muy notoria en esa etapa y porque además nuevamente dejaremos a muchos niños sin matrícula.</t>
    </r>
  </si>
  <si>
    <r>
      <rPr>
        <b/>
        <sz val="10"/>
        <rFont val="Arial"/>
        <family val="2"/>
      </rPr>
      <t>5.-</t>
    </r>
    <r>
      <rPr>
        <sz val="10"/>
        <rFont val="Arial"/>
        <family val="2"/>
      </rPr>
      <t xml:space="preserve"> sería importante considerar un aumento mayor al 5,7% en las tarifas de JI, ya que con la baja cantidad de capacidad total con la que contamos es difícil poder proyectar un estado de resultado favorable para este centro de costo.</t>
    </r>
  </si>
  <si>
    <r>
      <rPr>
        <b/>
        <sz val="10"/>
        <rFont val="Arial"/>
        <family val="2"/>
      </rPr>
      <t>6.</t>
    </r>
    <r>
      <rPr>
        <sz val="10"/>
        <rFont val="Arial"/>
        <family val="2"/>
      </rPr>
      <t>- se proyectan dos lactantes en media jornada, ya que es el interés que han demostrado los funcionarios de otras FFAA.</t>
    </r>
  </si>
  <si>
    <r>
      <rPr>
        <b/>
        <sz val="10"/>
        <rFont val="Arial"/>
        <family val="2"/>
      </rPr>
      <t>7</t>
    </r>
    <r>
      <rPr>
        <sz val="10"/>
        <rFont val="Arial"/>
        <family val="2"/>
      </rPr>
      <t>.- Se considera la distribución de personal de la siguiente manera:</t>
    </r>
  </si>
  <si>
    <r>
      <t xml:space="preserve">8.- </t>
    </r>
    <r>
      <rPr>
        <sz val="9"/>
        <rFont val="Arial"/>
        <family val="2"/>
      </rPr>
      <t>La EC Milenna Miranda se encuentra actualmente embarazada de 19 semanas (7 de septiembre 2021), por lo que es necesario considerar una educadora de párvulos de reemplazo para el año 2022.</t>
    </r>
  </si>
  <si>
    <r>
      <t xml:space="preserve">9.- </t>
    </r>
    <r>
      <rPr>
        <sz val="9"/>
        <rFont val="Arial"/>
        <family val="2"/>
      </rPr>
      <t>Se considera que todo el personal pedagógico trabaje en jornada completa el año 2022.</t>
    </r>
  </si>
  <si>
    <t xml:space="preserve">Actualmente </t>
  </si>
  <si>
    <t xml:space="preserve">1 educadora por 32 niños </t>
  </si>
  <si>
    <t>Desde el 01 enero 2022</t>
  </si>
  <si>
    <t xml:space="preserve">1 educadora por 28 niños </t>
  </si>
  <si>
    <t xml:space="preserve">1 técnico hasta 14 niños </t>
  </si>
  <si>
    <t xml:space="preserve">1 técnico hasta 25 niños </t>
  </si>
  <si>
    <t>10.- A partir del 01 de enero del 2022 el Decreto 315 del Ministerio de Educación, que reglamenta los requisitos de adquisición, mantención y pérdida de la Autorización de Funcionamiento, tendrá una modificación a través del Decreto 241. La modificación mas importante se refiere a la cantidad de coeficiente técnico por niño con el que debe contar el establecimiento. Esta modificación se aplica a los niveles medio menor y medio mayor; y al tener un nivel hetereogéneo se calcula el personal por la edad del niño mas pequeño.</t>
  </si>
  <si>
    <t>XXX</t>
  </si>
  <si>
    <t>SUPLENCIAS Y REEMPLAZOS (EC  o PAC)</t>
  </si>
  <si>
    <t>1 educ y 2 tecnicos</t>
  </si>
  <si>
    <t>1 educ y 1 tecnico</t>
  </si>
  <si>
    <t>Se corrige valor de aguinaldos,  bonos de diciembre y enero de acuerdo a instrucciones</t>
  </si>
  <si>
    <t>Ración: $2368</t>
  </si>
  <si>
    <t>capacidad maxima de 75 niños</t>
  </si>
  <si>
    <t>PRE POST NATAL PARENTAL 2022</t>
  </si>
  <si>
    <t>DE 127164 A 133310</t>
  </si>
  <si>
    <t>AGUINALDOS</t>
  </si>
  <si>
    <t xml:space="preserve">BONOS </t>
  </si>
  <si>
    <t>DE  131601 A 226548</t>
  </si>
  <si>
    <t>remuneraciones personal de aseo proporcional en sc y ji</t>
  </si>
  <si>
    <t>se agrega remuneraciones por 8 meses en reemplazo de ec miranda</t>
  </si>
  <si>
    <t>capacidad maxima 15 lactantes</t>
  </si>
  <si>
    <t xml:space="preserve">LUCÍA </t>
  </si>
  <si>
    <t xml:space="preserve">NAHUELNERI </t>
  </si>
  <si>
    <t xml:space="preserve">PAULINA </t>
  </si>
  <si>
    <t xml:space="preserve">CANDIA </t>
  </si>
  <si>
    <t xml:space="preserve">VALERIA </t>
  </si>
  <si>
    <t xml:space="preserve">NAHUELQUEN </t>
  </si>
  <si>
    <t xml:space="preserve">CLAUDIA </t>
  </si>
  <si>
    <t xml:space="preserve">POBLETE </t>
  </si>
  <si>
    <t xml:space="preserve">PRISCILA </t>
  </si>
  <si>
    <t xml:space="preserve">MILLAQUEN </t>
  </si>
  <si>
    <t>EP VALERIA NAHUELQUEN</t>
  </si>
  <si>
    <t xml:space="preserve">25 NIÑOS </t>
  </si>
  <si>
    <t xml:space="preserve">PAULINA CANDIA </t>
  </si>
  <si>
    <t xml:space="preserve">EC MILENNA MIRANDA (POSTNATAL)  </t>
  </si>
  <si>
    <t xml:space="preserve"> 1  M.J. </t>
  </si>
  <si>
    <t>$485.000*12</t>
  </si>
  <si>
    <t>Corresponde a las casas desocupadas y sitios como Adm. Central.</t>
  </si>
  <si>
    <t>$188.000*5</t>
  </si>
  <si>
    <t>Brigada Reparaciones.</t>
  </si>
  <si>
    <t>$700.000*5</t>
  </si>
  <si>
    <t>Aporte App. en AFL</t>
  </si>
  <si>
    <t>$500.000*12</t>
  </si>
  <si>
    <t>$150.000*12</t>
  </si>
  <si>
    <t>Alumnos en Practica y Honorarios+ Viatico (30*$49,000 app)+Indemnizaciones 2 personas</t>
  </si>
  <si>
    <t>Capacitación $600.000</t>
  </si>
  <si>
    <t>$180.000*12</t>
  </si>
  <si>
    <t>(Mant y Rep. Vehículo Adm. Central)</t>
  </si>
  <si>
    <t>Arriendo Fotrocopiadora $2.000.000+</t>
  </si>
  <si>
    <t>$700.000*12</t>
  </si>
  <si>
    <t>item 20 modif N° de niños( 38 nñ)</t>
  </si>
  <si>
    <t>item 86 modif. N° de niños (9 )</t>
  </si>
  <si>
    <t>item 140 modif. N° de niños proyectado (9 )se disminuyo</t>
  </si>
  <si>
    <t>reemplazo de milena es por 8 meses</t>
  </si>
  <si>
    <t>se estandariza cuota de padres</t>
  </si>
  <si>
    <t>no hubo niños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</si>
</sst>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_-&quot;$&quot;\ * #,##0_-;\-&quot;$&quot;\ * #,##0_-;_-&quot;$&quot;\ * &quot;-&quot;_-;_-@_-"/>
    <numFmt numFmtId="165" formatCode="_-* #,##0.00_-;\-* #,##0.00_-;_-* &quot;-&quot;??_-;_-@_-"/>
    <numFmt numFmtId="166" formatCode="_-* #,##0.00\ &quot;€&quot;_-;\-* #,##0.00\ &quot;€&quot;_-;_-* &quot;-&quot;??\ &quot;€&quot;_-;_-@_-"/>
    <numFmt numFmtId="167" formatCode="_-\$* #,##0.00_-;&quot;-$&quot;* #,##0.00_-;_-\$* \-??_-;_-@_-"/>
    <numFmt numFmtId="168" formatCode="\$#,##0_);&quot;($&quot;#,##0\)"/>
    <numFmt numFmtId="169" formatCode="_-&quot;$ &quot;* #,##0_-;&quot;-$ &quot;* #,##0_-;_-&quot;$ &quot;* \-_-;_-@_-"/>
    <numFmt numFmtId="170" formatCode="0\ %"/>
    <numFmt numFmtId="171" formatCode="0.0%"/>
    <numFmt numFmtId="172" formatCode="#,##0_ ;[Red]\-#,##0\ "/>
    <numFmt numFmtId="173" formatCode="_-* #,##0.00_-;\-* #,##0.00_-;_-* \-??_-;_-@_-"/>
    <numFmt numFmtId="174" formatCode="_-\ * #,##0_-;&quot;$ &quot;* #,##0_-;_-\ * \-_-;_-@_-"/>
    <numFmt numFmtId="175" formatCode="_-* #,##0.0_-;\-* #,##0.0_-;_-* \-??_-;_-@_-"/>
    <numFmt numFmtId="176" formatCode="_(* #,##0_);_(* \(#,##0\);_(* \-_);_(@_)"/>
    <numFmt numFmtId="177" formatCode="_-* #,##0_-;\-* #,##0_-;_-* \-??_-;_-@_-"/>
    <numFmt numFmtId="178" formatCode="&quot;$&quot;\ #,##0"/>
    <numFmt numFmtId="179" formatCode="_-&quot;$&quot;* #,##0_-;\-&quot;$&quot;* #,##0_-;_-&quot;$&quot;* &quot;-&quot;??_-;_-@_-"/>
    <numFmt numFmtId="180" formatCode="#,##0_ ;\-#,##0\ "/>
    <numFmt numFmtId="181" formatCode="0.00\ %"/>
    <numFmt numFmtId="182" formatCode="_-\$* #,##0_-;&quot;-$&quot;* #,##0_-;_-\$* \-??_-;_-@_-"/>
    <numFmt numFmtId="183" formatCode="_-[$$-340A]\ * #,##0_-;\-[$$-340A]\ * #,##0_-;_-[$$-340A]\ * &quot;-&quot;??_-;_-@_-"/>
    <numFmt numFmtId="184" formatCode="_-[$€]* #,##0.00_-;\-[$€]* #,##0.00_-;_-[$€]* &quot;-&quot;??_-;_-@_-"/>
    <numFmt numFmtId="185" formatCode="_-[$€-2]\ * #,##0.00_-;\-[$€-2]\ * #,##0.00_-;_-[$€-2]\ * &quot;-&quot;??_-"/>
    <numFmt numFmtId="186" formatCode="_-&quot;$&quot;\ * #,##0_-;\-&quot;$&quot;\ * #,##0_-;_-&quot;$&quot;\ * &quot;-&quot;??_-;_-@_-"/>
  </numFmts>
  <fonts count="51" x14ac:knownFonts="1">
    <font>
      <sz val="10"/>
      <name val="Arial"/>
      <family val="2"/>
    </font>
    <font>
      <sz val="11"/>
      <color theme="1"/>
      <name val="Calibri"/>
      <family val="2"/>
      <scheme val="minor"/>
    </font>
    <font>
      <sz val="11"/>
      <color theme="1"/>
      <name val="Calibri"/>
      <family val="2"/>
      <scheme val="minor"/>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b/>
      <sz val="10"/>
      <color indexed="9"/>
      <name val="Arial"/>
      <family val="2"/>
    </font>
    <font>
      <b/>
      <sz val="10"/>
      <color indexed="8"/>
      <name val="Arial"/>
      <family val="2"/>
    </font>
    <font>
      <sz val="10"/>
      <color indexed="9"/>
      <name val="Arial"/>
      <family val="2"/>
    </font>
    <font>
      <b/>
      <sz val="10"/>
      <name val="Arial"/>
      <family val="2"/>
    </font>
    <font>
      <sz val="10"/>
      <name val="Arial"/>
      <family val="2"/>
    </font>
    <font>
      <b/>
      <sz val="10"/>
      <color theme="1"/>
      <name val="Arial"/>
      <family val="2"/>
    </font>
    <font>
      <b/>
      <sz val="10"/>
      <color indexed="10"/>
      <name val="Arial"/>
      <family val="2"/>
    </font>
    <font>
      <b/>
      <sz val="10"/>
      <color indexed="40"/>
      <name val="Arial"/>
      <family val="2"/>
    </font>
    <font>
      <b/>
      <sz val="10"/>
      <color theme="0"/>
      <name val="Arial"/>
      <family val="2"/>
    </font>
    <font>
      <sz val="10"/>
      <color indexed="8"/>
      <name val="Arial"/>
      <family val="2"/>
    </font>
    <font>
      <b/>
      <u/>
      <sz val="10"/>
      <name val="Arial"/>
      <family val="2"/>
    </font>
    <font>
      <u/>
      <sz val="10"/>
      <color theme="10"/>
      <name val="Arial"/>
      <family val="2"/>
    </font>
    <font>
      <b/>
      <sz val="11"/>
      <name val="Arial"/>
      <family val="2"/>
    </font>
    <font>
      <b/>
      <sz val="12"/>
      <name val="Arial"/>
      <family val="2"/>
    </font>
    <font>
      <b/>
      <sz val="12"/>
      <color theme="0"/>
      <name val="Arial"/>
      <family val="2"/>
    </font>
    <font>
      <b/>
      <u/>
      <sz val="12"/>
      <color rgb="FF0000CC"/>
      <name val="Arial"/>
      <family val="2"/>
    </font>
    <font>
      <b/>
      <sz val="16"/>
      <name val="Arial"/>
      <family val="2"/>
    </font>
    <font>
      <b/>
      <sz val="10"/>
      <color rgb="FF000099"/>
      <name val="Arial"/>
      <family val="2"/>
    </font>
    <font>
      <b/>
      <sz val="10"/>
      <color rgb="FFFF0000"/>
      <name val="Arial"/>
      <family val="2"/>
    </font>
    <font>
      <sz val="10"/>
      <color rgb="FFFF0000"/>
      <name val="Arial"/>
      <family val="2"/>
    </font>
    <font>
      <sz val="10"/>
      <color theme="1"/>
      <name val="Arial"/>
      <family val="2"/>
    </font>
    <font>
      <sz val="11"/>
      <color indexed="8"/>
      <name val="Calibri"/>
      <family val="2"/>
    </font>
    <font>
      <sz val="10"/>
      <name val="Verdana"/>
      <family val="2"/>
    </font>
    <font>
      <sz val="10"/>
      <color rgb="FFFF00FF"/>
      <name val="Arial"/>
      <family val="2"/>
    </font>
    <font>
      <b/>
      <sz val="9"/>
      <name val="Arial"/>
      <family val="2"/>
    </font>
    <font>
      <b/>
      <u/>
      <sz val="12"/>
      <name val="Arial"/>
      <family val="2"/>
    </font>
    <font>
      <sz val="9"/>
      <name val="Arial"/>
      <family val="2"/>
    </font>
    <font>
      <sz val="9"/>
      <color rgb="FFFF0000"/>
      <name val="Arial"/>
      <family val="2"/>
    </font>
    <font>
      <b/>
      <sz val="9"/>
      <color rgb="FFFF0000"/>
      <name val="Arial"/>
      <family val="2"/>
    </font>
    <font>
      <b/>
      <u/>
      <sz val="10"/>
      <color rgb="FFFF0000"/>
      <name val="Arial"/>
      <family val="2"/>
    </font>
    <font>
      <b/>
      <sz val="12"/>
      <color rgb="FFFF0000"/>
      <name val="Arial"/>
      <family val="2"/>
    </font>
    <font>
      <sz val="10"/>
      <color rgb="FF0000CC"/>
      <name val="Arial"/>
      <family val="2"/>
    </font>
    <font>
      <sz val="10"/>
      <color rgb="FF00A249"/>
      <name val="Arial"/>
      <family val="2"/>
    </font>
    <font>
      <sz val="11"/>
      <name val="Calibri"/>
      <family val="2"/>
      <scheme val="minor"/>
    </font>
    <font>
      <b/>
      <sz val="10"/>
      <color theme="0"/>
      <name val="Arial Narrow"/>
      <family val="2"/>
    </font>
    <font>
      <b/>
      <sz val="10"/>
      <color theme="1"/>
      <name val="Arial Narrow"/>
      <family val="2"/>
    </font>
    <font>
      <sz val="8"/>
      <name val="Arial"/>
      <family val="2"/>
    </font>
    <font>
      <b/>
      <sz val="8"/>
      <name val="Arial"/>
      <family val="2"/>
    </font>
    <font>
      <b/>
      <sz val="11"/>
      <color theme="1"/>
      <name val="Calibri"/>
      <family val="2"/>
      <scheme val="minor"/>
    </font>
    <font>
      <b/>
      <sz val="10"/>
      <color theme="1"/>
      <name val="Calibri"/>
      <family val="2"/>
      <scheme val="minor"/>
    </font>
  </fonts>
  <fills count="5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gray125">
        <bgColor indexed="9"/>
      </patternFill>
    </fill>
    <fill>
      <patternFill patternType="solid">
        <fgColor rgb="FFFFFFFF"/>
        <bgColor indexed="64"/>
      </patternFill>
    </fill>
    <fill>
      <patternFill patternType="solid">
        <fgColor rgb="FFFFFF00"/>
        <bgColor indexed="64"/>
      </patternFill>
    </fill>
    <fill>
      <patternFill patternType="solid">
        <fgColor rgb="FFFFFF00"/>
        <bgColor indexed="26"/>
      </patternFill>
    </fill>
    <fill>
      <patternFill patternType="solid">
        <fgColor theme="3" tint="0.39997558519241921"/>
        <bgColor indexed="64"/>
      </patternFill>
    </fill>
    <fill>
      <patternFill patternType="solid">
        <fgColor theme="0" tint="-0.249977111117893"/>
        <bgColor indexed="26"/>
      </patternFill>
    </fill>
    <fill>
      <patternFill patternType="solid">
        <fgColor theme="0" tint="-0.249977111117893"/>
        <bgColor indexed="64"/>
      </patternFill>
    </fill>
    <fill>
      <patternFill patternType="solid">
        <fgColor theme="0" tint="-0.249977111117893"/>
        <bgColor indexed="24"/>
      </patternFill>
    </fill>
    <fill>
      <patternFill patternType="solid">
        <fgColor theme="0" tint="-0.249977111117893"/>
        <bgColor indexed="44"/>
      </patternFill>
    </fill>
    <fill>
      <patternFill patternType="solid">
        <fgColor theme="5" tint="0.79998168889431442"/>
        <bgColor indexed="64"/>
      </patternFill>
    </fill>
    <fill>
      <patternFill patternType="solid">
        <fgColor theme="5" tint="0.79998168889431442"/>
        <bgColor indexed="24"/>
      </patternFill>
    </fill>
    <fill>
      <patternFill patternType="solid">
        <fgColor theme="5" tint="0.39997558519241921"/>
        <bgColor indexed="24"/>
      </patternFill>
    </fill>
    <fill>
      <patternFill patternType="gray125">
        <fgColor auto="1"/>
        <bgColor theme="5" tint="0.79998168889431442"/>
      </patternFill>
    </fill>
    <fill>
      <patternFill patternType="solid">
        <fgColor theme="5" tint="0.39997558519241921"/>
        <bgColor indexed="40"/>
      </patternFill>
    </fill>
    <fill>
      <patternFill patternType="gray125">
        <fgColor auto="1"/>
        <bgColor theme="5" tint="0.39997558519241921"/>
      </patternFill>
    </fill>
    <fill>
      <patternFill patternType="solid">
        <fgColor rgb="FFC00000"/>
        <bgColor indexed="26"/>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39997558519241921"/>
        <bgColor indexed="24"/>
      </patternFill>
    </fill>
    <fill>
      <patternFill patternType="solid">
        <fgColor theme="3" tint="0.39997558519241921"/>
        <bgColor indexed="44"/>
      </patternFill>
    </fill>
    <fill>
      <patternFill patternType="gray125">
        <fgColor auto="1"/>
        <bgColor theme="3" tint="0.39997558519241921"/>
      </patternFill>
    </fill>
    <fill>
      <patternFill patternType="solid">
        <fgColor theme="3" tint="-0.249977111117893"/>
        <bgColor indexed="24"/>
      </patternFill>
    </fill>
    <fill>
      <patternFill patternType="solid">
        <fgColor theme="3" tint="0.39997558519241921"/>
        <bgColor indexed="26"/>
      </patternFill>
    </fill>
    <fill>
      <patternFill patternType="solid">
        <fgColor theme="3" tint="-0.249977111117893"/>
        <bgColor indexed="26"/>
      </patternFill>
    </fill>
    <fill>
      <patternFill patternType="solid">
        <fgColor theme="0" tint="-0.14999847407452621"/>
        <bgColor indexed="64"/>
      </patternFill>
    </fill>
    <fill>
      <patternFill patternType="solid">
        <fgColor theme="2"/>
        <bgColor indexed="64"/>
      </patternFill>
    </fill>
    <fill>
      <patternFill patternType="solid">
        <fgColor rgb="FF69D8FF"/>
        <bgColor indexed="24"/>
      </patternFill>
    </fill>
    <fill>
      <patternFill patternType="solid">
        <fgColor theme="4" tint="0.59999389629810485"/>
        <bgColor indexed="24"/>
      </patternFill>
    </fill>
    <fill>
      <patternFill patternType="solid">
        <fgColor theme="5" tint="0.39997558519241921"/>
        <bgColor auto="1"/>
      </patternFill>
    </fill>
    <fill>
      <patternFill patternType="solid">
        <fgColor theme="5" tint="0.79998168889431442"/>
        <bgColor auto="1"/>
      </patternFill>
    </fill>
    <fill>
      <patternFill patternType="solid">
        <fgColor theme="0" tint="-0.34998626667073579"/>
        <bgColor indexed="64"/>
      </patternFill>
    </fill>
    <fill>
      <patternFill patternType="solid">
        <fgColor theme="0"/>
        <bgColor indexed="64"/>
      </patternFill>
    </fill>
    <fill>
      <patternFill patternType="solid">
        <fgColor rgb="FFFFFF00"/>
        <bgColor indexed="2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bgColor indexed="64"/>
      </patternFill>
    </fill>
    <fill>
      <patternFill patternType="gray125">
        <bgColor theme="3" tint="0.79998168889431442"/>
      </patternFill>
    </fill>
    <fill>
      <patternFill patternType="gray125">
        <bgColor theme="0" tint="-0.14999847407452621"/>
      </patternFill>
    </fill>
    <fill>
      <patternFill patternType="gray125">
        <bgColor theme="3" tint="0.79995117038483843"/>
      </patternFill>
    </fill>
    <fill>
      <patternFill patternType="solid">
        <fgColor rgb="FF00206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FFFF66"/>
        <bgColor indexed="64"/>
      </patternFill>
    </fill>
  </fills>
  <borders count="257">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rgb="FF0070C0"/>
      </left>
      <right style="thin">
        <color rgb="FF0070C0"/>
      </right>
      <top/>
      <bottom style="thin">
        <color rgb="FF0070C0"/>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auto="1"/>
      </bottom>
      <diagonal/>
    </border>
    <border>
      <left style="thin">
        <color indexed="8"/>
      </left>
      <right/>
      <top style="thin">
        <color indexed="8"/>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thin">
        <color indexed="8"/>
      </right>
      <top style="medium">
        <color indexed="8"/>
      </top>
      <bottom/>
      <diagonal/>
    </border>
    <border>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medium">
        <color indexed="8"/>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style="thin">
        <color indexed="8"/>
      </left>
      <right/>
      <top style="thin">
        <color indexed="8"/>
      </top>
      <bottom style="thin">
        <color indexed="8"/>
      </bottom>
      <diagonal/>
    </border>
    <border>
      <left style="thin">
        <color indexed="8"/>
      </left>
      <right/>
      <top/>
      <bottom/>
      <diagonal/>
    </border>
    <border>
      <left/>
      <right style="medium">
        <color indexed="64"/>
      </right>
      <top style="thin">
        <color auto="1"/>
      </top>
      <bottom/>
      <diagonal/>
    </border>
    <border>
      <left/>
      <right style="thin">
        <color indexed="64"/>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indexed="64"/>
      </left>
      <right/>
      <top/>
      <bottom/>
      <diagonal/>
    </border>
    <border>
      <left/>
      <right style="thin">
        <color indexed="64"/>
      </right>
      <top/>
      <bottom/>
      <diagonal/>
    </border>
    <border>
      <left/>
      <right/>
      <top style="thin">
        <color indexed="8"/>
      </top>
      <bottom style="thin">
        <color indexed="8"/>
      </bottom>
      <diagonal/>
    </border>
    <border>
      <left style="medium">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right style="medium">
        <color indexed="64"/>
      </right>
      <top/>
      <bottom style="medium">
        <color indexed="64"/>
      </bottom>
      <diagonal/>
    </border>
    <border>
      <left style="thin">
        <color indexed="8"/>
      </left>
      <right/>
      <top/>
      <bottom/>
      <diagonal/>
    </border>
    <border>
      <left/>
      <right style="thin">
        <color indexed="8"/>
      </right>
      <top/>
      <bottom/>
      <diagonal/>
    </border>
    <border>
      <left/>
      <right style="thin">
        <color indexed="8"/>
      </right>
      <top style="medium">
        <color indexed="8"/>
      </top>
      <bottom/>
      <diagonal/>
    </border>
    <border>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thin">
        <color indexed="64"/>
      </left>
      <right/>
      <top style="thin">
        <color indexed="64"/>
      </top>
      <bottom style="medium">
        <color indexed="64"/>
      </bottom>
      <diagonal/>
    </border>
    <border>
      <left style="thin">
        <color indexed="8"/>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diagonal/>
    </border>
    <border>
      <left style="medium">
        <color auto="1"/>
      </left>
      <right/>
      <top/>
      <bottom/>
      <diagonal/>
    </border>
    <border>
      <left style="medium">
        <color auto="1"/>
      </left>
      <right/>
      <top/>
      <bottom style="medium">
        <color indexed="64"/>
      </bottom>
      <diagonal/>
    </border>
    <border>
      <left style="medium">
        <color indexed="64"/>
      </left>
      <right style="medium">
        <color indexed="64"/>
      </right>
      <top style="medium">
        <color indexed="64"/>
      </top>
      <bottom/>
      <diagonal/>
    </border>
    <border>
      <left/>
      <right/>
      <top style="medium">
        <color auto="1"/>
      </top>
      <bottom style="thin">
        <color auto="1"/>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right/>
      <top/>
      <bottom style="medium">
        <color auto="1"/>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auto="1"/>
      </right>
      <top/>
      <bottom/>
      <diagonal/>
    </border>
    <border>
      <left style="thin">
        <color indexed="64"/>
      </left>
      <right style="medium">
        <color indexed="64"/>
      </right>
      <top/>
      <bottom style="thin">
        <color indexed="64"/>
      </bottom>
      <diagonal/>
    </border>
    <border>
      <left/>
      <right/>
      <top style="medium">
        <color indexed="64"/>
      </top>
      <bottom style="thin">
        <color indexed="8"/>
      </bottom>
      <diagonal/>
    </border>
    <border>
      <left/>
      <right style="thin">
        <color indexed="8"/>
      </right>
      <top style="thin">
        <color indexed="8"/>
      </top>
      <bottom/>
      <diagonal/>
    </border>
    <border>
      <left style="medium">
        <color indexed="64"/>
      </left>
      <right/>
      <top style="medium">
        <color indexed="64"/>
      </top>
      <bottom style="thin">
        <color indexed="8"/>
      </bottom>
      <diagonal/>
    </border>
    <border>
      <left style="thin">
        <color indexed="8"/>
      </left>
      <right/>
      <top style="thin">
        <color indexed="8"/>
      </top>
      <bottom style="thin">
        <color indexed="8"/>
      </bottom>
      <diagonal/>
    </border>
    <border>
      <left/>
      <right style="thin">
        <color indexed="64"/>
      </right>
      <top style="medium">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8"/>
      </left>
      <right/>
      <top style="thin">
        <color indexed="8"/>
      </top>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medium">
        <color indexed="64"/>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thin">
        <color indexed="8"/>
      </left>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style="medium">
        <color indexed="64"/>
      </top>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medium">
        <color indexed="8"/>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thin">
        <color indexed="8"/>
      </right>
      <top style="medium">
        <color indexed="8"/>
      </top>
      <bottom/>
      <diagonal/>
    </border>
    <border>
      <left style="thin">
        <color indexed="8"/>
      </left>
      <right style="medium">
        <color auto="1"/>
      </right>
      <top style="medium">
        <color indexed="8"/>
      </top>
      <bottom/>
      <diagonal/>
    </border>
    <border>
      <left/>
      <right/>
      <top style="medium">
        <color indexed="8"/>
      </top>
      <bottom/>
      <diagonal/>
    </border>
    <border>
      <left/>
      <right style="medium">
        <color auto="1"/>
      </right>
      <top style="medium">
        <color indexed="8"/>
      </top>
      <bottom/>
      <diagonal/>
    </border>
    <border>
      <left style="thin">
        <color indexed="8"/>
      </left>
      <right style="medium">
        <color indexed="8"/>
      </right>
      <top style="medium">
        <color indexed="64"/>
      </top>
      <bottom/>
      <diagonal/>
    </border>
    <border>
      <left style="medium">
        <color indexed="8"/>
      </left>
      <right style="thin">
        <color indexed="8"/>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style="thin">
        <color indexed="8"/>
      </top>
      <bottom style="thin">
        <color auto="1"/>
      </bottom>
      <diagonal/>
    </border>
    <border>
      <left style="thin">
        <color indexed="8"/>
      </left>
      <right/>
      <top style="thin">
        <color indexed="8"/>
      </top>
      <bottom style="thin">
        <color indexed="8"/>
      </bottom>
      <diagonal/>
    </border>
    <border>
      <left style="thin">
        <color indexed="8"/>
      </left>
      <right/>
      <top style="thin">
        <color auto="1"/>
      </top>
      <bottom style="thin">
        <color indexed="8"/>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indexed="8"/>
      </right>
      <top style="thin">
        <color auto="1"/>
      </top>
      <bottom style="thin">
        <color auto="1"/>
      </bottom>
      <diagonal/>
    </border>
    <border>
      <left/>
      <right/>
      <top/>
      <bottom style="thin">
        <color theme="4" tint="0.39997558519241921"/>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thin">
        <color indexed="8"/>
      </right>
      <top/>
      <bottom/>
      <diagonal/>
    </border>
    <border>
      <left style="medium">
        <color indexed="64"/>
      </left>
      <right style="thin">
        <color auto="1"/>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s>
  <cellStyleXfs count="37">
    <xf numFmtId="0" fontId="0" fillId="0" borderId="0"/>
    <xf numFmtId="0" fontId="12"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7" fillId="0" borderId="0" applyNumberFormat="0" applyFill="0" applyBorder="0" applyAlignment="0" applyProtection="0"/>
    <xf numFmtId="0" fontId="8" fillId="7"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73" fontId="15" fillId="0" borderId="0"/>
    <xf numFmtId="167" fontId="15" fillId="0" borderId="0"/>
    <xf numFmtId="0" fontId="9" fillId="8" borderId="0" applyNumberFormat="0" applyBorder="0" applyAlignment="0" applyProtection="0"/>
    <xf numFmtId="0" fontId="6" fillId="8" borderId="1" applyNumberFormat="0" applyAlignment="0" applyProtection="0"/>
    <xf numFmtId="17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0" fillId="0" borderId="0" applyNumberFormat="0" applyFill="0" applyBorder="0" applyAlignment="0" applyProtection="0"/>
    <xf numFmtId="0" fontId="22" fillId="0" borderId="0" applyNumberFormat="0" applyFill="0" applyBorder="0" applyAlignment="0" applyProtection="0"/>
    <xf numFmtId="184" fontId="32"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73" fontId="15" fillId="0" borderId="0" applyFill="0" applyBorder="0" applyAlignment="0" applyProtection="0"/>
    <xf numFmtId="167" fontId="15" fillId="0" borderId="0" applyFill="0" applyBorder="0" applyAlignment="0" applyProtection="0"/>
    <xf numFmtId="166" fontId="15" fillId="0" borderId="0" applyFont="0" applyFill="0" applyBorder="0" applyAlignment="0" applyProtection="0"/>
    <xf numFmtId="0" fontId="15" fillId="0" borderId="0"/>
    <xf numFmtId="0" fontId="15" fillId="0" borderId="0"/>
    <xf numFmtId="0" fontId="15" fillId="0" borderId="0"/>
    <xf numFmtId="9" fontId="15" fillId="0" borderId="0" applyFill="0" applyBorder="0" applyAlignment="0" applyProtection="0"/>
    <xf numFmtId="164" fontId="15" fillId="0" borderId="0" applyFont="0" applyFill="0" applyBorder="0" applyAlignment="0" applyProtection="0"/>
    <xf numFmtId="0" fontId="2" fillId="0" borderId="0"/>
    <xf numFmtId="165" fontId="2" fillId="0" borderId="0" applyFont="0" applyFill="0" applyBorder="0" applyAlignment="0" applyProtection="0"/>
    <xf numFmtId="0" fontId="6" fillId="8" borderId="246" applyNumberFormat="0" applyAlignment="0" applyProtection="0"/>
    <xf numFmtId="0" fontId="1" fillId="0" borderId="0"/>
    <xf numFmtId="165" fontId="1" fillId="0" borderId="0" applyFont="0" applyFill="0" applyBorder="0" applyAlignment="0" applyProtection="0"/>
  </cellStyleXfs>
  <cellXfs count="1083">
    <xf numFmtId="0" fontId="0" fillId="0" borderId="0" xfId="0"/>
    <xf numFmtId="0" fontId="0" fillId="0" borderId="0" xfId="0" applyFont="1" applyProtection="1"/>
    <xf numFmtId="0" fontId="0" fillId="0" borderId="0" xfId="0" applyFont="1" applyFill="1" applyProtection="1"/>
    <xf numFmtId="170" fontId="0" fillId="0" borderId="0" xfId="16" applyFont="1" applyProtection="1"/>
    <xf numFmtId="0" fontId="0" fillId="0" borderId="0" xfId="0" applyFont="1" applyAlignment="1" applyProtection="1">
      <alignment vertical="center"/>
    </xf>
    <xf numFmtId="0" fontId="17" fillId="0" borderId="0" xfId="0" applyFont="1" applyAlignment="1" applyProtection="1">
      <alignment vertical="center"/>
    </xf>
    <xf numFmtId="0" fontId="14" fillId="0" borderId="0" xfId="0" applyFont="1" applyAlignment="1" applyProtection="1">
      <alignment vertical="center"/>
    </xf>
    <xf numFmtId="0" fontId="14" fillId="0" borderId="0" xfId="0" applyFont="1" applyBorder="1" applyAlignment="1" applyProtection="1">
      <alignment vertical="center"/>
    </xf>
    <xf numFmtId="0" fontId="18" fillId="0" borderId="0" xfId="0" applyFont="1" applyAlignment="1" applyProtection="1">
      <alignment vertical="center"/>
    </xf>
    <xf numFmtId="0" fontId="14" fillId="0" borderId="0" xfId="0" applyFont="1" applyAlignment="1" applyProtection="1">
      <alignment horizontal="right" vertical="center"/>
    </xf>
    <xf numFmtId="0" fontId="0" fillId="0" borderId="0" xfId="0" applyFont="1" applyFill="1" applyAlignment="1" applyProtection="1">
      <alignment vertical="center"/>
    </xf>
    <xf numFmtId="0" fontId="14" fillId="9" borderId="0" xfId="0" applyFont="1" applyFill="1" applyBorder="1" applyAlignment="1" applyProtection="1">
      <alignment horizontal="left" vertical="center"/>
    </xf>
    <xf numFmtId="169" fontId="14" fillId="9" borderId="0" xfId="13" applyNumberFormat="1" applyFont="1" applyFill="1" applyBorder="1" applyAlignment="1" applyProtection="1">
      <alignment vertical="center"/>
    </xf>
    <xf numFmtId="167" fontId="14" fillId="0" borderId="0" xfId="13" applyFont="1" applyFill="1" applyBorder="1" applyAlignment="1" applyProtection="1">
      <alignment vertical="center"/>
    </xf>
    <xf numFmtId="0" fontId="14" fillId="0" borderId="0" xfId="0" applyFont="1" applyFill="1" applyAlignment="1" applyProtection="1">
      <alignment vertical="center"/>
    </xf>
    <xf numFmtId="172" fontId="14" fillId="0" borderId="0" xfId="0" applyNumberFormat="1" applyFont="1" applyFill="1" applyAlignment="1" applyProtection="1">
      <alignment vertical="center"/>
    </xf>
    <xf numFmtId="0" fontId="0" fillId="0" borderId="0" xfId="0" applyFont="1" applyAlignment="1" applyProtection="1">
      <alignment horizontal="center" vertical="center"/>
    </xf>
    <xf numFmtId="169" fontId="14" fillId="0" borderId="0"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xf>
    <xf numFmtId="0" fontId="14" fillId="0" borderId="0" xfId="0" applyFont="1" applyFill="1" applyBorder="1" applyAlignment="1" applyProtection="1">
      <alignment horizontal="right" vertical="center"/>
    </xf>
    <xf numFmtId="0" fontId="14" fillId="0" borderId="0" xfId="0" applyFont="1" applyFill="1" applyBorder="1" applyAlignment="1" applyProtection="1">
      <alignment horizontal="center" vertical="center" wrapText="1"/>
    </xf>
    <xf numFmtId="167" fontId="0" fillId="0" borderId="0" xfId="13" applyFont="1" applyFill="1" applyBorder="1" applyAlignment="1" applyProtection="1">
      <alignment vertical="center"/>
    </xf>
    <xf numFmtId="0" fontId="0" fillId="0" borderId="0" xfId="0" applyFont="1" applyFill="1" applyBorder="1" applyAlignment="1" applyProtection="1">
      <alignment vertical="center"/>
    </xf>
    <xf numFmtId="170" fontId="17" fillId="0" borderId="0" xfId="16" applyFont="1" applyBorder="1" applyAlignment="1" applyProtection="1">
      <alignment vertical="center"/>
    </xf>
    <xf numFmtId="175" fontId="0" fillId="0" borderId="0" xfId="12" applyNumberFormat="1" applyFont="1" applyFill="1" applyBorder="1" applyAlignment="1" applyProtection="1">
      <alignment vertical="center"/>
    </xf>
    <xf numFmtId="170" fontId="0" fillId="0" borderId="0" xfId="16" applyFont="1" applyFill="1" applyProtection="1"/>
    <xf numFmtId="0" fontId="0" fillId="11" borderId="0" xfId="0" applyFont="1" applyFill="1" applyBorder="1" applyAlignment="1" applyProtection="1">
      <alignment horizontal="left" vertical="center"/>
    </xf>
    <xf numFmtId="178" fontId="0" fillId="11" borderId="0" xfId="0" applyNumberFormat="1" applyFont="1" applyFill="1" applyBorder="1" applyAlignment="1" applyProtection="1">
      <alignment horizontal="right" vertical="center"/>
    </xf>
    <xf numFmtId="0" fontId="0" fillId="11" borderId="0" xfId="0" applyFont="1" applyFill="1" applyProtection="1"/>
    <xf numFmtId="0" fontId="0" fillId="0" borderId="0" xfId="0" applyFont="1" applyFill="1" applyBorder="1" applyProtection="1"/>
    <xf numFmtId="17" fontId="19" fillId="0" borderId="0" xfId="0" applyNumberFormat="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11" borderId="0" xfId="0" applyFont="1" applyFill="1" applyAlignment="1" applyProtection="1">
      <alignment vertical="center"/>
    </xf>
    <xf numFmtId="178" fontId="0" fillId="0" borderId="0" xfId="0" applyNumberFormat="1" applyFont="1" applyFill="1" applyBorder="1" applyAlignment="1" applyProtection="1">
      <alignment horizontal="right" vertical="center"/>
    </xf>
    <xf numFmtId="9" fontId="0" fillId="0" borderId="0" xfId="0" applyNumberFormat="1" applyFont="1" applyFill="1" applyBorder="1" applyAlignment="1" applyProtection="1">
      <alignment horizontal="center" vertical="center"/>
    </xf>
    <xf numFmtId="178" fontId="14" fillId="0" borderId="0" xfId="0" applyNumberFormat="1" applyFont="1" applyFill="1" applyBorder="1" applyProtection="1"/>
    <xf numFmtId="178" fontId="14" fillId="11" borderId="0" xfId="0" applyNumberFormat="1" applyFont="1" applyFill="1" applyBorder="1" applyAlignment="1" applyProtection="1">
      <alignment horizontal="right" vertical="center"/>
    </xf>
    <xf numFmtId="9" fontId="0" fillId="11" borderId="0" xfId="0" applyNumberFormat="1" applyFont="1" applyFill="1" applyBorder="1" applyAlignment="1" applyProtection="1">
      <alignment horizontal="center" vertical="center"/>
    </xf>
    <xf numFmtId="0" fontId="0" fillId="11" borderId="0" xfId="0" applyFont="1" applyFill="1" applyBorder="1" applyProtection="1"/>
    <xf numFmtId="178" fontId="0" fillId="0" borderId="0" xfId="0" applyNumberFormat="1" applyFont="1" applyFill="1" applyBorder="1" applyProtection="1"/>
    <xf numFmtId="178" fontId="0" fillId="11" borderId="0" xfId="0" applyNumberFormat="1" applyFont="1" applyFill="1" applyBorder="1" applyProtection="1"/>
    <xf numFmtId="0" fontId="0" fillId="11" borderId="0" xfId="0" applyFont="1" applyFill="1" applyAlignment="1" applyProtection="1">
      <alignment horizontal="center" vertical="center"/>
    </xf>
    <xf numFmtId="0" fontId="0" fillId="11" borderId="0" xfId="0" applyFont="1" applyFill="1" applyAlignment="1" applyProtection="1"/>
    <xf numFmtId="0" fontId="14" fillId="0" borderId="0" xfId="0" applyFont="1" applyBorder="1" applyAlignment="1" applyProtection="1">
      <alignment horizontal="center" vertical="center"/>
    </xf>
    <xf numFmtId="0" fontId="0" fillId="0" borderId="0" xfId="0" applyFont="1" applyBorder="1" applyProtection="1"/>
    <xf numFmtId="0" fontId="14" fillId="0" borderId="0" xfId="0" applyFont="1" applyBorder="1" applyProtection="1"/>
    <xf numFmtId="0" fontId="14" fillId="0" borderId="0" xfId="0" applyFont="1" applyFill="1" applyBorder="1" applyAlignment="1" applyProtection="1">
      <alignment vertical="center"/>
    </xf>
    <xf numFmtId="170" fontId="14" fillId="0" borderId="0" xfId="16" applyFont="1" applyFill="1" applyBorder="1" applyAlignment="1" applyProtection="1">
      <alignment horizontal="center" vertical="center"/>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1" fontId="0" fillId="0" borderId="0" xfId="16" applyNumberFormat="1" applyFont="1" applyProtection="1"/>
    <xf numFmtId="0" fontId="14" fillId="0" borderId="0" xfId="0" applyFont="1" applyFill="1" applyBorder="1" applyAlignment="1" applyProtection="1">
      <alignment horizontal="center"/>
    </xf>
    <xf numFmtId="178" fontId="14" fillId="0" borderId="0" xfId="0" applyNumberFormat="1" applyFont="1" applyFill="1" applyBorder="1" applyAlignment="1" applyProtection="1">
      <alignment horizontal="center" vertical="center" wrapText="1"/>
    </xf>
    <xf numFmtId="168" fontId="25" fillId="30" borderId="27" xfId="0" applyNumberFormat="1" applyFont="1" applyFill="1" applyBorder="1" applyAlignment="1" applyProtection="1">
      <alignment vertical="center"/>
    </xf>
    <xf numFmtId="168" fontId="14" fillId="32" borderId="32" xfId="13" applyNumberFormat="1" applyFont="1" applyFill="1" applyBorder="1" applyAlignment="1" applyProtection="1">
      <alignment vertical="center"/>
    </xf>
    <xf numFmtId="0" fontId="0" fillId="0" borderId="0" xfId="0" applyFont="1" applyBorder="1" applyAlignment="1" applyProtection="1">
      <alignment horizontal="left" vertical="center" wrapText="1"/>
    </xf>
    <xf numFmtId="0" fontId="14" fillId="16" borderId="22" xfId="0" applyFont="1" applyFill="1" applyBorder="1" applyAlignment="1" applyProtection="1">
      <alignment horizontal="center" vertical="center" wrapText="1"/>
    </xf>
    <xf numFmtId="0" fontId="24" fillId="0" borderId="42"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78" fontId="14" fillId="26" borderId="22" xfId="0" applyNumberFormat="1" applyFont="1" applyFill="1" applyBorder="1" applyAlignment="1" applyProtection="1">
      <alignment horizontal="center" vertical="center"/>
    </xf>
    <xf numFmtId="171" fontId="14" fillId="19" borderId="22" xfId="16" applyNumberFormat="1" applyFont="1" applyFill="1" applyBorder="1" applyAlignment="1" applyProtection="1">
      <alignment horizontal="center" vertical="center"/>
    </xf>
    <xf numFmtId="178" fontId="0" fillId="26" borderId="22" xfId="0" applyNumberFormat="1" applyFont="1" applyFill="1" applyBorder="1" applyAlignment="1" applyProtection="1">
      <alignment horizontal="center" vertical="center"/>
    </xf>
    <xf numFmtId="178" fontId="24" fillId="26" borderId="18" xfId="0" applyNumberFormat="1" applyFont="1" applyFill="1" applyBorder="1" applyAlignment="1" applyProtection="1">
      <alignment horizontal="right" vertical="center"/>
    </xf>
    <xf numFmtId="170" fontId="16" fillId="19" borderId="6" xfId="16" applyFont="1" applyFill="1" applyBorder="1" applyAlignment="1" applyProtection="1">
      <alignment horizontal="center" vertical="center"/>
    </xf>
    <xf numFmtId="0" fontId="14" fillId="43" borderId="0" xfId="0" applyFont="1" applyFill="1" applyBorder="1" applyAlignment="1" applyProtection="1">
      <alignment horizontal="center" vertical="center"/>
    </xf>
    <xf numFmtId="0" fontId="0" fillId="43" borderId="0" xfId="0" applyFill="1" applyProtection="1"/>
    <xf numFmtId="0" fontId="0" fillId="43" borderId="0" xfId="0" applyFill="1" applyAlignment="1" applyProtection="1">
      <alignment horizontal="center" vertical="center"/>
    </xf>
    <xf numFmtId="179" fontId="0" fillId="0" borderId="0" xfId="13" applyNumberFormat="1" applyFont="1" applyFill="1" applyBorder="1" applyAlignment="1" applyProtection="1">
      <alignment vertical="center"/>
    </xf>
    <xf numFmtId="0" fontId="0" fillId="12" borderId="30" xfId="0" applyFont="1" applyFill="1" applyBorder="1" applyAlignment="1" applyProtection="1">
      <alignment horizontal="left" vertical="center"/>
      <protection locked="0"/>
    </xf>
    <xf numFmtId="0" fontId="0" fillId="12" borderId="34" xfId="0" applyFont="1" applyFill="1" applyBorder="1" applyAlignment="1" applyProtection="1">
      <alignment horizontal="left" vertical="center"/>
      <protection locked="0"/>
    </xf>
    <xf numFmtId="0" fontId="0" fillId="12" borderId="17" xfId="0" applyFont="1" applyFill="1" applyBorder="1" applyAlignment="1" applyProtection="1">
      <alignment horizontal="left" vertical="center"/>
      <protection locked="0"/>
    </xf>
    <xf numFmtId="0" fontId="0" fillId="12" borderId="23" xfId="0" applyFont="1" applyFill="1" applyBorder="1" applyAlignment="1" applyProtection="1">
      <alignment horizontal="left" vertical="center"/>
      <protection locked="0"/>
    </xf>
    <xf numFmtId="0" fontId="0" fillId="12" borderId="23" xfId="0" applyFont="1" applyFill="1" applyBorder="1" applyProtection="1">
      <protection locked="0"/>
    </xf>
    <xf numFmtId="0" fontId="0" fillId="12" borderId="20" xfId="0" applyFont="1" applyFill="1" applyBorder="1" applyProtection="1">
      <protection locked="0"/>
    </xf>
    <xf numFmtId="170" fontId="15" fillId="0" borderId="22" xfId="16" applyBorder="1" applyAlignment="1" applyProtection="1">
      <alignment horizontal="center" vertical="center"/>
    </xf>
    <xf numFmtId="170" fontId="14" fillId="16" borderId="22" xfId="16" applyFont="1" applyFill="1" applyBorder="1" applyAlignment="1" applyProtection="1">
      <alignment horizontal="center" vertical="center"/>
    </xf>
    <xf numFmtId="0" fontId="0" fillId="0" borderId="0" xfId="0" applyFont="1" applyAlignment="1" applyProtection="1">
      <alignment horizontal="left" vertical="center" wrapText="1"/>
      <protection locked="0"/>
    </xf>
    <xf numFmtId="0" fontId="0" fillId="12" borderId="53" xfId="0" applyFont="1" applyFill="1" applyBorder="1" applyProtection="1">
      <protection locked="0"/>
    </xf>
    <xf numFmtId="169" fontId="14" fillId="35" borderId="62" xfId="0" applyNumberFormat="1"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70" fontId="30" fillId="0" borderId="0" xfId="16" applyFont="1" applyFill="1" applyBorder="1" applyAlignment="1" applyProtection="1">
      <alignment horizontal="center" vertical="center"/>
    </xf>
    <xf numFmtId="0" fontId="14" fillId="0" borderId="0" xfId="0" applyFont="1" applyBorder="1" applyAlignment="1" applyProtection="1">
      <alignment horizontal="right" vertical="center"/>
    </xf>
    <xf numFmtId="0" fontId="26" fillId="0" borderId="0" xfId="0" applyFont="1" applyBorder="1" applyAlignment="1" applyProtection="1">
      <alignment horizontal="left" vertical="center" indent="2"/>
    </xf>
    <xf numFmtId="0" fontId="14" fillId="0" borderId="0" xfId="0" applyFont="1" applyFill="1" applyBorder="1" applyAlignment="1" applyProtection="1">
      <alignment horizontal="center" vertical="center"/>
    </xf>
    <xf numFmtId="179" fontId="0" fillId="12" borderId="70" xfId="13" applyNumberFormat="1" applyFont="1" applyFill="1" applyBorder="1" applyAlignment="1" applyProtection="1">
      <alignment vertical="center"/>
      <protection locked="0"/>
    </xf>
    <xf numFmtId="179" fontId="0" fillId="12" borderId="71" xfId="13" applyNumberFormat="1" applyFont="1" applyFill="1" applyBorder="1" applyAlignment="1" applyProtection="1">
      <alignment vertical="center"/>
      <protection locked="0"/>
    </xf>
    <xf numFmtId="0" fontId="0" fillId="12" borderId="72" xfId="0" applyFont="1" applyFill="1" applyBorder="1" applyAlignment="1" applyProtection="1">
      <alignment horizontal="left" vertical="center"/>
      <protection locked="0"/>
    </xf>
    <xf numFmtId="0" fontId="0" fillId="12" borderId="72" xfId="0" applyFont="1" applyFill="1" applyBorder="1" applyProtection="1">
      <protection locked="0"/>
    </xf>
    <xf numFmtId="0" fontId="0" fillId="12" borderId="73" xfId="0" applyFont="1" applyFill="1" applyBorder="1" applyProtection="1">
      <protection locked="0"/>
    </xf>
    <xf numFmtId="179" fontId="0" fillId="12" borderId="72" xfId="13" applyNumberFormat="1" applyFont="1" applyFill="1" applyBorder="1" applyAlignment="1" applyProtection="1">
      <alignment vertical="center"/>
      <protection locked="0"/>
    </xf>
    <xf numFmtId="0" fontId="0" fillId="12" borderId="70" xfId="0" applyFont="1" applyFill="1" applyBorder="1" applyAlignment="1" applyProtection="1">
      <alignment horizontal="left" vertical="center"/>
      <protection locked="0"/>
    </xf>
    <xf numFmtId="0" fontId="0" fillId="12" borderId="70" xfId="0" applyFont="1" applyFill="1" applyBorder="1" applyProtection="1">
      <protection locked="0"/>
    </xf>
    <xf numFmtId="0" fontId="0" fillId="12" borderId="75" xfId="0" applyFont="1" applyFill="1" applyBorder="1" applyProtection="1">
      <protection locked="0"/>
    </xf>
    <xf numFmtId="0" fontId="0" fillId="12" borderId="68" xfId="0" applyFont="1" applyFill="1" applyBorder="1" applyAlignment="1" applyProtection="1">
      <alignment horizontal="left" vertical="center"/>
      <protection locked="0"/>
    </xf>
    <xf numFmtId="0" fontId="0" fillId="12" borderId="68" xfId="0" applyFont="1" applyFill="1" applyBorder="1" applyProtection="1">
      <protection locked="0"/>
    </xf>
    <xf numFmtId="0" fontId="0" fillId="12" borderId="71" xfId="0" applyFont="1" applyFill="1" applyBorder="1" applyAlignment="1" applyProtection="1">
      <alignment horizontal="left" vertical="center"/>
      <protection locked="0"/>
    </xf>
    <xf numFmtId="0" fontId="0" fillId="12" borderId="71" xfId="0" applyFont="1" applyFill="1" applyBorder="1" applyProtection="1">
      <protection locked="0"/>
    </xf>
    <xf numFmtId="0" fontId="0" fillId="12" borderId="77" xfId="0" applyFont="1" applyFill="1" applyBorder="1" applyProtection="1">
      <protection locked="0"/>
    </xf>
    <xf numFmtId="178" fontId="0" fillId="0" borderId="78" xfId="0" applyNumberFormat="1" applyFont="1" applyFill="1" applyBorder="1" applyAlignment="1" applyProtection="1">
      <alignment horizontal="right" vertical="center"/>
    </xf>
    <xf numFmtId="178" fontId="0" fillId="0" borderId="80" xfId="0" applyNumberFormat="1" applyFont="1" applyFill="1" applyBorder="1" applyAlignment="1" applyProtection="1">
      <alignment horizontal="right" vertical="center"/>
    </xf>
    <xf numFmtId="178" fontId="0" fillId="0" borderId="81" xfId="0" applyNumberFormat="1" applyFont="1" applyFill="1" applyBorder="1" applyAlignment="1" applyProtection="1">
      <alignment horizontal="right" vertical="center"/>
    </xf>
    <xf numFmtId="0" fontId="14" fillId="16" borderId="53" xfId="0" applyFont="1" applyFill="1" applyBorder="1" applyAlignment="1" applyProtection="1">
      <alignment horizontal="center" vertical="center" wrapText="1"/>
    </xf>
    <xf numFmtId="0" fontId="14" fillId="16" borderId="23" xfId="0" applyFont="1" applyFill="1" applyBorder="1" applyAlignment="1" applyProtection="1">
      <alignment horizontal="center" vertical="center" wrapText="1"/>
    </xf>
    <xf numFmtId="0" fontId="14" fillId="16" borderId="39" xfId="0" applyFont="1" applyFill="1" applyBorder="1" applyAlignment="1" applyProtection="1">
      <alignment horizontal="center" vertical="center" wrapText="1"/>
    </xf>
    <xf numFmtId="179" fontId="0" fillId="12" borderId="75" xfId="13" applyNumberFormat="1" applyFont="1" applyFill="1" applyBorder="1" applyAlignment="1" applyProtection="1">
      <alignment vertical="center"/>
      <protection locked="0"/>
    </xf>
    <xf numFmtId="179" fontId="0" fillId="12" borderId="77" xfId="13" applyNumberFormat="1" applyFont="1" applyFill="1" applyBorder="1" applyAlignment="1" applyProtection="1">
      <alignment vertical="center"/>
      <protection locked="0"/>
    </xf>
    <xf numFmtId="179" fontId="0" fillId="12" borderId="73" xfId="13" applyNumberFormat="1" applyFont="1" applyFill="1" applyBorder="1" applyAlignment="1" applyProtection="1">
      <alignment vertical="center"/>
      <protection locked="0"/>
    </xf>
    <xf numFmtId="178" fontId="0" fillId="29" borderId="80" xfId="0" applyNumberFormat="1" applyFont="1" applyFill="1" applyBorder="1" applyAlignment="1" applyProtection="1">
      <alignment horizontal="right" vertical="center"/>
    </xf>
    <xf numFmtId="178" fontId="0" fillId="29" borderId="81" xfId="0" applyNumberFormat="1" applyFont="1" applyFill="1" applyBorder="1" applyAlignment="1" applyProtection="1">
      <alignment horizontal="right" vertical="center"/>
    </xf>
    <xf numFmtId="178" fontId="0" fillId="29" borderId="78" xfId="0" applyNumberFormat="1" applyFont="1" applyFill="1" applyBorder="1" applyAlignment="1" applyProtection="1">
      <alignment horizontal="right" vertical="center"/>
    </xf>
    <xf numFmtId="178" fontId="0" fillId="29" borderId="74" xfId="0" applyNumberFormat="1" applyFont="1" applyFill="1" applyBorder="1" applyAlignment="1" applyProtection="1">
      <alignment horizontal="right" vertical="center"/>
    </xf>
    <xf numFmtId="178" fontId="0" fillId="29" borderId="82" xfId="0" applyNumberFormat="1" applyFont="1" applyFill="1" applyBorder="1" applyAlignment="1" applyProtection="1">
      <alignment horizontal="right" vertical="center"/>
    </xf>
    <xf numFmtId="178" fontId="0" fillId="0" borderId="74" xfId="0" applyNumberFormat="1" applyFont="1" applyFill="1" applyBorder="1" applyAlignment="1" applyProtection="1">
      <alignment horizontal="right" vertical="center"/>
    </xf>
    <xf numFmtId="178" fontId="0" fillId="0" borderId="82" xfId="0" applyNumberFormat="1" applyFont="1" applyFill="1" applyBorder="1" applyAlignment="1" applyProtection="1">
      <alignment horizontal="right" vertical="center"/>
    </xf>
    <xf numFmtId="0" fontId="0" fillId="12" borderId="83" xfId="0" applyFont="1" applyFill="1" applyBorder="1" applyAlignment="1" applyProtection="1">
      <alignment horizontal="left" vertical="center"/>
      <protection locked="0"/>
    </xf>
    <xf numFmtId="0" fontId="0" fillId="12" borderId="84" xfId="0" applyFont="1" applyFill="1" applyBorder="1" applyAlignment="1" applyProtection="1">
      <alignment horizontal="left" vertical="center"/>
      <protection locked="0"/>
    </xf>
    <xf numFmtId="0" fontId="26" fillId="0" borderId="0" xfId="0" applyFont="1" applyBorder="1" applyAlignment="1" applyProtection="1">
      <alignment vertical="center"/>
    </xf>
    <xf numFmtId="0" fontId="12" fillId="23" borderId="71" xfId="0" applyFont="1" applyFill="1" applyBorder="1" applyAlignment="1" applyProtection="1">
      <alignment horizontal="left" vertical="center"/>
    </xf>
    <xf numFmtId="0" fontId="12" fillId="20" borderId="71" xfId="0" applyFont="1" applyFill="1" applyBorder="1" applyAlignment="1" applyProtection="1">
      <alignment horizontal="left" vertical="center"/>
    </xf>
    <xf numFmtId="176" fontId="20" fillId="0" borderId="71" xfId="0" applyNumberFormat="1" applyFont="1" applyFill="1" applyBorder="1" applyAlignment="1" applyProtection="1">
      <alignment horizontal="left"/>
    </xf>
    <xf numFmtId="0" fontId="14" fillId="21" borderId="71" xfId="0" applyFont="1" applyFill="1" applyBorder="1" applyAlignment="1" applyProtection="1">
      <alignment horizontal="center" vertical="center"/>
    </xf>
    <xf numFmtId="0" fontId="14" fillId="20" borderId="71" xfId="0" applyFont="1" applyFill="1" applyBorder="1" applyAlignment="1" applyProtection="1">
      <alignment horizontal="center" vertical="center" wrapText="1"/>
    </xf>
    <xf numFmtId="1" fontId="0" fillId="0" borderId="71" xfId="0" applyNumberFormat="1" applyFont="1" applyFill="1" applyBorder="1" applyAlignment="1" applyProtection="1">
      <alignment horizontal="center" vertical="center" wrapText="1"/>
    </xf>
    <xf numFmtId="169" fontId="12" fillId="23" borderId="71" xfId="13" applyNumberFormat="1" applyFont="1" applyFill="1" applyBorder="1" applyAlignment="1" applyProtection="1">
      <alignment horizontal="center" vertical="center"/>
    </xf>
    <xf numFmtId="169" fontId="12" fillId="20" borderId="71" xfId="13" applyNumberFormat="1" applyFont="1" applyFill="1" applyBorder="1" applyAlignment="1" applyProtection="1">
      <alignment horizontal="center" vertical="center"/>
    </xf>
    <xf numFmtId="169" fontId="0" fillId="12" borderId="71" xfId="13" applyNumberFormat="1" applyFont="1" applyFill="1" applyBorder="1" applyAlignment="1" applyProtection="1">
      <alignment vertical="center"/>
      <protection locked="0"/>
    </xf>
    <xf numFmtId="0" fontId="14" fillId="31" borderId="71" xfId="0" applyFont="1" applyFill="1" applyBorder="1" applyAlignment="1" applyProtection="1">
      <alignment horizontal="center" vertical="center" wrapText="1"/>
    </xf>
    <xf numFmtId="0" fontId="14" fillId="32" borderId="71" xfId="0" applyFont="1" applyFill="1" applyBorder="1" applyAlignment="1" applyProtection="1">
      <alignment horizontal="left" vertical="center"/>
    </xf>
    <xf numFmtId="169" fontId="14" fillId="31" borderId="71" xfId="0" applyNumberFormat="1" applyFont="1" applyFill="1" applyBorder="1" applyAlignment="1" applyProtection="1">
      <alignment horizontal="center" vertical="center" wrapText="1"/>
    </xf>
    <xf numFmtId="9" fontId="0" fillId="12" borderId="85" xfId="0" applyNumberFormat="1" applyFont="1" applyFill="1" applyBorder="1" applyAlignment="1" applyProtection="1">
      <alignment horizontal="center" vertical="center"/>
      <protection locked="0"/>
    </xf>
    <xf numFmtId="183" fontId="0" fillId="11" borderId="0" xfId="0" applyNumberFormat="1" applyFont="1" applyFill="1" applyProtection="1"/>
    <xf numFmtId="182" fontId="0" fillId="11" borderId="0" xfId="0" applyNumberFormat="1" applyFont="1" applyFill="1" applyProtection="1"/>
    <xf numFmtId="181" fontId="15" fillId="37" borderId="106" xfId="16" applyNumberFormat="1" applyFill="1" applyBorder="1" applyAlignment="1" applyProtection="1">
      <alignment horizontal="center" vertical="center"/>
    </xf>
    <xf numFmtId="181" fontId="15" fillId="37" borderId="108" xfId="16" applyNumberFormat="1" applyFill="1" applyBorder="1" applyAlignment="1" applyProtection="1">
      <alignment horizontal="center" vertical="center"/>
    </xf>
    <xf numFmtId="181" fontId="15" fillId="37" borderId="109" xfId="16" applyNumberFormat="1" applyFill="1" applyBorder="1" applyAlignment="1" applyProtection="1">
      <alignment horizontal="center" vertical="center"/>
    </xf>
    <xf numFmtId="180" fontId="0" fillId="12" borderId="111" xfId="13" applyNumberFormat="1" applyFont="1" applyFill="1" applyBorder="1" applyAlignment="1" applyProtection="1">
      <alignment horizontal="center" vertical="center"/>
      <protection locked="0"/>
    </xf>
    <xf numFmtId="170" fontId="15" fillId="0" borderId="0" xfId="16" applyProtection="1"/>
    <xf numFmtId="182" fontId="15" fillId="0" borderId="0" xfId="13" applyNumberFormat="1" applyProtection="1"/>
    <xf numFmtId="9" fontId="0" fillId="12" borderId="109" xfId="0" applyNumberFormat="1" applyFont="1" applyFill="1" applyBorder="1" applyAlignment="1" applyProtection="1">
      <alignment horizontal="center" vertical="center"/>
      <protection locked="0"/>
    </xf>
    <xf numFmtId="178" fontId="0" fillId="0" borderId="110" xfId="0" applyNumberFormat="1" applyFont="1" applyFill="1" applyBorder="1" applyAlignment="1" applyProtection="1">
      <alignment horizontal="right" vertical="center"/>
    </xf>
    <xf numFmtId="178" fontId="0" fillId="0" borderId="75" xfId="0" applyNumberFormat="1" applyFont="1" applyFill="1" applyBorder="1" applyAlignment="1" applyProtection="1">
      <alignment horizontal="right" vertical="center"/>
    </xf>
    <xf numFmtId="178" fontId="0" fillId="0" borderId="118" xfId="0" applyNumberFormat="1" applyFont="1" applyFill="1" applyBorder="1" applyAlignment="1" applyProtection="1">
      <alignment horizontal="right" vertical="center"/>
    </xf>
    <xf numFmtId="178" fontId="0" fillId="0" borderId="104" xfId="0" applyNumberFormat="1" applyFont="1" applyFill="1" applyBorder="1" applyAlignment="1" applyProtection="1">
      <alignment horizontal="right" vertical="center"/>
    </xf>
    <xf numFmtId="9" fontId="0" fillId="12" borderId="113" xfId="0" applyNumberFormat="1" applyFont="1" applyFill="1" applyBorder="1" applyAlignment="1" applyProtection="1">
      <alignment horizontal="center" vertical="center"/>
      <protection locked="0"/>
    </xf>
    <xf numFmtId="0" fontId="11" fillId="14" borderId="113" xfId="0" applyFont="1" applyFill="1" applyBorder="1" applyAlignment="1" applyProtection="1">
      <alignment horizontal="center" vertical="center"/>
    </xf>
    <xf numFmtId="0" fontId="11" fillId="47" borderId="112" xfId="0" applyFont="1" applyFill="1" applyBorder="1" applyAlignment="1" applyProtection="1">
      <alignment horizontal="center" vertical="center"/>
    </xf>
    <xf numFmtId="0" fontId="11" fillId="14" borderId="104" xfId="0" applyFont="1" applyFill="1" applyBorder="1" applyAlignment="1" applyProtection="1">
      <alignment horizontal="center" vertical="center"/>
    </xf>
    <xf numFmtId="0" fontId="11" fillId="47" borderId="124" xfId="0" applyFont="1" applyFill="1" applyBorder="1" applyAlignment="1" applyProtection="1">
      <alignment horizontal="center" vertical="center"/>
    </xf>
    <xf numFmtId="170" fontId="0" fillId="12" borderId="87" xfId="16" applyFont="1" applyFill="1" applyBorder="1" applyAlignment="1" applyProtection="1">
      <alignment horizontal="center" vertical="center"/>
      <protection locked="0"/>
    </xf>
    <xf numFmtId="170" fontId="0" fillId="12" borderId="125" xfId="16" applyFont="1" applyFill="1" applyBorder="1" applyAlignment="1" applyProtection="1">
      <alignment horizontal="center" vertical="center"/>
      <protection locked="0"/>
    </xf>
    <xf numFmtId="170" fontId="0" fillId="12" borderId="124" xfId="16" applyFont="1" applyFill="1" applyBorder="1" applyAlignment="1" applyProtection="1">
      <alignment horizontal="center" vertical="center"/>
      <protection locked="0"/>
    </xf>
    <xf numFmtId="178" fontId="0" fillId="0" borderId="107" xfId="0" applyNumberFormat="1" applyFont="1" applyFill="1" applyBorder="1" applyAlignment="1" applyProtection="1">
      <alignment horizontal="right" vertical="center"/>
    </xf>
    <xf numFmtId="178" fontId="0" fillId="0" borderId="112" xfId="0" applyNumberFormat="1" applyFont="1" applyFill="1" applyBorder="1" applyAlignment="1" applyProtection="1">
      <alignment horizontal="right" vertical="center"/>
    </xf>
    <xf numFmtId="0" fontId="26" fillId="0" borderId="0" xfId="0" applyFont="1" applyBorder="1" applyAlignment="1" applyProtection="1">
      <alignment vertical="center" wrapText="1"/>
    </xf>
    <xf numFmtId="0" fontId="11" fillId="48" borderId="113" xfId="0" applyFont="1" applyFill="1" applyBorder="1" applyAlignment="1" applyProtection="1">
      <alignment horizontal="center" vertical="center"/>
    </xf>
    <xf numFmtId="0" fontId="11" fillId="48" borderId="112" xfId="0" applyFont="1" applyFill="1" applyBorder="1" applyAlignment="1" applyProtection="1">
      <alignment horizontal="center" vertical="center"/>
    </xf>
    <xf numFmtId="170" fontId="31" fillId="0" borderId="89" xfId="16" applyFont="1" applyFill="1" applyBorder="1" applyAlignment="1" applyProtection="1">
      <alignment horizontal="center" vertical="center"/>
    </xf>
    <xf numFmtId="170" fontId="31" fillId="0" borderId="92" xfId="16" applyFont="1" applyFill="1" applyBorder="1" applyAlignment="1" applyProtection="1">
      <alignment horizontal="center" vertical="center"/>
    </xf>
    <xf numFmtId="178" fontId="0" fillId="27" borderId="91" xfId="0" applyNumberFormat="1" applyFont="1" applyFill="1" applyBorder="1" applyAlignment="1" applyProtection="1">
      <alignment horizontal="right" vertical="center"/>
    </xf>
    <xf numFmtId="178" fontId="0" fillId="27" borderId="128" xfId="0" applyNumberFormat="1" applyFont="1" applyFill="1" applyBorder="1" applyAlignment="1" applyProtection="1">
      <alignment horizontal="right" vertical="center"/>
    </xf>
    <xf numFmtId="0" fontId="0" fillId="11" borderId="130" xfId="0" applyFont="1" applyFill="1" applyBorder="1" applyProtection="1"/>
    <xf numFmtId="0" fontId="0" fillId="11" borderId="131" xfId="0" applyFont="1" applyFill="1" applyBorder="1" applyProtection="1"/>
    <xf numFmtId="0" fontId="0" fillId="11" borderId="132" xfId="0" applyFont="1" applyFill="1" applyBorder="1" applyProtection="1"/>
    <xf numFmtId="0" fontId="0" fillId="11" borderId="120" xfId="0" applyFont="1" applyFill="1" applyBorder="1" applyProtection="1"/>
    <xf numFmtId="0" fontId="0" fillId="11" borderId="67" xfId="0" applyFont="1" applyFill="1" applyBorder="1" applyProtection="1"/>
    <xf numFmtId="0" fontId="26" fillId="0" borderId="120" xfId="0" applyFont="1" applyBorder="1" applyAlignment="1" applyProtection="1">
      <alignment vertical="center"/>
    </xf>
    <xf numFmtId="0" fontId="11" fillId="14" borderId="114" xfId="0" applyFont="1" applyFill="1" applyBorder="1" applyAlignment="1" applyProtection="1">
      <alignment horizontal="center" vertical="center"/>
    </xf>
    <xf numFmtId="0" fontId="11" fillId="14" borderId="129" xfId="0" applyFont="1" applyFill="1" applyBorder="1" applyAlignment="1" applyProtection="1">
      <alignment horizontal="center" vertical="center"/>
    </xf>
    <xf numFmtId="0" fontId="11" fillId="48" borderId="114" xfId="0" applyFont="1" applyFill="1" applyBorder="1" applyAlignment="1" applyProtection="1">
      <alignment horizontal="center" vertical="center"/>
    </xf>
    <xf numFmtId="0" fontId="11" fillId="48" borderId="129" xfId="0" applyFont="1" applyFill="1" applyBorder="1" applyAlignment="1" applyProtection="1">
      <alignment horizontal="center" vertical="center"/>
    </xf>
    <xf numFmtId="0" fontId="11" fillId="47" borderId="114" xfId="0" applyFont="1" applyFill="1" applyBorder="1" applyAlignment="1" applyProtection="1">
      <alignment horizontal="center" vertical="center"/>
    </xf>
    <xf numFmtId="0" fontId="11" fillId="47" borderId="129" xfId="0" applyFont="1" applyFill="1" applyBorder="1" applyAlignment="1" applyProtection="1">
      <alignment horizontal="center" vertical="center"/>
    </xf>
    <xf numFmtId="178" fontId="0" fillId="26" borderId="106" xfId="0" applyNumberFormat="1" applyFont="1" applyFill="1" applyBorder="1" applyAlignment="1" applyProtection="1">
      <alignment horizontal="right" vertical="center"/>
    </xf>
    <xf numFmtId="178" fontId="0" fillId="26" borderId="107" xfId="0" applyNumberFormat="1" applyFont="1" applyFill="1" applyBorder="1" applyAlignment="1" applyProtection="1">
      <alignment horizontal="right" vertical="center"/>
    </xf>
    <xf numFmtId="0" fontId="0" fillId="11" borderId="127" xfId="0" applyFont="1" applyFill="1" applyBorder="1" applyProtection="1"/>
    <xf numFmtId="0" fontId="0" fillId="11" borderId="63" xfId="0" applyFont="1" applyFill="1" applyBorder="1" applyProtection="1"/>
    <xf numFmtId="9" fontId="0" fillId="44" borderId="85" xfId="0" applyNumberFormat="1" applyFont="1" applyFill="1" applyBorder="1" applyAlignment="1" applyProtection="1">
      <alignment horizontal="center" vertical="center"/>
    </xf>
    <xf numFmtId="9" fontId="0" fillId="44" borderId="106" xfId="0" applyNumberFormat="1" applyFont="1" applyFill="1" applyBorder="1" applyAlignment="1" applyProtection="1">
      <alignment horizontal="center" vertical="center"/>
    </xf>
    <xf numFmtId="170" fontId="0" fillId="44" borderId="106" xfId="16" applyFont="1" applyFill="1" applyBorder="1" applyAlignment="1" applyProtection="1">
      <alignment horizontal="center" vertical="center"/>
    </xf>
    <xf numFmtId="0" fontId="14" fillId="16" borderId="129" xfId="0" applyFont="1" applyFill="1" applyBorder="1" applyAlignment="1" applyProtection="1">
      <alignment horizontal="center" vertical="center" wrapText="1"/>
    </xf>
    <xf numFmtId="0" fontId="0" fillId="12" borderId="111" xfId="0" applyFont="1" applyFill="1" applyBorder="1" applyAlignment="1" applyProtection="1">
      <alignment horizontal="left" vertical="center"/>
      <protection locked="0"/>
    </xf>
    <xf numFmtId="178" fontId="24" fillId="28" borderId="52" xfId="0" applyNumberFormat="1" applyFont="1" applyFill="1" applyBorder="1" applyAlignment="1" applyProtection="1">
      <alignment vertical="center"/>
    </xf>
    <xf numFmtId="169" fontId="0" fillId="12" borderId="107" xfId="13" applyNumberFormat="1" applyFont="1" applyFill="1" applyBorder="1" applyAlignment="1" applyProtection="1">
      <alignment vertical="center"/>
      <protection locked="0"/>
    </xf>
    <xf numFmtId="0" fontId="0" fillId="12" borderId="113" xfId="0" applyFont="1" applyFill="1" applyBorder="1" applyAlignment="1" applyProtection="1">
      <alignment horizontal="left" vertical="center"/>
      <protection locked="0"/>
    </xf>
    <xf numFmtId="169" fontId="0" fillId="12" borderId="112" xfId="13" applyNumberFormat="1" applyFont="1" applyFill="1" applyBorder="1" applyAlignment="1" applyProtection="1">
      <alignment vertical="center"/>
      <protection locked="0"/>
    </xf>
    <xf numFmtId="181" fontId="15" fillId="37" borderId="113" xfId="16" applyNumberFormat="1" applyFill="1" applyBorder="1" applyAlignment="1" applyProtection="1">
      <alignment horizontal="center" vertical="center"/>
    </xf>
    <xf numFmtId="181" fontId="15" fillId="37" borderId="111" xfId="16" applyNumberFormat="1" applyFill="1" applyBorder="1" applyAlignment="1" applyProtection="1">
      <alignment horizontal="center" vertical="center"/>
    </xf>
    <xf numFmtId="0" fontId="0" fillId="0" borderId="0" xfId="0" applyFont="1"/>
    <xf numFmtId="0" fontId="22" fillId="0" borderId="0" xfId="20" applyFill="1" applyBorder="1" applyAlignment="1" applyProtection="1">
      <alignment vertical="center"/>
    </xf>
    <xf numFmtId="0" fontId="22" fillId="11" borderId="0" xfId="20" applyFill="1" applyBorder="1" applyAlignment="1" applyProtection="1">
      <alignment vertical="center"/>
    </xf>
    <xf numFmtId="0" fontId="22" fillId="0" borderId="0" xfId="20" applyProtection="1"/>
    <xf numFmtId="0" fontId="22" fillId="0" borderId="0" xfId="20" applyBorder="1" applyAlignment="1" applyProtection="1">
      <alignment vertical="center"/>
    </xf>
    <xf numFmtId="0" fontId="22" fillId="0" borderId="0" xfId="20" applyBorder="1" applyAlignment="1" applyProtection="1">
      <alignment horizontal="left" vertical="center"/>
    </xf>
    <xf numFmtId="0" fontId="26" fillId="0" borderId="0" xfId="0" applyFont="1" applyBorder="1" applyAlignment="1" applyProtection="1">
      <alignment horizontal="left" vertical="center"/>
    </xf>
    <xf numFmtId="0" fontId="22" fillId="0" borderId="0" xfId="20" quotePrefix="1" applyBorder="1" applyAlignment="1" applyProtection="1">
      <alignment horizontal="left" vertical="center"/>
    </xf>
    <xf numFmtId="0" fontId="22" fillId="0" borderId="0" xfId="20"/>
    <xf numFmtId="0" fontId="22" fillId="11" borderId="0" xfId="20" applyFill="1" applyBorder="1" applyAlignment="1" applyProtection="1">
      <alignment horizontal="left" vertical="center"/>
    </xf>
    <xf numFmtId="0" fontId="22" fillId="0" borderId="0" xfId="20" applyAlignment="1" applyProtection="1">
      <alignment horizontal="left"/>
    </xf>
    <xf numFmtId="0" fontId="14" fillId="0" borderId="0" xfId="0" applyFont="1" applyFill="1" applyBorder="1" applyAlignment="1" applyProtection="1">
      <alignment horizontal="center" vertical="center"/>
    </xf>
    <xf numFmtId="0" fontId="26" fillId="0" borderId="0" xfId="0" applyFont="1" applyBorder="1" applyAlignment="1" applyProtection="1">
      <alignment horizontal="left" vertical="center" indent="2"/>
    </xf>
    <xf numFmtId="0" fontId="0" fillId="0" borderId="143" xfId="0" applyFont="1" applyFill="1" applyBorder="1" applyAlignment="1" applyProtection="1">
      <alignment horizontal="left" vertical="center"/>
    </xf>
    <xf numFmtId="176" fontId="31" fillId="0" borderId="143" xfId="0" applyNumberFormat="1" applyFont="1" applyFill="1" applyBorder="1" applyAlignment="1" applyProtection="1">
      <alignment horizontal="left"/>
    </xf>
    <xf numFmtId="176" fontId="20" fillId="0" borderId="143" xfId="0" applyNumberFormat="1" applyFont="1" applyFill="1" applyBorder="1" applyAlignment="1" applyProtection="1">
      <alignment horizontal="left"/>
    </xf>
    <xf numFmtId="169" fontId="0" fillId="12" borderId="108" xfId="13" applyNumberFormat="1" applyFont="1" applyFill="1" applyBorder="1" applyAlignment="1" applyProtection="1">
      <alignment vertical="center"/>
      <protection locked="0"/>
    </xf>
    <xf numFmtId="177" fontId="20" fillId="12" borderId="108" xfId="12" applyNumberFormat="1" applyFont="1" applyFill="1" applyBorder="1" applyAlignment="1" applyProtection="1">
      <alignment vertical="center"/>
      <protection locked="0"/>
    </xf>
    <xf numFmtId="169" fontId="20" fillId="12" borderId="108" xfId="13" applyNumberFormat="1" applyFont="1" applyFill="1" applyBorder="1" applyAlignment="1" applyProtection="1">
      <alignment vertical="center"/>
      <protection locked="0"/>
    </xf>
    <xf numFmtId="0" fontId="12" fillId="20" borderId="143" xfId="0" applyFont="1" applyFill="1" applyBorder="1" applyAlignment="1" applyProtection="1">
      <alignment horizontal="left" vertical="center"/>
    </xf>
    <xf numFmtId="176" fontId="20" fillId="0" borderId="105" xfId="0" applyNumberFormat="1" applyFont="1" applyFill="1" applyBorder="1" applyAlignment="1" applyProtection="1">
      <alignment horizontal="left"/>
    </xf>
    <xf numFmtId="169" fontId="12" fillId="20" borderId="108" xfId="13" applyNumberFormat="1" applyFont="1" applyFill="1" applyBorder="1" applyAlignment="1" applyProtection="1">
      <alignment horizontal="center" vertical="center"/>
    </xf>
    <xf numFmtId="169" fontId="12" fillId="22" borderId="108" xfId="13" applyNumberFormat="1" applyFont="1" applyFill="1" applyBorder="1" applyAlignment="1" applyProtection="1">
      <alignment vertical="center"/>
    </xf>
    <xf numFmtId="0" fontId="12" fillId="23" borderId="143" xfId="0" applyFont="1" applyFill="1" applyBorder="1" applyAlignment="1" applyProtection="1">
      <alignment horizontal="left" vertical="center"/>
    </xf>
    <xf numFmtId="0" fontId="14" fillId="32" borderId="33" xfId="0" applyFont="1" applyFill="1" applyBorder="1" applyAlignment="1" applyProtection="1">
      <alignment vertical="center"/>
    </xf>
    <xf numFmtId="169" fontId="12" fillId="28" borderId="146" xfId="13" applyNumberFormat="1" applyFont="1" applyFill="1" applyBorder="1" applyAlignment="1" applyProtection="1">
      <alignment vertical="center"/>
    </xf>
    <xf numFmtId="169" fontId="12" fillId="20" borderId="145" xfId="13" applyNumberFormat="1" applyFont="1" applyFill="1" applyBorder="1" applyAlignment="1" applyProtection="1">
      <alignment horizontal="center" vertical="center"/>
    </xf>
    <xf numFmtId="169" fontId="12" fillId="23" borderId="145" xfId="13" applyNumberFormat="1" applyFont="1" applyFill="1" applyBorder="1" applyAlignment="1" applyProtection="1">
      <alignment horizontal="center" vertical="center"/>
    </xf>
    <xf numFmtId="169" fontId="12" fillId="20" borderId="146" xfId="13" applyNumberFormat="1" applyFont="1" applyFill="1" applyBorder="1" applyAlignment="1" applyProtection="1">
      <alignment vertical="center"/>
    </xf>
    <xf numFmtId="169" fontId="12" fillId="28" borderId="141" xfId="13" applyNumberFormat="1" applyFont="1" applyFill="1" applyBorder="1" applyAlignment="1" applyProtection="1">
      <alignment vertical="center"/>
    </xf>
    <xf numFmtId="169" fontId="12" fillId="23" borderId="146" xfId="13" applyNumberFormat="1" applyFont="1" applyFill="1" applyBorder="1" applyAlignment="1" applyProtection="1">
      <alignment horizontal="center" vertical="center"/>
    </xf>
    <xf numFmtId="169" fontId="20" fillId="29" borderId="108" xfId="13" applyNumberFormat="1" applyFont="1" applyFill="1" applyBorder="1" applyAlignment="1" applyProtection="1">
      <alignment vertical="center"/>
    </xf>
    <xf numFmtId="169" fontId="12" fillId="23" borderId="108" xfId="13" applyNumberFormat="1" applyFont="1" applyFill="1" applyBorder="1" applyAlignment="1" applyProtection="1">
      <alignment horizontal="center" vertical="center"/>
    </xf>
    <xf numFmtId="169" fontId="12" fillId="24" borderId="108" xfId="13" applyNumberFormat="1" applyFont="1" applyFill="1" applyBorder="1" applyAlignment="1" applyProtection="1">
      <alignment vertical="center"/>
    </xf>
    <xf numFmtId="169" fontId="12" fillId="20" borderId="108" xfId="13" applyNumberFormat="1" applyFont="1" applyFill="1" applyBorder="1" applyAlignment="1" applyProtection="1">
      <alignment vertical="center"/>
    </xf>
    <xf numFmtId="168" fontId="14" fillId="32" borderId="108" xfId="13" applyNumberFormat="1" applyFont="1" applyFill="1" applyBorder="1" applyAlignment="1" applyProtection="1">
      <alignment vertical="center"/>
    </xf>
    <xf numFmtId="168" fontId="14" fillId="33" borderId="108" xfId="13" applyNumberFormat="1" applyFont="1" applyFill="1" applyBorder="1" applyAlignment="1" applyProtection="1">
      <alignment vertical="center"/>
    </xf>
    <xf numFmtId="0" fontId="14" fillId="17" borderId="108" xfId="0" applyFont="1" applyFill="1" applyBorder="1" applyAlignment="1" applyProtection="1">
      <alignment horizontal="center" vertical="center" wrapText="1"/>
    </xf>
    <xf numFmtId="175" fontId="14" fillId="17" borderId="108" xfId="12" applyNumberFormat="1" applyFont="1" applyFill="1" applyBorder="1" applyAlignment="1" applyProtection="1">
      <alignment horizontal="center" vertical="center" wrapText="1"/>
    </xf>
    <xf numFmtId="169" fontId="14" fillId="41" borderId="108" xfId="13" applyNumberFormat="1" applyFont="1" applyFill="1" applyBorder="1" applyAlignment="1" applyProtection="1">
      <alignment vertical="center"/>
    </xf>
    <xf numFmtId="169" fontId="14" fillId="42" borderId="108" xfId="13" applyNumberFormat="1" applyFont="1" applyFill="1" applyBorder="1" applyAlignment="1" applyProtection="1">
      <alignment vertical="center"/>
    </xf>
    <xf numFmtId="169" fontId="20" fillId="1" borderId="108" xfId="13" applyNumberFormat="1" applyFont="1" applyFill="1" applyBorder="1" applyAlignment="1" applyProtection="1">
      <alignment vertical="center"/>
    </xf>
    <xf numFmtId="177" fontId="20" fillId="1" borderId="108" xfId="12" applyNumberFormat="1" applyFont="1" applyFill="1" applyBorder="1" applyAlignment="1" applyProtection="1">
      <alignment vertical="center"/>
    </xf>
    <xf numFmtId="0" fontId="14" fillId="0" borderId="0" xfId="0" applyFont="1" applyBorder="1" applyAlignment="1" applyProtection="1">
      <alignment horizontal="center" vertical="center"/>
      <protection locked="0"/>
    </xf>
    <xf numFmtId="1" fontId="0" fillId="0" borderId="148" xfId="0" applyNumberFormat="1" applyBorder="1" applyAlignment="1" applyProtection="1"/>
    <xf numFmtId="169" fontId="0" fillId="46" borderId="108" xfId="13" applyNumberFormat="1" applyFont="1" applyFill="1" applyBorder="1" applyAlignment="1" applyProtection="1">
      <alignment vertical="center"/>
    </xf>
    <xf numFmtId="0" fontId="14" fillId="0" borderId="0" xfId="0" applyFont="1" applyBorder="1" applyAlignment="1" applyProtection="1">
      <alignment vertical="center"/>
      <protection locked="0"/>
    </xf>
    <xf numFmtId="169" fontId="0" fillId="0" borderId="0" xfId="0" applyNumberFormat="1" applyFont="1" applyAlignment="1" applyProtection="1">
      <alignment vertical="center"/>
    </xf>
    <xf numFmtId="169" fontId="14" fillId="0" borderId="0" xfId="0" applyNumberFormat="1" applyFont="1" applyAlignment="1" applyProtection="1">
      <alignment vertical="center"/>
    </xf>
    <xf numFmtId="180" fontId="0" fillId="12" borderId="149" xfId="13" applyNumberFormat="1" applyFont="1" applyFill="1" applyBorder="1" applyAlignment="1" applyProtection="1">
      <alignment horizontal="center" vertical="center"/>
      <protection locked="0"/>
    </xf>
    <xf numFmtId="169" fontId="0" fillId="0" borderId="154" xfId="0" applyNumberFormat="1" applyFont="1" applyFill="1" applyBorder="1" applyAlignment="1" applyProtection="1">
      <alignment vertical="center"/>
    </xf>
    <xf numFmtId="169" fontId="14" fillId="35" borderId="155" xfId="0" applyNumberFormat="1" applyFont="1" applyFill="1" applyBorder="1" applyAlignment="1" applyProtection="1">
      <alignment horizontal="center" vertical="center" wrapText="1"/>
    </xf>
    <xf numFmtId="169" fontId="14" fillId="35" borderId="156" xfId="0" applyNumberFormat="1" applyFont="1" applyFill="1" applyBorder="1" applyAlignment="1" applyProtection="1">
      <alignment horizontal="center" vertical="center" wrapText="1"/>
    </xf>
    <xf numFmtId="169" fontId="14" fillId="35" borderId="157" xfId="0" applyNumberFormat="1" applyFont="1" applyFill="1" applyBorder="1" applyAlignment="1" applyProtection="1">
      <alignment horizontal="center" vertical="center" wrapText="1"/>
    </xf>
    <xf numFmtId="169" fontId="0" fillId="10" borderId="108" xfId="13" applyNumberFormat="1" applyFont="1" applyFill="1" applyBorder="1" applyAlignment="1" applyProtection="1">
      <alignment horizontal="right" vertical="center"/>
    </xf>
    <xf numFmtId="174" fontId="0" fillId="0" borderId="108" xfId="12" applyNumberFormat="1" applyFont="1" applyFill="1" applyBorder="1" applyAlignment="1" applyProtection="1">
      <alignment vertical="center"/>
    </xf>
    <xf numFmtId="169" fontId="15" fillId="0" borderId="106" xfId="13" applyNumberFormat="1" applyFont="1" applyFill="1" applyBorder="1" applyAlignment="1" applyProtection="1">
      <alignment vertical="center"/>
    </xf>
    <xf numFmtId="169" fontId="0" fillId="10" borderId="106" xfId="13" applyNumberFormat="1" applyFont="1" applyFill="1" applyBorder="1" applyAlignment="1" applyProtection="1">
      <alignment horizontal="right" vertical="center"/>
    </xf>
    <xf numFmtId="169" fontId="14" fillId="40" borderId="160" xfId="0" applyNumberFormat="1" applyFont="1" applyFill="1" applyBorder="1" applyAlignment="1" applyProtection="1">
      <alignment vertical="center"/>
    </xf>
    <xf numFmtId="169" fontId="14" fillId="40" borderId="111" xfId="13" applyNumberFormat="1" applyFont="1" applyFill="1" applyBorder="1" applyAlignment="1" applyProtection="1">
      <alignment vertical="center"/>
    </xf>
    <xf numFmtId="169" fontId="14" fillId="40" borderId="111" xfId="13" applyNumberFormat="1" applyFont="1" applyFill="1" applyBorder="1" applyAlignment="1" applyProtection="1">
      <alignment horizontal="right" vertical="center"/>
    </xf>
    <xf numFmtId="169" fontId="15" fillId="0" borderId="55" xfId="13" applyNumberFormat="1" applyFont="1" applyFill="1" applyBorder="1" applyAlignment="1" applyProtection="1">
      <alignment vertical="center"/>
    </xf>
    <xf numFmtId="169" fontId="15" fillId="0" borderId="107" xfId="13" applyNumberFormat="1" applyFont="1" applyFill="1" applyBorder="1" applyAlignment="1" applyProtection="1">
      <alignment vertical="center"/>
    </xf>
    <xf numFmtId="174" fontId="0" fillId="0" borderId="109" xfId="12" applyNumberFormat="1" applyFont="1" applyFill="1" applyBorder="1" applyAlignment="1" applyProtection="1">
      <alignment vertical="center"/>
    </xf>
    <xf numFmtId="174" fontId="0" fillId="0" borderId="110" xfId="12" applyNumberFormat="1" applyFont="1" applyFill="1" applyBorder="1" applyAlignment="1" applyProtection="1">
      <alignment vertical="center"/>
    </xf>
    <xf numFmtId="169" fontId="14" fillId="40" borderId="113" xfId="13" applyNumberFormat="1" applyFont="1" applyFill="1" applyBorder="1" applyAlignment="1" applyProtection="1">
      <alignment vertical="center"/>
    </xf>
    <xf numFmtId="169" fontId="14" fillId="40" borderId="112" xfId="13" applyNumberFormat="1" applyFont="1" applyFill="1" applyBorder="1" applyAlignment="1" applyProtection="1">
      <alignment vertical="center"/>
    </xf>
    <xf numFmtId="169" fontId="0" fillId="10" borderId="144" xfId="13" applyNumberFormat="1" applyFont="1" applyFill="1" applyBorder="1" applyAlignment="1" applyProtection="1">
      <alignment horizontal="right" vertical="center"/>
    </xf>
    <xf numFmtId="169" fontId="0" fillId="10" borderId="125" xfId="13" applyNumberFormat="1" applyFont="1" applyFill="1" applyBorder="1" applyAlignment="1" applyProtection="1">
      <alignment horizontal="right" vertical="center"/>
    </xf>
    <xf numFmtId="169" fontId="14" fillId="40" borderId="124" xfId="13" applyNumberFormat="1" applyFont="1" applyFill="1" applyBorder="1" applyAlignment="1" applyProtection="1">
      <alignment horizontal="right" vertical="center"/>
    </xf>
    <xf numFmtId="169" fontId="15" fillId="44" borderId="60" xfId="13" applyNumberFormat="1" applyFont="1" applyFill="1" applyBorder="1" applyAlignment="1" applyProtection="1">
      <alignment vertical="center"/>
    </xf>
    <xf numFmtId="174" fontId="0" fillId="12" borderId="118" xfId="12" applyNumberFormat="1" applyFont="1" applyFill="1" applyBorder="1" applyAlignment="1" applyProtection="1">
      <alignment vertical="center"/>
      <protection locked="0"/>
    </xf>
    <xf numFmtId="169" fontId="14" fillId="40" borderId="104" xfId="13" applyNumberFormat="1" applyFont="1" applyFill="1" applyBorder="1" applyAlignment="1" applyProtection="1">
      <alignment vertical="center"/>
    </xf>
    <xf numFmtId="169" fontId="14" fillId="40" borderId="137" xfId="13" applyNumberFormat="1" applyFont="1" applyFill="1" applyBorder="1" applyAlignment="1" applyProtection="1">
      <alignment horizontal="right" vertical="center"/>
    </xf>
    <xf numFmtId="0" fontId="14" fillId="15" borderId="142" xfId="0" applyFont="1" applyFill="1" applyBorder="1" applyAlignment="1" applyProtection="1">
      <alignment horizontal="center" vertical="center" wrapText="1"/>
    </xf>
    <xf numFmtId="0" fontId="14" fillId="0" borderId="170" xfId="0" applyFont="1" applyFill="1" applyBorder="1" applyAlignment="1" applyProtection="1">
      <alignment horizontal="left" vertical="center"/>
    </xf>
    <xf numFmtId="0" fontId="14" fillId="15" borderId="172" xfId="0" applyFont="1" applyFill="1" applyBorder="1" applyAlignment="1" applyProtection="1">
      <alignment horizontal="center" vertical="center"/>
    </xf>
    <xf numFmtId="168" fontId="0" fillId="0" borderId="115" xfId="13" applyNumberFormat="1" applyFont="1" applyFill="1" applyBorder="1" applyAlignment="1" applyProtection="1">
      <alignment vertical="center"/>
    </xf>
    <xf numFmtId="168" fontId="0" fillId="0" borderId="179" xfId="13" applyNumberFormat="1" applyFont="1" applyFill="1" applyBorder="1" applyAlignment="1" applyProtection="1">
      <alignment vertical="center"/>
    </xf>
    <xf numFmtId="168" fontId="0" fillId="0" borderId="116" xfId="13" applyNumberFormat="1" applyFont="1" applyFill="1" applyBorder="1" applyAlignment="1" applyProtection="1">
      <alignment vertical="center"/>
    </xf>
    <xf numFmtId="169" fontId="0" fillId="29" borderId="108" xfId="13" applyNumberFormat="1" applyFont="1" applyFill="1" applyBorder="1" applyAlignment="1" applyProtection="1">
      <alignment vertical="center"/>
    </xf>
    <xf numFmtId="169" fontId="0" fillId="29" borderId="55" xfId="13" applyNumberFormat="1" applyFont="1" applyFill="1" applyBorder="1" applyAlignment="1" applyProtection="1">
      <alignment vertical="center"/>
    </xf>
    <xf numFmtId="169" fontId="0" fillId="29" borderId="106" xfId="13" applyNumberFormat="1" applyFont="1" applyFill="1" applyBorder="1" applyAlignment="1" applyProtection="1">
      <alignment vertical="center"/>
    </xf>
    <xf numFmtId="169" fontId="0" fillId="29" borderId="107" xfId="13" applyNumberFormat="1" applyFont="1" applyFill="1" applyBorder="1" applyAlignment="1" applyProtection="1">
      <alignment vertical="center"/>
    </xf>
    <xf numFmtId="169" fontId="0" fillId="29" borderId="109" xfId="13" applyNumberFormat="1" applyFont="1" applyFill="1" applyBorder="1" applyAlignment="1" applyProtection="1">
      <alignment vertical="center"/>
    </xf>
    <xf numFmtId="169" fontId="0" fillId="29" borderId="110" xfId="13" applyNumberFormat="1" applyFont="1" applyFill="1" applyBorder="1" applyAlignment="1" applyProtection="1">
      <alignment vertical="center"/>
    </xf>
    <xf numFmtId="169" fontId="0" fillId="29" borderId="113" xfId="13" applyNumberFormat="1" applyFont="1" applyFill="1" applyBorder="1" applyAlignment="1" applyProtection="1">
      <alignment vertical="center"/>
    </xf>
    <xf numFmtId="169" fontId="0" fillId="29" borderId="111" xfId="13" applyNumberFormat="1" applyFont="1" applyFill="1" applyBorder="1" applyAlignment="1" applyProtection="1">
      <alignment vertical="center"/>
    </xf>
    <xf numFmtId="169" fontId="0" fillId="29" borderId="112" xfId="13" applyNumberFormat="1" applyFont="1" applyFill="1" applyBorder="1" applyAlignment="1" applyProtection="1">
      <alignment vertical="center"/>
    </xf>
    <xf numFmtId="169" fontId="0" fillId="37" borderId="55" xfId="13" applyNumberFormat="1" applyFont="1" applyFill="1" applyBorder="1" applyAlignment="1" applyProtection="1">
      <alignment vertical="center"/>
    </xf>
    <xf numFmtId="169" fontId="0" fillId="37" borderId="106" xfId="13" applyNumberFormat="1" applyFont="1" applyFill="1" applyBorder="1" applyAlignment="1" applyProtection="1">
      <alignment vertical="center"/>
    </xf>
    <xf numFmtId="169" fontId="0" fillId="37" borderId="60" xfId="13" applyNumberFormat="1" applyFont="1" applyFill="1" applyBorder="1" applyAlignment="1" applyProtection="1">
      <alignment vertical="center"/>
    </xf>
    <xf numFmtId="171" fontId="0" fillId="0" borderId="107" xfId="0" applyNumberFormat="1" applyFont="1" applyFill="1" applyBorder="1" applyAlignment="1" applyProtection="1">
      <alignment horizontal="center" vertical="center"/>
    </xf>
    <xf numFmtId="169" fontId="14" fillId="35" borderId="180" xfId="0" applyNumberFormat="1" applyFont="1" applyFill="1" applyBorder="1" applyAlignment="1" applyProtection="1">
      <alignment horizontal="center" vertical="center" wrapText="1"/>
    </xf>
    <xf numFmtId="169" fontId="14" fillId="35" borderId="181" xfId="0" applyNumberFormat="1" applyFont="1" applyFill="1" applyBorder="1" applyAlignment="1" applyProtection="1">
      <alignment horizontal="center" vertical="center" wrapText="1"/>
    </xf>
    <xf numFmtId="169" fontId="14" fillId="35" borderId="182" xfId="0" applyNumberFormat="1" applyFont="1" applyFill="1" applyBorder="1" applyAlignment="1" applyProtection="1">
      <alignment horizontal="center" vertical="center" wrapText="1"/>
    </xf>
    <xf numFmtId="169" fontId="14" fillId="15" borderId="183" xfId="0" applyNumberFormat="1" applyFont="1" applyFill="1" applyBorder="1" applyAlignment="1" applyProtection="1">
      <alignment horizontal="center" vertical="center" wrapText="1"/>
    </xf>
    <xf numFmtId="169" fontId="14" fillId="15" borderId="181" xfId="0" applyNumberFormat="1" applyFont="1" applyFill="1" applyBorder="1" applyAlignment="1" applyProtection="1">
      <alignment horizontal="center" vertical="center" wrapText="1"/>
    </xf>
    <xf numFmtId="169" fontId="14" fillId="15" borderId="184" xfId="0" applyNumberFormat="1" applyFont="1" applyFill="1" applyBorder="1" applyAlignment="1" applyProtection="1">
      <alignment horizontal="center" vertical="center" wrapText="1"/>
    </xf>
    <xf numFmtId="0" fontId="14" fillId="15" borderId="180" xfId="0" applyFont="1" applyFill="1" applyBorder="1" applyAlignment="1" applyProtection="1">
      <alignment horizontal="center" vertical="center"/>
    </xf>
    <xf numFmtId="0" fontId="14" fillId="15" borderId="185" xfId="0" applyFont="1" applyFill="1" applyBorder="1" applyAlignment="1" applyProtection="1">
      <alignment horizontal="center" vertical="center"/>
    </xf>
    <xf numFmtId="168" fontId="0" fillId="0" borderId="186" xfId="13" applyNumberFormat="1" applyFont="1" applyFill="1" applyBorder="1" applyAlignment="1" applyProtection="1">
      <alignment vertical="center"/>
    </xf>
    <xf numFmtId="168" fontId="0" fillId="0" borderId="187" xfId="13" applyNumberFormat="1" applyFont="1" applyFill="1" applyBorder="1" applyAlignment="1" applyProtection="1">
      <alignment vertical="center"/>
    </xf>
    <xf numFmtId="168" fontId="0" fillId="0" borderId="188" xfId="13" applyNumberFormat="1" applyFont="1" applyFill="1" applyBorder="1" applyAlignment="1" applyProtection="1">
      <alignment vertical="center"/>
    </xf>
    <xf numFmtId="181" fontId="15" fillId="37" borderId="55" xfId="16" applyNumberFormat="1" applyFill="1" applyBorder="1" applyAlignment="1" applyProtection="1">
      <alignment horizontal="center" vertical="center"/>
    </xf>
    <xf numFmtId="169" fontId="15" fillId="0" borderId="60" xfId="13" applyNumberFormat="1" applyFont="1" applyFill="1" applyBorder="1" applyAlignment="1" applyProtection="1">
      <alignment vertical="center"/>
    </xf>
    <xf numFmtId="169" fontId="14" fillId="40" borderId="114" xfId="13" applyNumberFormat="1" applyFont="1" applyFill="1" applyBorder="1" applyAlignment="1" applyProtection="1">
      <alignment vertical="center"/>
    </xf>
    <xf numFmtId="169" fontId="14" fillId="40" borderId="173" xfId="13" applyNumberFormat="1" applyFont="1" applyFill="1" applyBorder="1" applyAlignment="1" applyProtection="1">
      <alignment vertical="center"/>
    </xf>
    <xf numFmtId="169" fontId="14" fillId="40" borderId="129" xfId="13" applyNumberFormat="1" applyFont="1" applyFill="1" applyBorder="1" applyAlignment="1" applyProtection="1">
      <alignment vertical="center"/>
    </xf>
    <xf numFmtId="174" fontId="0" fillId="0" borderId="118" xfId="12" applyNumberFormat="1" applyFont="1" applyFill="1" applyBorder="1" applyAlignment="1" applyProtection="1">
      <alignment vertical="center"/>
    </xf>
    <xf numFmtId="169" fontId="0" fillId="0" borderId="88" xfId="13" applyNumberFormat="1" applyFont="1" applyFill="1" applyBorder="1" applyAlignment="1" applyProtection="1">
      <alignment vertical="center"/>
    </xf>
    <xf numFmtId="169" fontId="0" fillId="0" borderId="159" xfId="13" applyNumberFormat="1" applyFont="1" applyFill="1" applyBorder="1" applyAlignment="1" applyProtection="1">
      <alignment vertical="center"/>
    </xf>
    <xf numFmtId="169" fontId="0" fillId="0" borderId="139" xfId="13" applyNumberFormat="1" applyFont="1" applyFill="1" applyBorder="1" applyAlignment="1" applyProtection="1">
      <alignment vertical="center"/>
    </xf>
    <xf numFmtId="169" fontId="23" fillId="32" borderId="175" xfId="13" applyNumberFormat="1" applyFont="1" applyFill="1" applyBorder="1" applyAlignment="1" applyProtection="1">
      <alignment vertical="center" wrapText="1"/>
    </xf>
    <xf numFmtId="169" fontId="23" fillId="32" borderId="149" xfId="13" applyNumberFormat="1" applyFont="1" applyFill="1" applyBorder="1" applyAlignment="1" applyProtection="1">
      <alignment vertical="center" wrapText="1"/>
    </xf>
    <xf numFmtId="169" fontId="23" fillId="32" borderId="150" xfId="13" applyNumberFormat="1" applyFont="1" applyFill="1" applyBorder="1" applyAlignment="1" applyProtection="1">
      <alignment vertical="center" wrapText="1"/>
    </xf>
    <xf numFmtId="169" fontId="23" fillId="32" borderId="151" xfId="13" applyNumberFormat="1" applyFont="1" applyFill="1" applyBorder="1" applyAlignment="1" applyProtection="1">
      <alignment vertical="center" wrapText="1"/>
    </xf>
    <xf numFmtId="169" fontId="23" fillId="32" borderId="190" xfId="13" applyNumberFormat="1" applyFont="1" applyFill="1" applyBorder="1" applyAlignment="1" applyProtection="1">
      <alignment vertical="center" wrapText="1"/>
    </xf>
    <xf numFmtId="169" fontId="23" fillId="32" borderId="191" xfId="13" applyNumberFormat="1" applyFont="1" applyFill="1" applyBorder="1" applyAlignment="1" applyProtection="1">
      <alignment vertical="center" wrapText="1"/>
    </xf>
    <xf numFmtId="169" fontId="23" fillId="32" borderId="192" xfId="13" applyNumberFormat="1" applyFont="1" applyFill="1" applyBorder="1" applyAlignment="1" applyProtection="1">
      <alignment vertical="center" wrapText="1"/>
    </xf>
    <xf numFmtId="169" fontId="23" fillId="32" borderId="176" xfId="13" applyNumberFormat="1" applyFont="1" applyFill="1" applyBorder="1" applyAlignment="1" applyProtection="1">
      <alignment vertical="center" wrapText="1"/>
    </xf>
    <xf numFmtId="169" fontId="23" fillId="32" borderId="57" xfId="13" applyNumberFormat="1" applyFont="1" applyFill="1" applyBorder="1" applyAlignment="1" applyProtection="1">
      <alignment vertical="center" wrapText="1"/>
    </xf>
    <xf numFmtId="169" fontId="23" fillId="32" borderId="58" xfId="13" applyNumberFormat="1" applyFont="1" applyFill="1" applyBorder="1" applyAlignment="1" applyProtection="1">
      <alignment vertical="center" wrapText="1"/>
    </xf>
    <xf numFmtId="169" fontId="23" fillId="32" borderId="61" xfId="13" applyNumberFormat="1" applyFont="1" applyFill="1" applyBorder="1" applyAlignment="1" applyProtection="1">
      <alignment vertical="center" wrapText="1"/>
    </xf>
    <xf numFmtId="169" fontId="23" fillId="32" borderId="69" xfId="13" applyNumberFormat="1" applyFont="1" applyFill="1" applyBorder="1" applyAlignment="1" applyProtection="1">
      <alignment vertical="center" wrapText="1"/>
    </xf>
    <xf numFmtId="178" fontId="24" fillId="26" borderId="69" xfId="0" applyNumberFormat="1" applyFont="1" applyFill="1" applyBorder="1" applyAlignment="1" applyProtection="1">
      <alignment horizontal="right" vertical="center"/>
    </xf>
    <xf numFmtId="9" fontId="0" fillId="12" borderId="114" xfId="0" applyNumberFormat="1" applyFont="1" applyFill="1" applyBorder="1" applyAlignment="1" applyProtection="1">
      <alignment horizontal="center" vertical="center"/>
      <protection locked="0"/>
    </xf>
    <xf numFmtId="178" fontId="0" fillId="0" borderId="174" xfId="0" applyNumberFormat="1" applyFont="1" applyFill="1" applyBorder="1" applyAlignment="1" applyProtection="1">
      <alignment horizontal="right" vertical="center"/>
    </xf>
    <xf numFmtId="178" fontId="0" fillId="0" borderId="129" xfId="0" applyNumberFormat="1" applyFont="1" applyFill="1" applyBorder="1" applyAlignment="1" applyProtection="1">
      <alignment horizontal="right" vertical="center"/>
    </xf>
    <xf numFmtId="170" fontId="0" fillId="12" borderId="193" xfId="16" applyFont="1" applyFill="1" applyBorder="1" applyAlignment="1" applyProtection="1">
      <alignment horizontal="center" vertical="center"/>
      <protection locked="0"/>
    </xf>
    <xf numFmtId="170" fontId="16" fillId="19" borderId="57" xfId="16" applyFont="1" applyFill="1" applyBorder="1" applyAlignment="1" applyProtection="1">
      <alignment horizontal="center" vertical="center"/>
    </xf>
    <xf numFmtId="178" fontId="24" fillId="26" borderId="59" xfId="0" applyNumberFormat="1" applyFont="1" applyFill="1" applyBorder="1" applyAlignment="1" applyProtection="1">
      <alignment horizontal="right" vertical="center"/>
    </xf>
    <xf numFmtId="0" fontId="0" fillId="46" borderId="60" xfId="0" applyFont="1" applyFill="1" applyBorder="1" applyAlignment="1" applyProtection="1">
      <alignment horizontal="left" vertical="center"/>
    </xf>
    <xf numFmtId="0" fontId="0" fillId="46" borderId="151" xfId="0" applyFont="1" applyFill="1" applyBorder="1" applyAlignment="1" applyProtection="1">
      <alignment horizontal="left" vertical="center"/>
    </xf>
    <xf numFmtId="0" fontId="0" fillId="46" borderId="54" xfId="0" applyFont="1" applyFill="1" applyBorder="1" applyAlignment="1" applyProtection="1">
      <alignment horizontal="left" vertical="center"/>
    </xf>
    <xf numFmtId="179" fontId="0" fillId="46" borderId="198" xfId="13" applyNumberFormat="1" applyFont="1" applyFill="1" applyBorder="1" applyAlignment="1" applyProtection="1">
      <alignment vertical="center"/>
    </xf>
    <xf numFmtId="169" fontId="14" fillId="35" borderId="55" xfId="0" applyNumberFormat="1" applyFont="1" applyFill="1" applyBorder="1" applyAlignment="1" applyProtection="1">
      <alignment horizontal="center" vertical="center" wrapText="1"/>
    </xf>
    <xf numFmtId="169" fontId="14" fillId="35" borderId="106" xfId="0" applyNumberFormat="1" applyFont="1" applyFill="1" applyBorder="1" applyAlignment="1" applyProtection="1">
      <alignment horizontal="center" vertical="center" wrapText="1"/>
    </xf>
    <xf numFmtId="169" fontId="14" fillId="35" borderId="107" xfId="0" applyNumberFormat="1" applyFont="1" applyFill="1" applyBorder="1" applyAlignment="1" applyProtection="1">
      <alignment horizontal="center" vertical="center" wrapText="1"/>
    </xf>
    <xf numFmtId="179" fontId="0" fillId="46" borderId="199" xfId="13" applyNumberFormat="1" applyFont="1" applyFill="1" applyBorder="1" applyAlignment="1" applyProtection="1">
      <alignment vertical="center"/>
    </xf>
    <xf numFmtId="171" fontId="0" fillId="12" borderId="199" xfId="13" applyNumberFormat="1" applyFont="1" applyFill="1" applyBorder="1" applyAlignment="1" applyProtection="1">
      <alignment horizontal="center" vertical="center"/>
      <protection locked="0"/>
    </xf>
    <xf numFmtId="171" fontId="0" fillId="46" borderId="198" xfId="13" applyNumberFormat="1" applyFont="1" applyFill="1" applyBorder="1" applyAlignment="1" applyProtection="1">
      <alignment horizontal="center" vertical="center"/>
    </xf>
    <xf numFmtId="171" fontId="0" fillId="12" borderId="113" xfId="13" applyNumberFormat="1" applyFont="1" applyFill="1" applyBorder="1" applyAlignment="1" applyProtection="1">
      <alignment horizontal="center" vertical="center"/>
      <protection locked="0"/>
    </xf>
    <xf numFmtId="171" fontId="0" fillId="46" borderId="111" xfId="13" applyNumberFormat="1" applyFont="1" applyFill="1" applyBorder="1" applyAlignment="1" applyProtection="1">
      <alignment horizontal="center" vertical="center"/>
    </xf>
    <xf numFmtId="169" fontId="14" fillId="15" borderId="163" xfId="0" applyNumberFormat="1" applyFont="1" applyFill="1" applyBorder="1" applyAlignment="1" applyProtection="1">
      <alignment horizontal="center" vertical="center" wrapText="1"/>
    </xf>
    <xf numFmtId="169" fontId="14" fillId="15" borderId="197" xfId="0" applyNumberFormat="1" applyFont="1" applyFill="1" applyBorder="1" applyAlignment="1" applyProtection="1">
      <alignment horizontal="center" vertical="center" wrapText="1"/>
    </xf>
    <xf numFmtId="179" fontId="0" fillId="29" borderId="198" xfId="13" applyNumberFormat="1" applyFont="1" applyFill="1" applyBorder="1" applyAlignment="1" applyProtection="1">
      <alignment vertical="center"/>
    </xf>
    <xf numFmtId="179" fontId="0" fillId="29" borderId="200" xfId="13" applyNumberFormat="1" applyFont="1" applyFill="1" applyBorder="1" applyAlignment="1" applyProtection="1">
      <alignment vertical="center"/>
    </xf>
    <xf numFmtId="179" fontId="0" fillId="29" borderId="111" xfId="13" applyNumberFormat="1" applyFont="1" applyFill="1" applyBorder="1" applyAlignment="1" applyProtection="1">
      <alignment vertical="center"/>
    </xf>
    <xf numFmtId="179" fontId="0" fillId="29" borderId="112" xfId="13" applyNumberFormat="1" applyFont="1" applyFill="1" applyBorder="1" applyAlignment="1" applyProtection="1">
      <alignment vertical="center"/>
    </xf>
    <xf numFmtId="178" fontId="23" fillId="28" borderId="178" xfId="0" applyNumberFormat="1" applyFont="1" applyFill="1" applyBorder="1" applyAlignment="1" applyProtection="1">
      <alignment horizontal="center" vertical="center"/>
    </xf>
    <xf numFmtId="169" fontId="14" fillId="15" borderId="196" xfId="0" applyNumberFormat="1" applyFont="1" applyFill="1" applyBorder="1" applyAlignment="1" applyProtection="1">
      <alignment horizontal="center" vertical="center" wrapText="1"/>
    </xf>
    <xf numFmtId="169" fontId="14" fillId="15" borderId="169" xfId="0" applyNumberFormat="1" applyFont="1" applyFill="1" applyBorder="1" applyAlignment="1" applyProtection="1">
      <alignment horizontal="center" vertical="center" wrapText="1"/>
    </xf>
    <xf numFmtId="169" fontId="14" fillId="15" borderId="211" xfId="0" applyNumberFormat="1" applyFont="1" applyFill="1" applyBorder="1" applyAlignment="1" applyProtection="1">
      <alignment horizontal="center" vertical="center" wrapText="1"/>
    </xf>
    <xf numFmtId="169" fontId="14" fillId="15" borderId="212" xfId="0" applyNumberFormat="1" applyFont="1" applyFill="1" applyBorder="1" applyAlignment="1" applyProtection="1">
      <alignment horizontal="center" vertical="center" wrapText="1"/>
    </xf>
    <xf numFmtId="169" fontId="0" fillId="37" borderId="199" xfId="13" applyNumberFormat="1" applyFont="1" applyFill="1" applyBorder="1" applyAlignment="1" applyProtection="1">
      <alignment vertical="center"/>
    </xf>
    <xf numFmtId="169" fontId="0" fillId="37" borderId="198" xfId="13" applyNumberFormat="1" applyFont="1" applyFill="1" applyBorder="1" applyAlignment="1" applyProtection="1">
      <alignment vertical="center"/>
    </xf>
    <xf numFmtId="169" fontId="0" fillId="37" borderId="205" xfId="13" applyNumberFormat="1" applyFont="1" applyFill="1" applyBorder="1" applyAlignment="1" applyProtection="1">
      <alignment vertical="center"/>
    </xf>
    <xf numFmtId="169" fontId="0" fillId="0" borderId="199" xfId="13" applyNumberFormat="1" applyFont="1" applyFill="1" applyBorder="1" applyAlignment="1" applyProtection="1">
      <alignment vertical="center"/>
    </xf>
    <xf numFmtId="169" fontId="0" fillId="0" borderId="198" xfId="13" applyNumberFormat="1" applyFont="1" applyFill="1" applyBorder="1" applyAlignment="1" applyProtection="1">
      <alignment vertical="center"/>
    </xf>
    <xf numFmtId="171" fontId="0" fillId="0" borderId="199" xfId="0" applyNumberFormat="1" applyFont="1" applyFill="1" applyBorder="1" applyAlignment="1" applyProtection="1">
      <alignment horizontal="center" vertical="center"/>
    </xf>
    <xf numFmtId="171" fontId="0" fillId="0" borderId="198" xfId="0" applyNumberFormat="1" applyFont="1" applyFill="1" applyBorder="1" applyAlignment="1" applyProtection="1">
      <alignment horizontal="center" vertical="center"/>
    </xf>
    <xf numFmtId="171" fontId="0" fillId="0" borderId="200" xfId="0" applyNumberFormat="1" applyFont="1" applyFill="1" applyBorder="1" applyAlignment="1" applyProtection="1">
      <alignment horizontal="center" vertical="center"/>
    </xf>
    <xf numFmtId="169" fontId="0" fillId="37" borderId="113" xfId="13" applyNumberFormat="1" applyFont="1" applyFill="1" applyBorder="1" applyAlignment="1" applyProtection="1">
      <alignment vertical="center"/>
    </xf>
    <xf numFmtId="169" fontId="0" fillId="37" borderId="111" xfId="13" applyNumberFormat="1" applyFont="1" applyFill="1" applyBorder="1" applyAlignment="1" applyProtection="1">
      <alignment vertical="center"/>
    </xf>
    <xf numFmtId="169" fontId="0" fillId="37" borderId="104" xfId="13" applyNumberFormat="1" applyFont="1" applyFill="1" applyBorder="1" applyAlignment="1" applyProtection="1">
      <alignment vertical="center"/>
    </xf>
    <xf numFmtId="169" fontId="0" fillId="0" borderId="113" xfId="13" applyNumberFormat="1" applyFont="1" applyFill="1" applyBorder="1" applyAlignment="1" applyProtection="1">
      <alignment vertical="center"/>
    </xf>
    <xf numFmtId="169" fontId="0" fillId="0" borderId="111" xfId="13" applyNumberFormat="1" applyFont="1" applyFill="1" applyBorder="1" applyAlignment="1" applyProtection="1">
      <alignment vertical="center"/>
    </xf>
    <xf numFmtId="169" fontId="0" fillId="0" borderId="104" xfId="13" applyNumberFormat="1" applyFont="1" applyFill="1" applyBorder="1" applyAlignment="1" applyProtection="1">
      <alignment vertical="center"/>
    </xf>
    <xf numFmtId="171" fontId="0" fillId="0" borderId="113" xfId="0" applyNumberFormat="1" applyFont="1" applyFill="1" applyBorder="1" applyAlignment="1" applyProtection="1">
      <alignment horizontal="center" vertical="center"/>
    </xf>
    <xf numFmtId="171" fontId="0" fillId="0" borderId="111" xfId="0" applyNumberFormat="1" applyFont="1" applyFill="1" applyBorder="1" applyAlignment="1" applyProtection="1">
      <alignment horizontal="center" vertical="center"/>
    </xf>
    <xf numFmtId="171" fontId="0" fillId="0" borderId="112" xfId="0" applyNumberFormat="1" applyFont="1" applyFill="1" applyBorder="1" applyAlignment="1" applyProtection="1">
      <alignment horizontal="center" vertical="center"/>
    </xf>
    <xf numFmtId="169" fontId="0" fillId="28" borderId="108" xfId="13" applyNumberFormat="1" applyFont="1" applyFill="1" applyBorder="1" applyAlignment="1" applyProtection="1">
      <alignment vertical="center"/>
    </xf>
    <xf numFmtId="0" fontId="14"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0" fillId="0" borderId="0" xfId="0" applyFont="1" applyAlignment="1" applyProtection="1">
      <alignment horizontal="left"/>
      <protection locked="0"/>
    </xf>
    <xf numFmtId="0" fontId="14" fillId="0" borderId="0" xfId="0" applyFont="1" applyAlignment="1" applyProtection="1">
      <alignment horizontal="center"/>
      <protection locked="0"/>
    </xf>
    <xf numFmtId="0" fontId="14" fillId="0" borderId="0" xfId="0" applyFont="1" applyFill="1" applyBorder="1" applyAlignment="1" applyProtection="1">
      <alignment horizontal="center"/>
      <protection locked="0"/>
    </xf>
    <xf numFmtId="0" fontId="0" fillId="0" borderId="0" xfId="0" applyFill="1" applyProtection="1">
      <protection locked="0"/>
    </xf>
    <xf numFmtId="0" fontId="35" fillId="0" borderId="0" xfId="0" applyFont="1" applyAlignment="1" applyProtection="1">
      <alignment horizontal="center"/>
      <protection locked="0"/>
    </xf>
    <xf numFmtId="0" fontId="37" fillId="0" borderId="0" xfId="0" applyFont="1" applyFill="1" applyProtection="1">
      <protection locked="0"/>
    </xf>
    <xf numFmtId="0" fontId="35" fillId="0" borderId="0" xfId="0" applyFont="1" applyAlignment="1" applyProtection="1">
      <alignment horizontal="center" vertical="center" wrapText="1"/>
      <protection locked="0"/>
    </xf>
    <xf numFmtId="0" fontId="40" fillId="0" borderId="0" xfId="0" applyFont="1" applyAlignment="1" applyProtection="1">
      <alignment vertical="center" wrapText="1"/>
      <protection locked="0"/>
    </xf>
    <xf numFmtId="0" fontId="37" fillId="0" borderId="0" xfId="0" applyFont="1" applyAlignment="1" applyProtection="1">
      <alignment horizontal="left" vertical="center" wrapText="1"/>
      <protection locked="0"/>
    </xf>
    <xf numFmtId="0" fontId="38" fillId="0" borderId="0" xfId="0" applyFont="1" applyAlignment="1" applyProtection="1">
      <alignment horizontal="left"/>
      <protection locked="0"/>
    </xf>
    <xf numFmtId="0" fontId="0" fillId="12" borderId="214" xfId="0" applyFont="1" applyFill="1" applyBorder="1" applyAlignment="1" applyProtection="1">
      <alignment horizontal="left" vertical="center"/>
      <protection locked="0"/>
    </xf>
    <xf numFmtId="0" fontId="0" fillId="12" borderId="215" xfId="0" applyFont="1" applyFill="1" applyBorder="1" applyAlignment="1" applyProtection="1">
      <alignment horizontal="left" vertical="center"/>
      <protection locked="0"/>
    </xf>
    <xf numFmtId="0" fontId="0" fillId="12" borderId="215" xfId="0" applyFont="1" applyFill="1" applyBorder="1" applyProtection="1">
      <protection locked="0"/>
    </xf>
    <xf numFmtId="0" fontId="0" fillId="12" borderId="216" xfId="0" applyFont="1" applyFill="1" applyBorder="1" applyProtection="1">
      <protection locked="0"/>
    </xf>
    <xf numFmtId="0" fontId="0" fillId="12" borderId="125" xfId="0" applyFont="1" applyFill="1" applyBorder="1" applyAlignment="1" applyProtection="1">
      <alignment horizontal="left" vertical="center"/>
      <protection locked="0"/>
    </xf>
    <xf numFmtId="0" fontId="0" fillId="12" borderId="198" xfId="0" applyFont="1" applyFill="1" applyBorder="1" applyAlignment="1" applyProtection="1">
      <alignment horizontal="left" vertical="center"/>
      <protection locked="0"/>
    </xf>
    <xf numFmtId="0" fontId="0" fillId="12" borderId="198" xfId="0" applyFont="1" applyFill="1" applyBorder="1" applyProtection="1">
      <protection locked="0"/>
    </xf>
    <xf numFmtId="0" fontId="0" fillId="12" borderId="205" xfId="0" applyFont="1" applyFill="1" applyBorder="1" applyProtection="1">
      <protection locked="0"/>
    </xf>
    <xf numFmtId="0" fontId="0" fillId="12" borderId="124" xfId="0" applyFont="1" applyFill="1" applyBorder="1" applyAlignment="1" applyProtection="1">
      <alignment horizontal="left" vertical="center"/>
      <protection locked="0"/>
    </xf>
    <xf numFmtId="0" fontId="0" fillId="12" borderId="111" xfId="0" applyFont="1" applyFill="1" applyBorder="1" applyProtection="1">
      <protection locked="0"/>
    </xf>
    <xf numFmtId="0" fontId="0" fillId="12" borderId="104" xfId="0" applyFont="1" applyFill="1" applyBorder="1" applyProtection="1">
      <protection locked="0"/>
    </xf>
    <xf numFmtId="0" fontId="0" fillId="12" borderId="193" xfId="0" applyFont="1" applyFill="1" applyBorder="1" applyAlignment="1" applyProtection="1">
      <alignment horizontal="left" vertical="center"/>
      <protection locked="0"/>
    </xf>
    <xf numFmtId="0" fontId="0" fillId="12" borderId="173" xfId="0" applyFont="1" applyFill="1" applyBorder="1" applyAlignment="1" applyProtection="1">
      <alignment horizontal="left" vertical="center"/>
      <protection locked="0"/>
    </xf>
    <xf numFmtId="0" fontId="0" fillId="12" borderId="173" xfId="0" applyFont="1" applyFill="1" applyBorder="1" applyProtection="1">
      <protection locked="0"/>
    </xf>
    <xf numFmtId="0" fontId="0" fillId="12" borderId="217" xfId="0" applyFont="1" applyFill="1" applyBorder="1" applyAlignment="1" applyProtection="1">
      <alignment horizontal="left" vertical="center"/>
      <protection locked="0"/>
    </xf>
    <xf numFmtId="0" fontId="0" fillId="12" borderId="204" xfId="0" applyFont="1" applyFill="1" applyBorder="1" applyProtection="1">
      <protection locked="0"/>
    </xf>
    <xf numFmtId="0" fontId="37" fillId="0" borderId="0" xfId="0" applyFont="1" applyFill="1" applyAlignment="1" applyProtection="1">
      <alignment horizontal="left"/>
      <protection locked="0"/>
    </xf>
    <xf numFmtId="0" fontId="44" fillId="0" borderId="0" xfId="0" applyFont="1" applyProtection="1">
      <protection locked="0"/>
    </xf>
    <xf numFmtId="180" fontId="0" fillId="12" borderId="215" xfId="13" applyNumberFormat="1" applyFont="1" applyFill="1" applyBorder="1" applyAlignment="1" applyProtection="1">
      <alignment horizontal="center" vertical="center"/>
      <protection locked="0"/>
    </xf>
    <xf numFmtId="0" fontId="0" fillId="0" borderId="0" xfId="0" applyAlignment="1">
      <alignment vertical="center"/>
    </xf>
    <xf numFmtId="168" fontId="0" fillId="0" borderId="115" xfId="13" applyNumberFormat="1" applyFont="1" applyBorder="1" applyAlignment="1">
      <alignment vertical="center"/>
    </xf>
    <xf numFmtId="169" fontId="0" fillId="29" borderId="218" xfId="13" applyNumberFormat="1" applyFont="1" applyFill="1" applyBorder="1" applyAlignment="1">
      <alignment vertical="center"/>
    </xf>
    <xf numFmtId="169" fontId="0" fillId="29" borderId="215" xfId="13" applyNumberFormat="1" applyFont="1" applyFill="1" applyBorder="1" applyAlignment="1">
      <alignment vertical="center"/>
    </xf>
    <xf numFmtId="168" fontId="0" fillId="0" borderId="206" xfId="13" applyNumberFormat="1" applyFont="1" applyBorder="1" applyAlignment="1">
      <alignment vertical="center"/>
    </xf>
    <xf numFmtId="169" fontId="0" fillId="52" borderId="199" xfId="13" applyNumberFormat="1" applyFont="1" applyFill="1" applyBorder="1" applyAlignment="1">
      <alignment vertical="center"/>
    </xf>
    <xf numFmtId="169" fontId="0" fillId="52" borderId="198" xfId="13" applyNumberFormat="1" applyFont="1" applyFill="1" applyBorder="1" applyAlignment="1">
      <alignment vertical="center"/>
    </xf>
    <xf numFmtId="169" fontId="0" fillId="51" borderId="198" xfId="13" applyNumberFormat="1" applyFont="1" applyFill="1" applyBorder="1" applyAlignment="1">
      <alignment vertical="center"/>
    </xf>
    <xf numFmtId="169" fontId="0" fillId="1" borderId="199" xfId="13" applyNumberFormat="1" applyFont="1" applyFill="1" applyBorder="1" applyAlignment="1">
      <alignment vertical="center"/>
    </xf>
    <xf numFmtId="169" fontId="0" fillId="1" borderId="198" xfId="13" applyNumberFormat="1" applyFont="1" applyFill="1" applyBorder="1" applyAlignment="1">
      <alignment vertical="center"/>
    </xf>
    <xf numFmtId="168" fontId="0" fillId="0" borderId="116" xfId="13" applyNumberFormat="1" applyFont="1" applyBorder="1" applyAlignment="1">
      <alignment vertical="center"/>
    </xf>
    <xf numFmtId="179" fontId="0" fillId="12" borderId="214" xfId="13" applyNumberFormat="1" applyFont="1" applyFill="1" applyBorder="1" applyAlignment="1" applyProtection="1">
      <alignment vertical="center"/>
      <protection locked="0"/>
    </xf>
    <xf numFmtId="179" fontId="0" fillId="12" borderId="124" xfId="13" applyNumberFormat="1" applyFont="1" applyFill="1" applyBorder="1" applyAlignment="1" applyProtection="1">
      <alignment vertical="center"/>
      <protection locked="0"/>
    </xf>
    <xf numFmtId="0" fontId="0" fillId="12" borderId="198" xfId="0" applyFill="1" applyBorder="1" applyAlignment="1" applyProtection="1">
      <alignment horizontal="left" vertical="center"/>
      <protection locked="0"/>
    </xf>
    <xf numFmtId="0" fontId="0" fillId="12" borderId="218" xfId="0" applyFont="1" applyFill="1" applyBorder="1" applyAlignment="1" applyProtection="1">
      <alignment horizontal="left" vertical="center"/>
      <protection locked="0"/>
    </xf>
    <xf numFmtId="0" fontId="0" fillId="12" borderId="199" xfId="0" applyFont="1" applyFill="1" applyBorder="1" applyAlignment="1" applyProtection="1">
      <alignment horizontal="left" vertical="center"/>
      <protection locked="0"/>
    </xf>
    <xf numFmtId="169" fontId="0" fillId="12" borderId="198" xfId="13" applyNumberFormat="1" applyFont="1" applyFill="1" applyBorder="1" applyAlignment="1" applyProtection="1">
      <alignment vertical="center"/>
      <protection locked="0"/>
    </xf>
    <xf numFmtId="169" fontId="20" fillId="12" borderId="198" xfId="13" applyNumberFormat="1" applyFont="1" applyFill="1" applyBorder="1" applyAlignment="1" applyProtection="1">
      <alignment vertical="center"/>
      <protection locked="0"/>
    </xf>
    <xf numFmtId="177" fontId="20" fillId="12" borderId="198" xfId="12" applyNumberFormat="1" applyFont="1" applyFill="1" applyBorder="1" applyAlignment="1" applyProtection="1">
      <alignment vertical="center"/>
      <protection locked="0"/>
    </xf>
    <xf numFmtId="169" fontId="23" fillId="32" borderId="59" xfId="13" applyNumberFormat="1" applyFont="1" applyFill="1" applyBorder="1" applyAlignment="1" applyProtection="1">
      <alignment vertical="center" wrapText="1"/>
    </xf>
    <xf numFmtId="164" fontId="0" fillId="12" borderId="198" xfId="31" applyFont="1" applyFill="1" applyBorder="1" applyAlignment="1" applyProtection="1">
      <alignment horizontal="center" vertical="center"/>
      <protection locked="0"/>
    </xf>
    <xf numFmtId="164" fontId="0" fillId="46" borderId="198" xfId="31" applyFont="1" applyFill="1" applyBorder="1" applyAlignment="1" applyProtection="1">
      <alignment horizontal="center" vertical="center"/>
    </xf>
    <xf numFmtId="164" fontId="0" fillId="49" borderId="198" xfId="31" applyFont="1" applyFill="1" applyBorder="1" applyAlignment="1" applyProtection="1">
      <alignment horizontal="center" vertical="center"/>
      <protection locked="0"/>
    </xf>
    <xf numFmtId="0" fontId="0" fillId="0" borderId="222" xfId="0" applyFont="1" applyFill="1" applyBorder="1" applyAlignment="1" applyProtection="1">
      <alignment horizontal="left" vertical="center"/>
    </xf>
    <xf numFmtId="0" fontId="0" fillId="0" borderId="221" xfId="0" applyFont="1" applyFill="1" applyBorder="1" applyAlignment="1" applyProtection="1">
      <alignment horizontal="left" vertical="center"/>
    </xf>
    <xf numFmtId="0" fontId="0" fillId="0" borderId="223" xfId="0" applyFont="1" applyFill="1" applyBorder="1" applyAlignment="1" applyProtection="1">
      <alignment horizontal="left" vertical="center"/>
    </xf>
    <xf numFmtId="0" fontId="0" fillId="0" borderId="154" xfId="0" applyFont="1" applyFill="1" applyBorder="1" applyAlignment="1" applyProtection="1">
      <alignment horizontal="left" vertical="center"/>
    </xf>
    <xf numFmtId="0" fontId="0" fillId="0" borderId="220" xfId="0" applyFont="1" applyFill="1" applyBorder="1" applyAlignment="1" applyProtection="1">
      <alignment horizontal="left" vertical="center"/>
    </xf>
    <xf numFmtId="0" fontId="0" fillId="12" borderId="224" xfId="0" applyFont="1" applyFill="1" applyBorder="1" applyAlignment="1" applyProtection="1">
      <alignment horizontal="left" vertical="center"/>
      <protection locked="0"/>
    </xf>
    <xf numFmtId="169" fontId="0" fillId="51" borderId="199" xfId="13" applyNumberFormat="1" applyFont="1" applyFill="1" applyBorder="1" applyAlignment="1">
      <alignment vertical="center"/>
    </xf>
    <xf numFmtId="169" fontId="0" fillId="0" borderId="218" xfId="13" applyNumberFormat="1" applyFont="1" applyFill="1" applyBorder="1" applyAlignment="1" applyProtection="1">
      <alignment vertical="center"/>
    </xf>
    <xf numFmtId="169" fontId="0" fillId="0" borderId="215" xfId="13" applyNumberFormat="1" applyFont="1" applyFill="1" applyBorder="1" applyAlignment="1" applyProtection="1">
      <alignment vertical="center"/>
    </xf>
    <xf numFmtId="169" fontId="0" fillId="0" borderId="216" xfId="13" applyNumberFormat="1" applyFont="1" applyFill="1" applyBorder="1" applyAlignment="1" applyProtection="1">
      <alignment vertical="center"/>
    </xf>
    <xf numFmtId="171" fontId="0" fillId="0" borderId="218" xfId="0" applyNumberFormat="1" applyFont="1" applyFill="1" applyBorder="1" applyAlignment="1" applyProtection="1">
      <alignment horizontal="center" vertical="center"/>
    </xf>
    <xf numFmtId="171" fontId="0" fillId="0" borderId="215" xfId="0" applyNumberFormat="1" applyFont="1" applyFill="1" applyBorder="1" applyAlignment="1" applyProtection="1">
      <alignment horizontal="center" vertical="center"/>
    </xf>
    <xf numFmtId="169" fontId="0" fillId="0" borderId="225" xfId="13" applyNumberFormat="1" applyFont="1" applyFill="1" applyBorder="1" applyAlignment="1" applyProtection="1">
      <alignment vertical="center"/>
    </xf>
    <xf numFmtId="169" fontId="0" fillId="1" borderId="225" xfId="13" applyNumberFormat="1" applyFont="1" applyFill="1" applyBorder="1" applyAlignment="1">
      <alignment vertical="center"/>
    </xf>
    <xf numFmtId="169" fontId="0" fillId="1" borderId="200" xfId="13" applyNumberFormat="1" applyFont="1" applyFill="1" applyBorder="1" applyAlignment="1">
      <alignment vertical="center"/>
    </xf>
    <xf numFmtId="181" fontId="15" fillId="37" borderId="216" xfId="16" applyNumberFormat="1" applyFill="1" applyBorder="1" applyAlignment="1" applyProtection="1">
      <alignment horizontal="center" vertical="center"/>
    </xf>
    <xf numFmtId="181" fontId="15" fillId="37" borderId="225" xfId="16" applyNumberFormat="1" applyFill="1" applyBorder="1" applyAlignment="1" applyProtection="1">
      <alignment horizontal="center" vertical="center"/>
    </xf>
    <xf numFmtId="181" fontId="15" fillId="37" borderId="104" xfId="16" applyNumberFormat="1" applyFill="1" applyBorder="1" applyAlignment="1" applyProtection="1">
      <alignment horizontal="center" vertical="center"/>
    </xf>
    <xf numFmtId="169" fontId="0" fillId="29" borderId="226" xfId="13" applyNumberFormat="1" applyFont="1" applyFill="1" applyBorder="1" applyAlignment="1" applyProtection="1">
      <alignment vertical="center"/>
    </xf>
    <xf numFmtId="169" fontId="0" fillId="29" borderId="227" xfId="13" applyNumberFormat="1" applyFont="1" applyFill="1" applyBorder="1" applyAlignment="1" applyProtection="1">
      <alignment vertical="center"/>
    </xf>
    <xf numFmtId="169" fontId="0" fillId="29" borderId="126" xfId="13" applyNumberFormat="1" applyFont="1" applyFill="1" applyBorder="1" applyAlignment="1" applyProtection="1">
      <alignment vertical="center"/>
    </xf>
    <xf numFmtId="169" fontId="0" fillId="12" borderId="200" xfId="13" applyNumberFormat="1" applyFont="1" applyFill="1" applyBorder="1" applyAlignment="1" applyProtection="1">
      <alignment vertical="center"/>
      <protection locked="0"/>
    </xf>
    <xf numFmtId="0" fontId="0" fillId="0" borderId="0" xfId="0" applyFill="1" applyBorder="1" applyAlignment="1" applyProtection="1">
      <alignment horizontal="center"/>
      <protection locked="0"/>
    </xf>
    <xf numFmtId="169" fontId="14" fillId="0" borderId="0"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180" fontId="24" fillId="0" borderId="0" xfId="0" applyNumberFormat="1" applyFont="1" applyFill="1" applyBorder="1" applyProtection="1">
      <protection locked="0"/>
    </xf>
    <xf numFmtId="0" fontId="40" fillId="0" borderId="0" xfId="0" applyFont="1" applyFill="1" applyBorder="1" applyAlignment="1" applyProtection="1">
      <alignment vertical="center" wrapText="1"/>
      <protection locked="0"/>
    </xf>
    <xf numFmtId="0" fontId="40" fillId="0" borderId="0" xfId="0" applyFont="1" applyFill="1" applyBorder="1" applyAlignment="1" applyProtection="1">
      <alignment horizontal="center" vertical="center" wrapText="1"/>
      <protection locked="0"/>
    </xf>
    <xf numFmtId="0" fontId="37" fillId="0" borderId="0" xfId="0"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47" fillId="0" borderId="0" xfId="0" applyFont="1" applyProtection="1">
      <protection locked="0"/>
    </xf>
    <xf numFmtId="0" fontId="48" fillId="0" borderId="0" xfId="0" applyFont="1" applyBorder="1" applyAlignment="1" applyProtection="1">
      <alignment horizontal="center" vertical="center"/>
      <protection locked="0"/>
    </xf>
    <xf numFmtId="0" fontId="48" fillId="0" borderId="0" xfId="0" applyFont="1" applyBorder="1" applyAlignment="1" applyProtection="1">
      <alignment vertical="center"/>
      <protection locked="0"/>
    </xf>
    <xf numFmtId="0" fontId="48" fillId="0" borderId="0" xfId="0" applyFont="1" applyBorder="1" applyAlignment="1" applyProtection="1">
      <alignment horizontal="right" vertical="center"/>
      <protection locked="0"/>
    </xf>
    <xf numFmtId="0" fontId="47" fillId="0" borderId="0" xfId="0" applyFont="1" applyAlignment="1" applyProtection="1">
      <alignment horizontal="left" vertical="center"/>
      <protection locked="0"/>
    </xf>
    <xf numFmtId="0" fontId="47" fillId="0" borderId="0" xfId="0" applyFont="1" applyAlignment="1" applyProtection="1">
      <alignment horizontal="left" vertical="center" wrapText="1"/>
      <protection locked="0"/>
    </xf>
    <xf numFmtId="169" fontId="0" fillId="0" borderId="95" xfId="0" applyNumberFormat="1" applyFill="1" applyBorder="1" applyAlignment="1" applyProtection="1">
      <alignment vertical="center"/>
    </xf>
    <xf numFmtId="0" fontId="0" fillId="0" borderId="0" xfId="0" applyAlignment="1" applyProtection="1">
      <alignment vertical="center"/>
    </xf>
    <xf numFmtId="0" fontId="14" fillId="12" borderId="198" xfId="0" applyFont="1" applyFill="1" applyBorder="1" applyAlignment="1" applyProtection="1">
      <alignment horizontal="center" vertical="center"/>
    </xf>
    <xf numFmtId="0" fontId="14" fillId="21" borderId="228" xfId="0" applyFont="1" applyFill="1" applyBorder="1" applyAlignment="1" applyProtection="1">
      <alignment horizontal="center" vertical="center"/>
    </xf>
    <xf numFmtId="0" fontId="14" fillId="20" borderId="145" xfId="0" applyFont="1" applyFill="1" applyBorder="1" applyAlignment="1" applyProtection="1">
      <alignment horizontal="center" vertical="center" wrapText="1"/>
    </xf>
    <xf numFmtId="1" fontId="0" fillId="0" borderId="145" xfId="0" applyNumberFormat="1" applyFont="1" applyFill="1" applyBorder="1" applyAlignment="1" applyProtection="1">
      <alignment horizontal="center" vertical="center" wrapText="1"/>
    </xf>
    <xf numFmtId="1" fontId="0" fillId="0" borderId="229" xfId="0" applyNumberFormat="1" applyBorder="1" applyAlignment="1" applyProtection="1">
      <alignment horizontal="center"/>
    </xf>
    <xf numFmtId="1" fontId="0" fillId="44" borderId="145" xfId="0" applyNumberFormat="1" applyFont="1" applyFill="1" applyBorder="1" applyAlignment="1" applyProtection="1">
      <alignment horizontal="center" vertical="center" wrapText="1"/>
    </xf>
    <xf numFmtId="1" fontId="0" fillId="0" borderId="65" xfId="0" applyNumberFormat="1" applyFont="1" applyFill="1" applyBorder="1" applyAlignment="1" applyProtection="1">
      <alignment horizontal="center" vertical="center" wrapText="1"/>
    </xf>
    <xf numFmtId="0" fontId="14" fillId="31" borderId="230" xfId="0" applyFont="1" applyFill="1" applyBorder="1" applyAlignment="1" applyProtection="1">
      <alignment horizontal="center" vertical="center" wrapText="1"/>
    </xf>
    <xf numFmtId="169" fontId="14" fillId="55" borderId="108" xfId="13" applyNumberFormat="1" applyFont="1" applyFill="1" applyBorder="1" applyAlignment="1" applyProtection="1">
      <alignment horizontal="center" vertical="center"/>
    </xf>
    <xf numFmtId="0" fontId="2" fillId="44" borderId="0" xfId="32" applyFill="1"/>
    <xf numFmtId="0" fontId="49" fillId="54" borderId="231" xfId="32" applyFont="1" applyFill="1" applyBorder="1" applyAlignment="1">
      <alignment horizontal="center" vertical="center"/>
    </xf>
    <xf numFmtId="0" fontId="49" fillId="56" borderId="231" xfId="32" applyFont="1" applyFill="1" applyBorder="1" applyAlignment="1">
      <alignment horizontal="center" vertical="center" wrapText="1"/>
    </xf>
    <xf numFmtId="0" fontId="49" fillId="44" borderId="0" xfId="32" applyFont="1" applyFill="1" applyAlignment="1">
      <alignment horizontal="right"/>
    </xf>
    <xf numFmtId="1" fontId="50" fillId="44" borderId="231" xfId="33" applyNumberFormat="1" applyFont="1" applyFill="1" applyBorder="1" applyAlignment="1">
      <alignment horizontal="center" vertical="center"/>
    </xf>
    <xf numFmtId="1" fontId="50" fillId="44" borderId="0" xfId="33" applyNumberFormat="1" applyFont="1" applyFill="1" applyBorder="1" applyAlignment="1">
      <alignment horizontal="center" vertical="center"/>
    </xf>
    <xf numFmtId="0" fontId="49" fillId="47" borderId="0" xfId="32" applyFont="1" applyFill="1" applyAlignment="1">
      <alignment horizontal="left" vertical="center" indent="1"/>
    </xf>
    <xf numFmtId="0" fontId="2" fillId="44" borderId="0" xfId="32" applyFill="1" applyAlignment="1">
      <alignment horizontal="left" indent="2"/>
    </xf>
    <xf numFmtId="186" fontId="2" fillId="44" borderId="0" xfId="32" applyNumberFormat="1" applyFill="1"/>
    <xf numFmtId="186" fontId="49" fillId="44" borderId="0" xfId="32" applyNumberFormat="1" applyFont="1" applyFill="1"/>
    <xf numFmtId="0" fontId="49" fillId="54" borderId="198" xfId="32" applyFont="1" applyFill="1" applyBorder="1" applyAlignment="1">
      <alignment horizontal="left" indent="2"/>
    </xf>
    <xf numFmtId="186" fontId="49" fillId="54" borderId="198" xfId="32" applyNumberFormat="1" applyFont="1" applyFill="1" applyBorder="1"/>
    <xf numFmtId="180" fontId="0" fillId="12" borderId="234" xfId="13" applyNumberFormat="1" applyFont="1" applyFill="1" applyBorder="1" applyAlignment="1" applyProtection="1">
      <alignment horizontal="center" vertical="center"/>
      <protection locked="0"/>
    </xf>
    <xf numFmtId="0" fontId="0" fillId="0" borderId="115" xfId="0" applyFont="1" applyFill="1" applyBorder="1" applyAlignment="1" applyProtection="1">
      <alignment horizontal="left" vertical="center"/>
    </xf>
    <xf numFmtId="0" fontId="0" fillId="0" borderId="206" xfId="0" applyFont="1" applyFill="1" applyBorder="1" applyAlignment="1" applyProtection="1">
      <alignment horizontal="left" vertical="center"/>
    </xf>
    <xf numFmtId="0" fontId="0" fillId="0" borderId="236" xfId="0" applyFont="1" applyFill="1" applyBorder="1" applyAlignment="1" applyProtection="1">
      <alignment horizontal="left" vertical="center"/>
    </xf>
    <xf numFmtId="0" fontId="0" fillId="0" borderId="116" xfId="0" applyFont="1" applyFill="1" applyBorder="1" applyAlignment="1" applyProtection="1">
      <alignment horizontal="left" vertical="center"/>
    </xf>
    <xf numFmtId="180" fontId="0" fillId="29" borderId="237" xfId="0" applyNumberFormat="1" applyFont="1" applyFill="1" applyBorder="1" applyProtection="1"/>
    <xf numFmtId="169" fontId="14" fillId="35" borderId="240" xfId="0" applyNumberFormat="1" applyFont="1" applyFill="1" applyBorder="1" applyAlignment="1" applyProtection="1">
      <alignment horizontal="center" vertical="center" wrapText="1"/>
    </xf>
    <xf numFmtId="180" fontId="0" fillId="12" borderId="218" xfId="13" applyNumberFormat="1" applyFont="1" applyFill="1" applyBorder="1" applyAlignment="1" applyProtection="1">
      <alignment horizontal="center" vertical="center"/>
      <protection locked="0"/>
    </xf>
    <xf numFmtId="180" fontId="0" fillId="12" borderId="241" xfId="13" applyNumberFormat="1" applyFont="1" applyFill="1" applyBorder="1" applyAlignment="1" applyProtection="1">
      <alignment horizontal="center" vertical="center"/>
      <protection locked="0"/>
    </xf>
    <xf numFmtId="180" fontId="0" fillId="12" borderId="242" xfId="13" applyNumberFormat="1" applyFont="1" applyFill="1" applyBorder="1" applyAlignment="1" applyProtection="1">
      <alignment horizontal="center" vertical="center"/>
      <protection locked="0"/>
    </xf>
    <xf numFmtId="180" fontId="0" fillId="12" borderId="113" xfId="13" applyNumberFormat="1" applyFont="1" applyFill="1" applyBorder="1" applyAlignment="1" applyProtection="1">
      <alignment horizontal="center" vertical="center"/>
      <protection locked="0"/>
    </xf>
    <xf numFmtId="169" fontId="14" fillId="35" borderId="64" xfId="0" applyNumberFormat="1" applyFont="1" applyFill="1" applyBorder="1" applyAlignment="1" applyProtection="1">
      <alignment horizontal="center" vertical="center" wrapText="1"/>
    </xf>
    <xf numFmtId="180" fontId="0" fillId="12" borderId="216" xfId="13" applyNumberFormat="1" applyFont="1" applyFill="1" applyBorder="1" applyAlignment="1" applyProtection="1">
      <alignment horizontal="center" vertical="center"/>
      <protection locked="0"/>
    </xf>
    <xf numFmtId="180" fontId="0" fillId="12" borderId="151" xfId="13" applyNumberFormat="1" applyFont="1" applyFill="1" applyBorder="1" applyAlignment="1" applyProtection="1">
      <alignment horizontal="center" vertical="center"/>
      <protection locked="0"/>
    </xf>
    <xf numFmtId="180" fontId="0" fillId="12" borderId="243" xfId="13" applyNumberFormat="1" applyFont="1" applyFill="1" applyBorder="1" applyAlignment="1" applyProtection="1">
      <alignment horizontal="center" vertical="center"/>
      <protection locked="0"/>
    </xf>
    <xf numFmtId="180" fontId="0" fillId="12" borderId="104" xfId="13" applyNumberFormat="1" applyFont="1" applyFill="1" applyBorder="1" applyAlignment="1" applyProtection="1">
      <alignment horizontal="center" vertical="center"/>
      <protection locked="0"/>
    </xf>
    <xf numFmtId="180" fontId="14" fillId="29" borderId="135" xfId="0" applyNumberFormat="1" applyFont="1" applyFill="1" applyBorder="1" applyAlignment="1" applyProtection="1">
      <alignment vertical="center"/>
    </xf>
    <xf numFmtId="180" fontId="14" fillId="29" borderId="117" xfId="0" applyNumberFormat="1" applyFont="1" applyFill="1" applyBorder="1" applyAlignment="1" applyProtection="1">
      <alignment vertical="center"/>
    </xf>
    <xf numFmtId="180" fontId="14" fillId="29" borderId="232" xfId="0" applyNumberFormat="1" applyFont="1" applyFill="1" applyBorder="1" applyAlignment="1" applyProtection="1">
      <alignment vertical="center"/>
    </xf>
    <xf numFmtId="179" fontId="0" fillId="46" borderId="242" xfId="13" applyNumberFormat="1" applyFont="1" applyFill="1" applyBorder="1" applyAlignment="1" applyProtection="1">
      <alignment vertical="center"/>
    </xf>
    <xf numFmtId="179" fontId="0" fillId="46" borderId="234" xfId="13" applyNumberFormat="1" applyFont="1" applyFill="1" applyBorder="1" applyAlignment="1" applyProtection="1">
      <alignment vertical="center"/>
    </xf>
    <xf numFmtId="179" fontId="0" fillId="29" borderId="234" xfId="13" applyNumberFormat="1" applyFont="1" applyFill="1" applyBorder="1" applyAlignment="1" applyProtection="1">
      <alignment vertical="center"/>
    </xf>
    <xf numFmtId="179" fontId="0" fillId="29" borderId="235" xfId="13" applyNumberFormat="1" applyFont="1" applyFill="1" applyBorder="1" applyAlignment="1" applyProtection="1">
      <alignment vertical="center"/>
    </xf>
    <xf numFmtId="171" fontId="0" fillId="46" borderId="215" xfId="13" applyNumberFormat="1" applyFont="1" applyFill="1" applyBorder="1" applyAlignment="1" applyProtection="1">
      <alignment horizontal="center" vertical="center"/>
    </xf>
    <xf numFmtId="179" fontId="0" fillId="29" borderId="215" xfId="13" applyNumberFormat="1" applyFont="1" applyFill="1" applyBorder="1" applyAlignment="1" applyProtection="1">
      <alignment vertical="center"/>
    </xf>
    <xf numFmtId="179" fontId="0" fillId="29" borderId="107" xfId="13" applyNumberFormat="1" applyFont="1" applyFill="1" applyBorder="1" applyAlignment="1" applyProtection="1">
      <alignment vertical="center"/>
    </xf>
    <xf numFmtId="169" fontId="14" fillId="35" borderId="216" xfId="0" applyNumberFormat="1" applyFont="1" applyFill="1" applyBorder="1" applyAlignment="1" applyProtection="1">
      <alignment horizontal="center" vertical="center" wrapText="1"/>
    </xf>
    <xf numFmtId="179" fontId="0" fillId="46" borderId="225" xfId="13" applyNumberFormat="1" applyFont="1" applyFill="1" applyBorder="1" applyAlignment="1" applyProtection="1">
      <alignment vertical="center"/>
    </xf>
    <xf numFmtId="179" fontId="0" fillId="46" borderId="243" xfId="13" applyNumberFormat="1" applyFont="1" applyFill="1" applyBorder="1" applyAlignment="1" applyProtection="1">
      <alignment vertical="center"/>
    </xf>
    <xf numFmtId="169" fontId="14" fillId="35" borderId="214" xfId="0" applyNumberFormat="1" applyFont="1" applyFill="1" applyBorder="1" applyAlignment="1" applyProtection="1">
      <alignment horizontal="center" vertical="center" wrapText="1"/>
    </xf>
    <xf numFmtId="179" fontId="0" fillId="29" borderId="244" xfId="13" applyNumberFormat="1" applyFont="1" applyFill="1" applyBorder="1" applyAlignment="1" applyProtection="1">
      <alignment vertical="center"/>
    </xf>
    <xf numFmtId="179" fontId="0" fillId="29" borderId="233" xfId="13" applyNumberFormat="1" applyFont="1" applyFill="1" applyBorder="1" applyAlignment="1" applyProtection="1">
      <alignment vertical="center"/>
    </xf>
    <xf numFmtId="179" fontId="0" fillId="29" borderId="214" xfId="13" applyNumberFormat="1" applyFont="1" applyFill="1" applyBorder="1" applyAlignment="1" applyProtection="1">
      <alignment vertical="center"/>
    </xf>
    <xf numFmtId="179" fontId="0" fillId="29" borderId="124" xfId="13" applyNumberFormat="1" applyFont="1" applyFill="1" applyBorder="1" applyAlignment="1" applyProtection="1">
      <alignment vertical="center"/>
    </xf>
    <xf numFmtId="169" fontId="14" fillId="15" borderId="224" xfId="0" applyNumberFormat="1" applyFont="1" applyFill="1" applyBorder="1" applyAlignment="1" applyProtection="1">
      <alignment horizontal="center" vertical="center" wrapText="1"/>
    </xf>
    <xf numFmtId="171" fontId="0" fillId="12" borderId="218" xfId="13" applyNumberFormat="1" applyFont="1" applyFill="1" applyBorder="1" applyAlignment="1" applyProtection="1">
      <alignment horizontal="center" vertical="center"/>
      <protection locked="0"/>
    </xf>
    <xf numFmtId="171" fontId="0" fillId="46" borderId="200" xfId="13" applyNumberFormat="1" applyFont="1" applyFill="1" applyBorder="1" applyAlignment="1" applyProtection="1">
      <alignment horizontal="center" vertical="center"/>
    </xf>
    <xf numFmtId="171" fontId="0" fillId="46" borderId="112" xfId="13" applyNumberFormat="1" applyFont="1" applyFill="1" applyBorder="1" applyAlignment="1" applyProtection="1">
      <alignment horizontal="center" vertical="center"/>
    </xf>
    <xf numFmtId="179" fontId="15" fillId="46" borderId="113" xfId="13" applyNumberFormat="1" applyFont="1" applyFill="1" applyBorder="1" applyAlignment="1" applyProtection="1">
      <alignment vertical="center"/>
    </xf>
    <xf numFmtId="179" fontId="15" fillId="46" borderId="111" xfId="13" applyNumberFormat="1" applyFont="1" applyFill="1" applyBorder="1" applyAlignment="1" applyProtection="1">
      <alignment vertical="center"/>
    </xf>
    <xf numFmtId="179" fontId="15" fillId="46" borderId="104" xfId="13" applyNumberFormat="1" applyFont="1" applyFill="1" applyBorder="1" applyAlignment="1" applyProtection="1">
      <alignment vertical="center"/>
    </xf>
    <xf numFmtId="169" fontId="14" fillId="40" borderId="184" xfId="0" applyNumberFormat="1" applyFont="1" applyFill="1" applyBorder="1" applyAlignment="1" applyProtection="1">
      <alignment vertical="center"/>
    </xf>
    <xf numFmtId="169" fontId="14" fillId="40" borderId="242" xfId="13" applyNumberFormat="1" applyFont="1" applyFill="1" applyBorder="1" applyAlignment="1" applyProtection="1">
      <alignment vertical="center"/>
    </xf>
    <xf numFmtId="169" fontId="14" fillId="40" borderId="234" xfId="13" applyNumberFormat="1" applyFont="1" applyFill="1" applyBorder="1" applyAlignment="1" applyProtection="1">
      <alignment vertical="center"/>
    </xf>
    <xf numFmtId="169" fontId="14" fillId="40" borderId="235" xfId="13" applyNumberFormat="1" applyFont="1" applyFill="1" applyBorder="1" applyAlignment="1" applyProtection="1">
      <alignment vertical="center"/>
    </xf>
    <xf numFmtId="169" fontId="14" fillId="40" borderId="233" xfId="13" applyNumberFormat="1" applyFont="1" applyFill="1" applyBorder="1" applyAlignment="1" applyProtection="1">
      <alignment horizontal="right" vertical="center"/>
    </xf>
    <xf numFmtId="169" fontId="14" fillId="40" borderId="234" xfId="13" applyNumberFormat="1" applyFont="1" applyFill="1" applyBorder="1" applyAlignment="1" applyProtection="1">
      <alignment horizontal="right" vertical="center"/>
    </xf>
    <xf numFmtId="169" fontId="14" fillId="40" borderId="243" xfId="13" applyNumberFormat="1" applyFont="1" applyFill="1" applyBorder="1" applyAlignment="1" applyProtection="1">
      <alignment vertical="center"/>
    </xf>
    <xf numFmtId="169" fontId="14" fillId="40" borderId="232" xfId="13" applyNumberFormat="1" applyFont="1" applyFill="1" applyBorder="1" applyAlignment="1" applyProtection="1">
      <alignment horizontal="right" vertical="center"/>
    </xf>
    <xf numFmtId="0" fontId="14" fillId="21" borderId="198" xfId="0" applyFont="1" applyFill="1" applyBorder="1" applyAlignment="1" applyProtection="1">
      <alignment horizontal="left" vertical="center"/>
    </xf>
    <xf numFmtId="0" fontId="12" fillId="23" borderId="198" xfId="0" applyFont="1" applyFill="1" applyBorder="1" applyAlignment="1" applyProtection="1">
      <alignment horizontal="left" vertical="center"/>
    </xf>
    <xf numFmtId="0" fontId="12" fillId="20" borderId="147" xfId="0" applyFont="1" applyFill="1" applyBorder="1" applyAlignment="1" applyProtection="1">
      <alignment horizontal="left" vertical="center"/>
    </xf>
    <xf numFmtId="182" fontId="14" fillId="19" borderId="159" xfId="13" applyNumberFormat="1" applyFont="1" applyFill="1" applyBorder="1" applyAlignment="1" applyProtection="1">
      <alignment horizontal="center"/>
    </xf>
    <xf numFmtId="176" fontId="20" fillId="0" borderId="154" xfId="0" applyNumberFormat="1" applyFont="1" applyBorder="1" applyAlignment="1" applyProtection="1">
      <alignment horizontal="left" wrapText="1"/>
    </xf>
    <xf numFmtId="176" fontId="20" fillId="0" borderId="154" xfId="0" applyNumberFormat="1" applyFont="1" applyBorder="1" applyAlignment="1" applyProtection="1">
      <alignment horizontal="left"/>
    </xf>
    <xf numFmtId="177" fontId="20" fillId="29" borderId="108" xfId="12" applyNumberFormat="1" applyFont="1" applyFill="1" applyBorder="1" applyAlignment="1" applyProtection="1">
      <alignment vertical="center"/>
    </xf>
    <xf numFmtId="0" fontId="12" fillId="23" borderId="154" xfId="0" applyFont="1" applyFill="1" applyBorder="1" applyAlignment="1" applyProtection="1">
      <alignment horizontal="left" vertical="center"/>
    </xf>
    <xf numFmtId="169" fontId="12" fillId="41" borderId="198" xfId="13" applyNumberFormat="1" applyFont="1" applyFill="1" applyBorder="1" applyAlignment="1" applyProtection="1">
      <alignment vertical="center"/>
    </xf>
    <xf numFmtId="0" fontId="12" fillId="20" borderId="154" xfId="0" applyFont="1" applyFill="1" applyBorder="1" applyAlignment="1" applyProtection="1">
      <alignment horizontal="left" vertical="center"/>
    </xf>
    <xf numFmtId="182" fontId="14" fillId="19" borderId="198" xfId="13" applyNumberFormat="1" applyFont="1" applyFill="1" applyBorder="1" applyAlignment="1" applyProtection="1">
      <alignment horizontal="center"/>
    </xf>
    <xf numFmtId="0" fontId="12" fillId="20" borderId="198" xfId="0" applyFont="1" applyFill="1" applyBorder="1" applyAlignment="1" applyProtection="1">
      <alignment horizontal="left" vertical="center"/>
    </xf>
    <xf numFmtId="182" fontId="15" fillId="28" borderId="198" xfId="13" applyNumberFormat="1" applyFill="1" applyBorder="1" applyProtection="1"/>
    <xf numFmtId="0" fontId="14" fillId="17" borderId="198" xfId="0" applyFont="1" applyFill="1" applyBorder="1" applyAlignment="1" applyProtection="1">
      <alignment horizontal="center" vertical="center" wrapText="1"/>
    </xf>
    <xf numFmtId="175" fontId="14" fillId="17" borderId="198" xfId="12" applyNumberFormat="1" applyFont="1" applyFill="1" applyBorder="1" applyAlignment="1" applyProtection="1">
      <alignment horizontal="center" vertical="center" wrapText="1"/>
    </xf>
    <xf numFmtId="169" fontId="12" fillId="23" borderId="198" xfId="13" applyNumberFormat="1" applyFont="1" applyFill="1" applyBorder="1" applyAlignment="1" applyProtection="1">
      <alignment horizontal="center" vertical="center"/>
    </xf>
    <xf numFmtId="169" fontId="12" fillId="24" borderId="198" xfId="13" applyNumberFormat="1" applyFont="1" applyFill="1" applyBorder="1" applyAlignment="1" applyProtection="1">
      <alignment vertical="center"/>
    </xf>
    <xf numFmtId="169" fontId="14" fillId="41" borderId="198" xfId="13" applyNumberFormat="1" applyFont="1" applyFill="1" applyBorder="1" applyAlignment="1" applyProtection="1">
      <alignment vertical="center"/>
    </xf>
    <xf numFmtId="169" fontId="12" fillId="23" borderId="171" xfId="13" applyNumberFormat="1" applyFont="1" applyFill="1" applyBorder="1" applyAlignment="1" applyProtection="1">
      <alignment horizontal="center" vertical="center"/>
    </xf>
    <xf numFmtId="169" fontId="12" fillId="20" borderId="198" xfId="13" applyNumberFormat="1" applyFont="1" applyFill="1" applyBorder="1" applyAlignment="1" applyProtection="1">
      <alignment horizontal="center" vertical="center"/>
    </xf>
    <xf numFmtId="169" fontId="12" fillId="22" borderId="198" xfId="13" applyNumberFormat="1" applyFont="1" applyFill="1" applyBorder="1" applyAlignment="1" applyProtection="1">
      <alignment vertical="center"/>
    </xf>
    <xf numFmtId="169" fontId="14" fillId="42" borderId="198" xfId="13" applyNumberFormat="1" applyFont="1" applyFill="1" applyBorder="1" applyAlignment="1" applyProtection="1">
      <alignment vertical="center"/>
    </xf>
    <xf numFmtId="1" fontId="0" fillId="0" borderId="145" xfId="0" applyNumberFormat="1" applyBorder="1" applyAlignment="1" applyProtection="1">
      <alignment horizontal="center" vertical="center" wrapText="1"/>
    </xf>
    <xf numFmtId="169" fontId="0" fillId="46" borderId="198" xfId="13" applyNumberFormat="1" applyFont="1" applyFill="1" applyBorder="1" applyAlignment="1" applyProtection="1">
      <alignment vertical="center"/>
    </xf>
    <xf numFmtId="169" fontId="20" fillId="1" borderId="198" xfId="13" applyNumberFormat="1" applyFont="1" applyFill="1" applyBorder="1" applyAlignment="1" applyProtection="1">
      <alignment vertical="center"/>
    </xf>
    <xf numFmtId="177" fontId="20" fillId="1" borderId="198" xfId="12" applyNumberFormat="1" applyFont="1" applyFill="1" applyBorder="1" applyAlignment="1" applyProtection="1">
      <alignment vertical="center"/>
    </xf>
    <xf numFmtId="169" fontId="20" fillId="29" borderId="198" xfId="13" applyNumberFormat="1" applyFont="1" applyFill="1" applyBorder="1" applyAlignment="1" applyProtection="1">
      <alignment vertical="center"/>
    </xf>
    <xf numFmtId="169" fontId="12" fillId="28" borderId="171" xfId="13" applyNumberFormat="1" applyFont="1" applyFill="1" applyBorder="1" applyAlignment="1" applyProtection="1">
      <alignment vertical="center"/>
    </xf>
    <xf numFmtId="1" fontId="0" fillId="0" borderId="148" xfId="0" applyNumberFormat="1" applyBorder="1" applyProtection="1"/>
    <xf numFmtId="176" fontId="31" fillId="0" borderId="154" xfId="0" applyNumberFormat="1" applyFont="1" applyBorder="1" applyAlignment="1" applyProtection="1">
      <alignment horizontal="left"/>
    </xf>
    <xf numFmtId="169" fontId="0" fillId="29" borderId="198" xfId="13" applyNumberFormat="1" applyFont="1" applyFill="1" applyBorder="1" applyAlignment="1" applyProtection="1">
      <alignment vertical="center"/>
    </xf>
    <xf numFmtId="177" fontId="20" fillId="29" borderId="198" xfId="12" applyNumberFormat="1" applyFont="1" applyFill="1" applyBorder="1" applyAlignment="1" applyProtection="1">
      <alignment vertical="center"/>
    </xf>
    <xf numFmtId="169" fontId="12" fillId="20" borderId="198" xfId="13" applyNumberFormat="1" applyFont="1" applyFill="1" applyBorder="1" applyAlignment="1" applyProtection="1">
      <alignment vertical="center"/>
    </xf>
    <xf numFmtId="169" fontId="12" fillId="20" borderId="171" xfId="13" applyNumberFormat="1" applyFont="1" applyFill="1" applyBorder="1" applyAlignment="1" applyProtection="1">
      <alignment vertical="center"/>
    </xf>
    <xf numFmtId="1" fontId="0" fillId="44" borderId="145" xfId="0" applyNumberFormat="1" applyFill="1" applyBorder="1" applyAlignment="1" applyProtection="1">
      <alignment horizontal="center" vertical="center" wrapText="1"/>
    </xf>
    <xf numFmtId="1" fontId="0" fillId="0" borderId="65" xfId="0" applyNumberFormat="1" applyBorder="1" applyAlignment="1" applyProtection="1">
      <alignment horizontal="center" vertical="center" wrapText="1"/>
    </xf>
    <xf numFmtId="176" fontId="20" fillId="0" borderId="184" xfId="0" applyNumberFormat="1" applyFont="1" applyBorder="1" applyAlignment="1" applyProtection="1">
      <alignment horizontal="left"/>
    </xf>
    <xf numFmtId="169" fontId="12" fillId="28" borderId="185" xfId="13" applyNumberFormat="1" applyFont="1" applyFill="1" applyBorder="1" applyAlignment="1" applyProtection="1">
      <alignment vertical="center"/>
    </xf>
    <xf numFmtId="0" fontId="14" fillId="32" borderId="220" xfId="0" applyFont="1" applyFill="1" applyBorder="1" applyAlignment="1" applyProtection="1">
      <alignment vertical="center"/>
    </xf>
    <xf numFmtId="168" fontId="14" fillId="32" borderId="71" xfId="13" applyNumberFormat="1" applyFont="1" applyFill="1" applyBorder="1" applyAlignment="1" applyProtection="1">
      <alignment vertical="center"/>
    </xf>
    <xf numFmtId="168" fontId="14" fillId="33" borderId="71" xfId="13" applyNumberFormat="1" applyFont="1" applyFill="1" applyBorder="1" applyAlignment="1" applyProtection="1">
      <alignment vertical="center"/>
    </xf>
    <xf numFmtId="0" fontId="11" fillId="47" borderId="104" xfId="0" applyFont="1" applyFill="1" applyBorder="1" applyAlignment="1" applyProtection="1">
      <alignment horizontal="center" vertical="center"/>
    </xf>
    <xf numFmtId="178" fontId="0" fillId="0" borderId="216" xfId="0" applyNumberFormat="1" applyFont="1" applyFill="1" applyBorder="1" applyAlignment="1" applyProtection="1">
      <alignment horizontal="right" vertical="center"/>
    </xf>
    <xf numFmtId="178" fontId="0" fillId="0" borderId="225" xfId="0" applyNumberFormat="1" applyFont="1" applyFill="1" applyBorder="1" applyAlignment="1" applyProtection="1">
      <alignment horizontal="right" vertical="center"/>
    </xf>
    <xf numFmtId="178" fontId="0" fillId="0" borderId="243" xfId="0" applyNumberFormat="1" applyFont="1" applyFill="1" applyBorder="1" applyAlignment="1" applyProtection="1">
      <alignment horizontal="right" vertical="center"/>
    </xf>
    <xf numFmtId="9" fontId="0" fillId="26" borderId="135" xfId="0" applyNumberFormat="1" applyFont="1" applyFill="1" applyBorder="1" applyAlignment="1" applyProtection="1">
      <alignment horizontal="center" vertical="center"/>
    </xf>
    <xf numFmtId="9" fontId="0" fillId="26" borderId="136" xfId="0" applyNumberFormat="1" applyFont="1" applyFill="1" applyBorder="1" applyAlignment="1" applyProtection="1">
      <alignment horizontal="center" vertical="center"/>
    </xf>
    <xf numFmtId="9" fontId="0" fillId="26" borderId="137" xfId="0" applyNumberFormat="1" applyFont="1" applyFill="1" applyBorder="1" applyAlignment="1" applyProtection="1">
      <alignment horizontal="center" vertical="center"/>
    </xf>
    <xf numFmtId="0" fontId="0" fillId="12" borderId="215" xfId="0" applyFill="1" applyBorder="1" applyAlignment="1" applyProtection="1">
      <alignment horizontal="left" vertical="center"/>
      <protection locked="0"/>
    </xf>
    <xf numFmtId="179" fontId="0" fillId="12" borderId="244" xfId="13" applyNumberFormat="1" applyFont="1" applyFill="1" applyBorder="1" applyAlignment="1" applyProtection="1">
      <alignment vertical="center"/>
      <protection locked="0"/>
    </xf>
    <xf numFmtId="0" fontId="0" fillId="12" borderId="244" xfId="0" applyFont="1" applyFill="1" applyBorder="1" applyAlignment="1" applyProtection="1">
      <alignment horizontal="left" vertical="center"/>
      <protection locked="0"/>
    </xf>
    <xf numFmtId="0" fontId="14" fillId="16" borderId="235" xfId="0" applyFont="1" applyFill="1" applyBorder="1" applyAlignment="1" applyProtection="1">
      <alignment horizontal="center" vertical="center" wrapText="1"/>
    </xf>
    <xf numFmtId="169" fontId="0" fillId="12" borderId="245" xfId="13" applyNumberFormat="1" applyFont="1" applyFill="1" applyBorder="1" applyAlignment="1" applyProtection="1">
      <alignment vertical="center"/>
      <protection locked="0"/>
    </xf>
    <xf numFmtId="0" fontId="0" fillId="12" borderId="111" xfId="0" applyFill="1" applyBorder="1" applyAlignment="1" applyProtection="1">
      <alignment horizontal="left" vertical="center"/>
      <protection locked="0"/>
    </xf>
    <xf numFmtId="179" fontId="0" fillId="12" borderId="225" xfId="13" applyNumberFormat="1" applyFont="1" applyFill="1" applyBorder="1" applyAlignment="1" applyProtection="1">
      <alignment vertical="center"/>
      <protection locked="0"/>
    </xf>
    <xf numFmtId="179" fontId="0" fillId="12" borderId="104" xfId="13" applyNumberFormat="1" applyFont="1" applyFill="1" applyBorder="1" applyAlignment="1" applyProtection="1">
      <alignment vertical="center"/>
      <protection locked="0"/>
    </xf>
    <xf numFmtId="178" fontId="0" fillId="29" borderId="135" xfId="0" applyNumberFormat="1" applyFont="1" applyFill="1" applyBorder="1" applyAlignment="1" applyProtection="1">
      <alignment vertical="center"/>
    </xf>
    <xf numFmtId="178" fontId="0" fillId="29" borderId="136" xfId="0" applyNumberFormat="1" applyFont="1" applyFill="1" applyBorder="1" applyAlignment="1" applyProtection="1">
      <alignment vertical="center"/>
    </xf>
    <xf numFmtId="178" fontId="0" fillId="29" borderId="137" xfId="0" applyNumberFormat="1" applyFont="1" applyFill="1" applyBorder="1" applyAlignment="1" applyProtection="1">
      <alignment vertical="center"/>
    </xf>
    <xf numFmtId="0" fontId="0" fillId="12" borderId="244" xfId="0" applyFill="1" applyBorder="1" applyAlignment="1" applyProtection="1">
      <alignment horizontal="left" vertical="center"/>
      <protection locked="0"/>
    </xf>
    <xf numFmtId="169" fontId="0" fillId="29" borderId="218" xfId="13" applyNumberFormat="1" applyFont="1" applyFill="1" applyBorder="1" applyAlignment="1" applyProtection="1">
      <alignment vertical="center"/>
    </xf>
    <xf numFmtId="169" fontId="0" fillId="29" borderId="215" xfId="13" applyNumberFormat="1" applyFont="1" applyFill="1" applyBorder="1" applyAlignment="1" applyProtection="1">
      <alignment vertical="center"/>
    </xf>
    <xf numFmtId="169" fontId="0" fillId="29" borderId="245" xfId="13" applyNumberFormat="1" applyFont="1" applyFill="1" applyBorder="1" applyAlignment="1" applyProtection="1">
      <alignment vertical="center"/>
    </xf>
    <xf numFmtId="169" fontId="0" fillId="29" borderId="199" xfId="13" applyNumberFormat="1" applyFont="1" applyFill="1" applyBorder="1" applyAlignment="1" applyProtection="1">
      <alignment vertical="center"/>
    </xf>
    <xf numFmtId="169" fontId="0" fillId="29" borderId="200" xfId="13" applyNumberFormat="1" applyFont="1" applyFill="1" applyBorder="1" applyAlignment="1" applyProtection="1">
      <alignment vertical="center"/>
    </xf>
    <xf numFmtId="169" fontId="0" fillId="29" borderId="242" xfId="13" applyNumberFormat="1" applyFont="1" applyFill="1" applyBorder="1" applyAlignment="1" applyProtection="1">
      <alignment vertical="center"/>
    </xf>
    <xf numFmtId="169" fontId="0" fillId="29" borderId="234" xfId="13" applyNumberFormat="1" applyFont="1" applyFill="1" applyBorder="1" applyAlignment="1" applyProtection="1">
      <alignment vertical="center"/>
    </xf>
    <xf numFmtId="169" fontId="0" fillId="29" borderId="235" xfId="13" applyNumberFormat="1" applyFont="1" applyFill="1" applyBorder="1" applyAlignment="1" applyProtection="1">
      <alignment vertical="center"/>
    </xf>
    <xf numFmtId="169" fontId="0" fillId="29" borderId="216" xfId="13" applyNumberFormat="1" applyFont="1" applyFill="1" applyBorder="1" applyAlignment="1">
      <alignment vertical="center"/>
    </xf>
    <xf numFmtId="169" fontId="0" fillId="52" borderId="225" xfId="13" applyNumberFormat="1" applyFont="1" applyFill="1" applyBorder="1" applyAlignment="1">
      <alignment vertical="center"/>
    </xf>
    <xf numFmtId="169" fontId="0" fillId="29" borderId="104" xfId="13" applyNumberFormat="1" applyFont="1" applyFill="1" applyBorder="1" applyAlignment="1" applyProtection="1">
      <alignment vertical="center"/>
    </xf>
    <xf numFmtId="169" fontId="0" fillId="37" borderId="242" xfId="13" applyNumberFormat="1" applyFont="1" applyFill="1" applyBorder="1" applyAlignment="1" applyProtection="1">
      <alignment vertical="center"/>
    </xf>
    <xf numFmtId="169" fontId="0" fillId="37" borderId="234" xfId="13" applyNumberFormat="1" applyFont="1" applyFill="1" applyBorder="1" applyAlignment="1" applyProtection="1">
      <alignment vertical="center"/>
    </xf>
    <xf numFmtId="169" fontId="0" fillId="37" borderId="243" xfId="13" applyNumberFormat="1" applyFont="1" applyFill="1" applyBorder="1" applyAlignment="1" applyProtection="1">
      <alignment vertical="center"/>
    </xf>
    <xf numFmtId="169" fontId="0" fillId="37" borderId="218" xfId="13" applyNumberFormat="1" applyFont="1" applyFill="1" applyBorder="1" applyAlignment="1" applyProtection="1">
      <alignment vertical="center"/>
    </xf>
    <xf numFmtId="169" fontId="0" fillId="37" borderId="215" xfId="13" applyNumberFormat="1" applyFont="1" applyFill="1" applyBorder="1" applyAlignment="1" applyProtection="1">
      <alignment vertical="center"/>
    </xf>
    <xf numFmtId="169" fontId="0" fillId="37" borderId="216" xfId="13" applyNumberFormat="1" applyFont="1" applyFill="1" applyBorder="1" applyAlignment="1" applyProtection="1">
      <alignment vertical="center"/>
    </xf>
    <xf numFmtId="169" fontId="0" fillId="51" borderId="225" xfId="13" applyNumberFormat="1" applyFont="1" applyFill="1" applyBorder="1" applyAlignment="1">
      <alignment vertical="center"/>
    </xf>
    <xf numFmtId="169" fontId="0" fillId="0" borderId="242" xfId="13" applyNumberFormat="1" applyFont="1" applyFill="1" applyBorder="1" applyAlignment="1" applyProtection="1">
      <alignment vertical="center"/>
    </xf>
    <xf numFmtId="169" fontId="0" fillId="0" borderId="234" xfId="13" applyNumberFormat="1" applyFont="1" applyFill="1" applyBorder="1" applyAlignment="1" applyProtection="1">
      <alignment vertical="center"/>
    </xf>
    <xf numFmtId="169" fontId="0" fillId="0" borderId="243" xfId="13" applyNumberFormat="1" applyFont="1" applyFill="1" applyBorder="1" applyAlignment="1" applyProtection="1">
      <alignment vertical="center"/>
    </xf>
    <xf numFmtId="171" fontId="0" fillId="0" borderId="242" xfId="0" applyNumberFormat="1" applyFont="1" applyFill="1" applyBorder="1" applyAlignment="1" applyProtection="1">
      <alignment horizontal="center" vertical="center"/>
    </xf>
    <xf numFmtId="171" fontId="0" fillId="0" borderId="234" xfId="0" applyNumberFormat="1" applyFont="1" applyFill="1" applyBorder="1" applyAlignment="1" applyProtection="1">
      <alignment horizontal="center" vertical="center"/>
    </xf>
    <xf numFmtId="171" fontId="0" fillId="0" borderId="235" xfId="0" applyNumberFormat="1" applyFont="1" applyFill="1" applyBorder="1" applyAlignment="1" applyProtection="1">
      <alignment horizontal="center" vertical="center"/>
    </xf>
    <xf numFmtId="171" fontId="0" fillId="0" borderId="245" xfId="0" applyNumberFormat="1" applyFont="1" applyFill="1" applyBorder="1" applyAlignment="1" applyProtection="1">
      <alignment horizontal="center" vertical="center"/>
    </xf>
    <xf numFmtId="171" fontId="0" fillId="46" borderId="245" xfId="13" applyNumberFormat="1" applyFont="1" applyFill="1" applyBorder="1" applyAlignment="1" applyProtection="1">
      <alignment horizontal="center" vertical="center"/>
    </xf>
    <xf numFmtId="179" fontId="0" fillId="12" borderId="199" xfId="13" applyNumberFormat="1" applyFont="1" applyFill="1" applyBorder="1" applyAlignment="1" applyProtection="1">
      <alignment vertical="center"/>
      <protection locked="0"/>
    </xf>
    <xf numFmtId="0" fontId="0" fillId="12" borderId="224" xfId="0" applyFont="1" applyFill="1" applyBorder="1" applyProtection="1">
      <protection locked="0"/>
    </xf>
    <xf numFmtId="0" fontId="0" fillId="12" borderId="38" xfId="0" applyFont="1" applyFill="1" applyBorder="1" applyProtection="1">
      <protection locked="0"/>
    </xf>
    <xf numFmtId="0" fontId="0" fillId="12" borderId="233" xfId="0" applyFont="1" applyFill="1" applyBorder="1" applyAlignment="1" applyProtection="1">
      <alignment horizontal="left" vertical="center"/>
      <protection locked="0"/>
    </xf>
    <xf numFmtId="9" fontId="0" fillId="12" borderId="218" xfId="0" applyNumberFormat="1" applyFont="1" applyFill="1" applyBorder="1" applyAlignment="1" applyProtection="1">
      <alignment horizontal="center" vertical="center"/>
      <protection locked="0"/>
    </xf>
    <xf numFmtId="9" fontId="0" fillId="12" borderId="199" xfId="0" applyNumberFormat="1" applyFont="1" applyFill="1" applyBorder="1" applyAlignment="1" applyProtection="1">
      <alignment horizontal="center" vertical="center"/>
      <protection locked="0"/>
    </xf>
    <xf numFmtId="170" fontId="0" fillId="12" borderId="214" xfId="16" applyFont="1" applyFill="1" applyBorder="1" applyAlignment="1" applyProtection="1">
      <alignment horizontal="center" vertical="center"/>
      <protection locked="0"/>
    </xf>
    <xf numFmtId="170" fontId="0" fillId="12" borderId="244" xfId="16" applyFont="1" applyFill="1" applyBorder="1" applyAlignment="1" applyProtection="1">
      <alignment horizontal="center" vertical="center"/>
      <protection locked="0"/>
    </xf>
    <xf numFmtId="0" fontId="21" fillId="0" borderId="0" xfId="0" applyFont="1" applyAlignment="1" applyProtection="1">
      <alignment horizontal="left"/>
      <protection locked="0"/>
    </xf>
    <xf numFmtId="0" fontId="14" fillId="0" borderId="0" xfId="0" applyFont="1" applyAlignment="1" applyProtection="1">
      <alignment horizontal="left"/>
      <protection locked="0"/>
    </xf>
    <xf numFmtId="0" fontId="36" fillId="0" borderId="0" xfId="0" applyFont="1" applyProtection="1">
      <protection locked="0"/>
    </xf>
    <xf numFmtId="0" fontId="35" fillId="0" borderId="0" xfId="0" applyFont="1" applyProtection="1">
      <protection locked="0"/>
    </xf>
    <xf numFmtId="0" fontId="0" fillId="0" borderId="0" xfId="0" applyProtection="1">
      <protection locked="0"/>
    </xf>
    <xf numFmtId="179" fontId="0" fillId="12" borderId="247" xfId="13" applyNumberFormat="1" applyFont="1" applyFill="1" applyBorder="1" applyAlignment="1" applyProtection="1">
      <alignment vertical="center"/>
      <protection locked="0"/>
    </xf>
    <xf numFmtId="179" fontId="0" fillId="12" borderId="248" xfId="13" applyNumberFormat="1" applyFont="1" applyFill="1" applyBorder="1" applyAlignment="1" applyProtection="1">
      <alignment vertical="center"/>
      <protection locked="0"/>
    </xf>
    <xf numFmtId="0" fontId="0" fillId="0" borderId="0" xfId="0" applyFill="1" applyBorder="1" applyProtection="1">
      <protection locked="0"/>
    </xf>
    <xf numFmtId="0" fontId="37" fillId="0" borderId="0" xfId="0" applyFont="1" applyProtection="1">
      <protection locked="0"/>
    </xf>
    <xf numFmtId="0" fontId="35" fillId="0" borderId="0" xfId="0" applyFont="1" applyFill="1" applyBorder="1" applyAlignment="1" applyProtection="1">
      <alignment horizontal="center"/>
      <protection locked="0"/>
    </xf>
    <xf numFmtId="0" fontId="37" fillId="0" borderId="0" xfId="0" applyFont="1" applyFill="1" applyBorder="1" applyProtection="1">
      <protection locked="0"/>
    </xf>
    <xf numFmtId="0" fontId="14" fillId="0" borderId="0" xfId="0" applyFont="1" applyFill="1" applyBorder="1" applyProtection="1">
      <protection locked="0"/>
    </xf>
    <xf numFmtId="0" fontId="37" fillId="0" borderId="0" xfId="0" applyFont="1" applyAlignment="1" applyProtection="1">
      <alignment horizontal="left"/>
      <protection locked="0"/>
    </xf>
    <xf numFmtId="179" fontId="0" fillId="12" borderId="215" xfId="13" applyNumberFormat="1" applyFont="1" applyFill="1" applyBorder="1" applyAlignment="1" applyProtection="1">
      <alignment vertical="center"/>
      <protection locked="0"/>
    </xf>
    <xf numFmtId="179" fontId="0" fillId="12" borderId="198" xfId="13" applyNumberFormat="1" applyFont="1" applyFill="1" applyBorder="1" applyAlignment="1" applyProtection="1">
      <alignment vertical="center"/>
      <protection locked="0"/>
    </xf>
    <xf numFmtId="0" fontId="37" fillId="0" borderId="0" xfId="0" applyFont="1" applyAlignment="1" applyProtection="1">
      <alignment horizontal="left" vertical="center"/>
      <protection locked="0"/>
    </xf>
    <xf numFmtId="0" fontId="0" fillId="0" borderId="0" xfId="0" applyAlignment="1" applyProtection="1">
      <protection locked="0"/>
    </xf>
    <xf numFmtId="0" fontId="0" fillId="58" borderId="19" xfId="0" applyFill="1" applyBorder="1" applyProtection="1">
      <protection locked="0"/>
    </xf>
    <xf numFmtId="0" fontId="29" fillId="58" borderId="151" xfId="0" applyFont="1" applyFill="1" applyBorder="1" applyAlignment="1" applyProtection="1">
      <alignment horizontal="left" vertical="center" wrapText="1"/>
      <protection locked="0"/>
    </xf>
    <xf numFmtId="0" fontId="0" fillId="58" borderId="0" xfId="0" applyFill="1" applyBorder="1" applyProtection="1">
      <protection locked="0"/>
    </xf>
    <xf numFmtId="0" fontId="42" fillId="58" borderId="0" xfId="0" applyFont="1" applyFill="1" applyBorder="1" applyProtection="1">
      <protection locked="0"/>
    </xf>
    <xf numFmtId="0" fontId="0" fillId="58" borderId="250" xfId="0" applyFill="1" applyBorder="1" applyProtection="1">
      <protection locked="0"/>
    </xf>
    <xf numFmtId="0" fontId="0" fillId="58" borderId="251" xfId="0" applyFill="1" applyBorder="1" applyProtection="1">
      <protection locked="0"/>
    </xf>
    <xf numFmtId="0" fontId="0" fillId="58" borderId="252" xfId="0" applyFill="1" applyBorder="1" applyProtection="1">
      <protection locked="0"/>
    </xf>
    <xf numFmtId="0" fontId="43" fillId="58" borderId="252" xfId="0" applyFont="1" applyFill="1" applyBorder="1" applyProtection="1">
      <protection locked="0"/>
    </xf>
    <xf numFmtId="0" fontId="0" fillId="58" borderId="213" xfId="0" applyFill="1" applyBorder="1" applyProtection="1">
      <protection locked="0"/>
    </xf>
    <xf numFmtId="0" fontId="0" fillId="58" borderId="151" xfId="0" applyFill="1" applyBorder="1" applyProtection="1">
      <protection locked="0"/>
    </xf>
    <xf numFmtId="0" fontId="0" fillId="58" borderId="159" xfId="0" applyFill="1" applyBorder="1" applyAlignment="1" applyProtection="1">
      <alignment horizontal="center"/>
      <protection locked="0"/>
    </xf>
    <xf numFmtId="0" fontId="0" fillId="58" borderId="149" xfId="0" applyFill="1" applyBorder="1" applyAlignment="1" applyProtection="1">
      <alignment horizontal="center"/>
      <protection locked="0"/>
    </xf>
    <xf numFmtId="0" fontId="38" fillId="0" borderId="0" xfId="0" applyFont="1" applyFill="1" applyBorder="1" applyAlignment="1" applyProtection="1">
      <alignment horizontal="left" vertical="center" wrapText="1"/>
      <protection locked="0"/>
    </xf>
    <xf numFmtId="0" fontId="0" fillId="58" borderId="213" xfId="0" applyFill="1" applyBorder="1" applyAlignment="1" applyProtection="1">
      <alignment horizontal="center"/>
      <protection locked="0"/>
    </xf>
    <xf numFmtId="0" fontId="38" fillId="0" borderId="247" xfId="0" applyFont="1" applyBorder="1" applyAlignment="1" applyProtection="1">
      <alignment horizontal="center"/>
      <protection locked="0"/>
    </xf>
    <xf numFmtId="9" fontId="39" fillId="0" borderId="247" xfId="0" applyNumberFormat="1" applyFont="1" applyFill="1" applyBorder="1" applyAlignment="1" applyProtection="1">
      <alignment horizontal="center"/>
      <protection locked="0"/>
    </xf>
    <xf numFmtId="0" fontId="38" fillId="0" borderId="247" xfId="0" applyFont="1" applyFill="1" applyBorder="1" applyAlignment="1" applyProtection="1">
      <alignment horizontal="center"/>
      <protection locked="0"/>
    </xf>
    <xf numFmtId="0" fontId="38" fillId="0" borderId="247" xfId="0" applyFont="1" applyBorder="1" applyProtection="1">
      <protection locked="0"/>
    </xf>
    <xf numFmtId="170" fontId="30" fillId="0" borderId="247" xfId="16" applyFont="1" applyBorder="1" applyProtection="1">
      <protection locked="0"/>
    </xf>
    <xf numFmtId="170" fontId="30" fillId="0" borderId="247" xfId="16" applyFont="1" applyBorder="1"/>
    <xf numFmtId="169" fontId="35" fillId="35" borderId="247" xfId="0" applyNumberFormat="1" applyFont="1" applyFill="1" applyBorder="1" applyAlignment="1" applyProtection="1">
      <alignment horizontal="center" vertical="center" wrapText="1"/>
      <protection locked="0"/>
    </xf>
    <xf numFmtId="169" fontId="14" fillId="35" borderId="247" xfId="0" applyNumberFormat="1" applyFont="1" applyFill="1" applyBorder="1" applyAlignment="1" applyProtection="1">
      <alignment horizontal="center" vertical="center" wrapText="1"/>
      <protection locked="0"/>
    </xf>
    <xf numFmtId="0" fontId="14" fillId="16" borderId="247" xfId="0" applyFont="1" applyFill="1" applyBorder="1" applyAlignment="1" applyProtection="1">
      <alignment horizontal="center" vertical="center" wrapText="1"/>
      <protection locked="0"/>
    </xf>
    <xf numFmtId="180" fontId="0" fillId="12" borderId="247" xfId="13" applyNumberFormat="1" applyFont="1" applyFill="1" applyBorder="1" applyAlignment="1" applyProtection="1">
      <alignment horizontal="center" vertical="center"/>
      <protection locked="0"/>
    </xf>
    <xf numFmtId="180" fontId="14" fillId="12" borderId="247" xfId="0" applyNumberFormat="1" applyFont="1" applyFill="1" applyBorder="1" applyProtection="1">
      <protection locked="0"/>
    </xf>
    <xf numFmtId="180" fontId="24" fillId="57" borderId="247" xfId="0" applyNumberFormat="1" applyFont="1" applyFill="1" applyBorder="1" applyProtection="1">
      <protection locked="0"/>
    </xf>
    <xf numFmtId="0" fontId="0" fillId="58" borderId="53" xfId="0" applyFill="1" applyBorder="1" applyProtection="1">
      <protection locked="0"/>
    </xf>
    <xf numFmtId="0" fontId="0" fillId="58" borderId="34" xfId="0" applyFill="1" applyBorder="1" applyProtection="1">
      <protection locked="0"/>
    </xf>
    <xf numFmtId="0" fontId="0" fillId="58" borderId="23" xfId="0" applyFill="1" applyBorder="1" applyAlignment="1" applyProtection="1">
      <alignment horizontal="center"/>
      <protection locked="0"/>
    </xf>
    <xf numFmtId="0" fontId="37" fillId="0" borderId="0" xfId="0" applyFont="1" applyAlignment="1" applyProtection="1">
      <alignment horizontal="center"/>
      <protection locked="0"/>
    </xf>
    <xf numFmtId="0" fontId="0" fillId="0" borderId="198" xfId="0" applyBorder="1" applyProtection="1">
      <protection locked="0"/>
    </xf>
    <xf numFmtId="0" fontId="0" fillId="0" borderId="0" xfId="0" applyBorder="1" applyProtection="1">
      <protection locked="0"/>
    </xf>
    <xf numFmtId="0" fontId="0" fillId="0" borderId="0" xfId="0"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Border="1" applyAlignment="1">
      <alignment vertical="top" wrapText="1"/>
    </xf>
    <xf numFmtId="0" fontId="0" fillId="0" borderId="0" xfId="0" applyFont="1" applyProtection="1">
      <protection locked="0"/>
    </xf>
    <xf numFmtId="179" fontId="30" fillId="12" borderId="198" xfId="13" applyNumberFormat="1" applyFont="1" applyFill="1" applyBorder="1" applyAlignment="1" applyProtection="1">
      <alignment vertical="center"/>
      <protection locked="0"/>
    </xf>
    <xf numFmtId="164" fontId="30" fillId="0" borderId="0" xfId="31" applyFont="1" applyAlignment="1" applyProtection="1">
      <alignment vertical="center"/>
    </xf>
    <xf numFmtId="0" fontId="14" fillId="0" borderId="0" xfId="0" applyFont="1" applyAlignment="1" applyProtection="1">
      <alignment horizontal="center" vertical="center"/>
    </xf>
    <xf numFmtId="164" fontId="29" fillId="0" borderId="0" xfId="0" applyNumberFormat="1" applyFont="1" applyAlignment="1" applyProtection="1">
      <alignment vertical="center"/>
    </xf>
    <xf numFmtId="0" fontId="30" fillId="0" borderId="0" xfId="0" applyFont="1" applyAlignment="1" applyProtection="1">
      <alignment vertical="center"/>
    </xf>
    <xf numFmtId="0" fontId="30" fillId="0" borderId="0" xfId="0" applyFont="1" applyFill="1" applyBorder="1" applyProtection="1"/>
    <xf numFmtId="178" fontId="29" fillId="11" borderId="0" xfId="0" applyNumberFormat="1" applyFont="1" applyFill="1" applyBorder="1" applyAlignment="1" applyProtection="1">
      <alignment horizontal="left" vertical="center"/>
    </xf>
    <xf numFmtId="178" fontId="0" fillId="29" borderId="227" xfId="0" applyNumberFormat="1" applyFont="1" applyFill="1" applyBorder="1" applyAlignment="1" applyProtection="1">
      <alignment vertical="center"/>
    </xf>
    <xf numFmtId="179" fontId="0" fillId="12" borderId="224" xfId="13" applyNumberFormat="1" applyFont="1" applyFill="1" applyBorder="1" applyAlignment="1" applyProtection="1">
      <alignment vertical="center"/>
      <protection locked="0"/>
    </xf>
    <xf numFmtId="0" fontId="30" fillId="0" borderId="0" xfId="0" applyFont="1" applyBorder="1" applyProtection="1"/>
    <xf numFmtId="0" fontId="30" fillId="12" borderId="244" xfId="0" applyFont="1" applyFill="1" applyBorder="1" applyAlignment="1" applyProtection="1">
      <alignment horizontal="left" vertical="center"/>
      <protection locked="0"/>
    </xf>
    <xf numFmtId="0" fontId="30" fillId="12" borderId="198" xfId="0" applyFont="1" applyFill="1" applyBorder="1" applyAlignment="1" applyProtection="1">
      <alignment horizontal="left" vertical="center"/>
      <protection locked="0"/>
    </xf>
    <xf numFmtId="179" fontId="30" fillId="12" borderId="225" xfId="13" applyNumberFormat="1" applyFont="1" applyFill="1" applyBorder="1" applyAlignment="1" applyProtection="1">
      <alignment vertical="center"/>
      <protection locked="0"/>
    </xf>
    <xf numFmtId="178" fontId="30" fillId="29" borderId="136" xfId="0" applyNumberFormat="1" applyFont="1" applyFill="1" applyBorder="1" applyAlignment="1" applyProtection="1">
      <alignment vertical="center"/>
    </xf>
    <xf numFmtId="0" fontId="30" fillId="11" borderId="0" xfId="0" applyFont="1" applyFill="1" applyProtection="1"/>
    <xf numFmtId="178" fontId="0" fillId="29" borderId="226" xfId="0" applyNumberFormat="1" applyFont="1" applyFill="1" applyBorder="1" applyAlignment="1" applyProtection="1">
      <alignment horizontal="right" vertical="center"/>
    </xf>
    <xf numFmtId="178" fontId="0" fillId="29" borderId="256" xfId="0" applyNumberFormat="1" applyFont="1" applyFill="1" applyBorder="1" applyAlignment="1" applyProtection="1">
      <alignment horizontal="right" vertical="center"/>
    </xf>
    <xf numFmtId="178" fontId="0" fillId="29" borderId="126" xfId="0" applyNumberFormat="1" applyFont="1" applyFill="1" applyBorder="1" applyAlignment="1" applyProtection="1">
      <alignment horizontal="right" vertical="center"/>
    </xf>
    <xf numFmtId="179" fontId="0" fillId="12" borderId="159" xfId="13" applyNumberFormat="1" applyFont="1" applyFill="1" applyBorder="1" applyAlignment="1" applyProtection="1">
      <alignment vertical="center"/>
      <protection locked="0"/>
    </xf>
    <xf numFmtId="179" fontId="0" fillId="12" borderId="251" xfId="13" applyNumberFormat="1" applyFont="1" applyFill="1" applyBorder="1" applyAlignment="1" applyProtection="1">
      <alignment vertical="center"/>
      <protection locked="0"/>
    </xf>
    <xf numFmtId="0" fontId="30" fillId="11" borderId="0" xfId="0" applyFont="1" applyFill="1" applyBorder="1" applyProtection="1"/>
    <xf numFmtId="0" fontId="30" fillId="11" borderId="120" xfId="0" applyFont="1" applyFill="1" applyBorder="1" applyProtection="1"/>
    <xf numFmtId="0" fontId="30" fillId="11" borderId="121" xfId="0" applyFont="1" applyFill="1" applyBorder="1" applyProtection="1"/>
    <xf numFmtId="169" fontId="0" fillId="11" borderId="0" xfId="0" applyNumberFormat="1" applyFont="1" applyFill="1" applyProtection="1"/>
    <xf numFmtId="169" fontId="30" fillId="12" borderId="71" xfId="13" applyNumberFormat="1" applyFont="1" applyFill="1" applyBorder="1" applyAlignment="1" applyProtection="1">
      <alignment vertical="center"/>
      <protection locked="0"/>
    </xf>
    <xf numFmtId="179" fontId="30" fillId="12" borderId="244" xfId="13" applyNumberFormat="1" applyFont="1" applyFill="1" applyBorder="1" applyAlignment="1" applyProtection="1">
      <alignment vertical="center"/>
      <protection locked="0"/>
    </xf>
    <xf numFmtId="0" fontId="30" fillId="12" borderId="214" xfId="0" applyFont="1" applyFill="1" applyBorder="1" applyAlignment="1" applyProtection="1">
      <alignment horizontal="left" vertical="center"/>
      <protection locked="0"/>
    </xf>
    <xf numFmtId="0" fontId="30" fillId="12" borderId="215" xfId="0" applyFont="1" applyFill="1" applyBorder="1" applyAlignment="1" applyProtection="1">
      <alignment horizontal="left" vertical="center"/>
      <protection locked="0"/>
    </xf>
    <xf numFmtId="179" fontId="30" fillId="12" borderId="214" xfId="13" applyNumberFormat="1" applyFont="1" applyFill="1" applyBorder="1" applyAlignment="1" applyProtection="1">
      <alignment vertical="center"/>
      <protection locked="0"/>
    </xf>
    <xf numFmtId="178" fontId="30" fillId="29" borderId="135" xfId="0" applyNumberFormat="1" applyFont="1" applyFill="1" applyBorder="1" applyAlignment="1" applyProtection="1">
      <alignment vertical="center"/>
    </xf>
    <xf numFmtId="179" fontId="30" fillId="12" borderId="215" xfId="13" applyNumberFormat="1" applyFont="1" applyFill="1" applyBorder="1" applyAlignment="1" applyProtection="1">
      <alignment vertical="center"/>
      <protection locked="0"/>
    </xf>
    <xf numFmtId="178" fontId="30" fillId="11" borderId="0" xfId="0" applyNumberFormat="1" applyFont="1" applyFill="1" applyBorder="1" applyAlignment="1" applyProtection="1">
      <alignment horizontal="right" vertical="center"/>
    </xf>
    <xf numFmtId="0" fontId="14" fillId="0" borderId="2" xfId="0" applyFont="1" applyBorder="1" applyAlignment="1" applyProtection="1">
      <alignment horizontal="right" vertical="center"/>
    </xf>
    <xf numFmtId="0" fontId="26" fillId="11" borderId="0" xfId="0" applyFont="1" applyFill="1" applyBorder="1" applyAlignment="1" applyProtection="1">
      <alignment horizontal="left" vertical="center" indent="2"/>
    </xf>
    <xf numFmtId="169" fontId="14" fillId="15" borderId="177" xfId="0" applyNumberFormat="1" applyFont="1" applyFill="1" applyBorder="1" applyAlignment="1" applyProtection="1">
      <alignment horizontal="center" vertical="center" wrapText="1"/>
    </xf>
    <xf numFmtId="0" fontId="14" fillId="0" borderId="0" xfId="0" applyFont="1" applyBorder="1" applyAlignment="1" applyProtection="1">
      <alignment horizontal="right" vertical="center"/>
    </xf>
    <xf numFmtId="0" fontId="14" fillId="16" borderId="17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26" fillId="0" borderId="0" xfId="0" applyFont="1" applyBorder="1" applyAlignment="1" applyProtection="1">
      <alignment horizontal="left" vertical="center" indent="2"/>
    </xf>
    <xf numFmtId="169" fontId="29" fillId="9" borderId="0" xfId="13" applyNumberFormat="1" applyFont="1" applyFill="1" applyBorder="1" applyAlignment="1" applyProtection="1">
      <alignment vertical="center"/>
    </xf>
    <xf numFmtId="0" fontId="19" fillId="25" borderId="247" xfId="0" applyFont="1" applyFill="1" applyBorder="1" applyAlignment="1" applyProtection="1">
      <alignment horizontal="center" vertical="center" wrapText="1"/>
    </xf>
    <xf numFmtId="0" fontId="14" fillId="15" borderId="247" xfId="0" applyFont="1" applyFill="1" applyBorder="1" applyAlignment="1" applyProtection="1">
      <alignment horizontal="center" vertical="center" wrapText="1"/>
    </xf>
    <xf numFmtId="169" fontId="0" fillId="19" borderId="247" xfId="13" applyNumberFormat="1" applyFont="1" applyFill="1" applyBorder="1" applyAlignment="1" applyProtection="1">
      <alignment vertical="center"/>
    </xf>
    <xf numFmtId="169" fontId="14" fillId="19" borderId="247" xfId="13" applyNumberFormat="1" applyFont="1" applyFill="1" applyBorder="1" applyAlignment="1" applyProtection="1">
      <alignment vertical="center"/>
    </xf>
    <xf numFmtId="169" fontId="14" fillId="0" borderId="247" xfId="13" applyNumberFormat="1" applyFont="1" applyFill="1" applyBorder="1" applyAlignment="1" applyProtection="1">
      <alignment vertical="center"/>
    </xf>
    <xf numFmtId="169" fontId="23" fillId="15" borderId="247" xfId="13" applyNumberFormat="1" applyFont="1" applyFill="1" applyBorder="1" applyAlignment="1" applyProtection="1">
      <alignment vertical="center"/>
    </xf>
    <xf numFmtId="169" fontId="19" fillId="36" borderId="247" xfId="0" applyNumberFormat="1" applyFont="1" applyFill="1" applyBorder="1" applyAlignment="1" applyProtection="1">
      <alignment horizontal="center" vertical="center" wrapText="1"/>
    </xf>
    <xf numFmtId="0" fontId="19" fillId="36" borderId="247" xfId="0" applyFont="1" applyFill="1" applyBorder="1" applyAlignment="1" applyProtection="1">
      <alignment horizontal="center" vertical="center" wrapText="1"/>
    </xf>
    <xf numFmtId="169" fontId="0" fillId="29" borderId="247" xfId="13" applyNumberFormat="1" applyFont="1" applyFill="1" applyBorder="1" applyAlignment="1" applyProtection="1">
      <alignment vertical="center"/>
    </xf>
    <xf numFmtId="169" fontId="14" fillId="29" borderId="247" xfId="13" applyNumberFormat="1" applyFont="1" applyFill="1" applyBorder="1" applyAlignment="1" applyProtection="1">
      <alignment vertical="center"/>
    </xf>
    <xf numFmtId="169" fontId="15" fillId="1" borderId="218" xfId="13" applyNumberFormat="1" applyFill="1" applyBorder="1" applyAlignment="1" applyProtection="1">
      <alignment vertical="center"/>
    </xf>
    <xf numFmtId="169" fontId="15" fillId="0" borderId="215" xfId="13" applyNumberFormat="1" applyBorder="1" applyAlignment="1" applyProtection="1">
      <alignment vertical="center"/>
    </xf>
    <xf numFmtId="169" fontId="15" fillId="0" borderId="216" xfId="13" applyNumberFormat="1" applyBorder="1" applyAlignment="1" applyProtection="1">
      <alignment vertical="center"/>
    </xf>
    <xf numFmtId="169" fontId="15" fillId="0" borderId="218" xfId="13" applyNumberFormat="1" applyBorder="1" applyAlignment="1" applyProtection="1">
      <alignment vertical="center"/>
    </xf>
    <xf numFmtId="169" fontId="15" fillId="0" borderId="107" xfId="13" applyNumberFormat="1" applyBorder="1" applyAlignment="1" applyProtection="1">
      <alignment vertical="center"/>
    </xf>
    <xf numFmtId="169" fontId="0" fillId="10" borderId="214" xfId="13" applyNumberFormat="1" applyFont="1" applyFill="1" applyBorder="1" applyAlignment="1" applyProtection="1">
      <alignment horizontal="right" vertical="center"/>
    </xf>
    <xf numFmtId="169" fontId="0" fillId="10" borderId="215" xfId="13" applyNumberFormat="1" applyFont="1" applyFill="1" applyBorder="1" applyAlignment="1" applyProtection="1">
      <alignment horizontal="right" vertical="center"/>
    </xf>
    <xf numFmtId="169" fontId="0" fillId="0" borderId="154" xfId="0" applyNumberFormat="1" applyBorder="1" applyAlignment="1" applyProtection="1">
      <alignment vertical="center"/>
    </xf>
    <xf numFmtId="169" fontId="15" fillId="1" borderId="199" xfId="13" applyNumberFormat="1" applyFill="1" applyBorder="1" applyAlignment="1" applyProtection="1">
      <alignment vertical="center"/>
    </xf>
    <xf numFmtId="174" fontId="0" fillId="0" borderId="198" xfId="12" applyNumberFormat="1" applyFont="1" applyBorder="1" applyAlignment="1" applyProtection="1">
      <alignment vertical="center"/>
    </xf>
    <xf numFmtId="174" fontId="0" fillId="0" borderId="205" xfId="12" applyNumberFormat="1" applyFont="1" applyBorder="1" applyAlignment="1" applyProtection="1">
      <alignment vertical="center"/>
    </xf>
    <xf numFmtId="174" fontId="0" fillId="0" borderId="199" xfId="12" applyNumberFormat="1" applyFont="1" applyBorder="1" applyAlignment="1" applyProtection="1">
      <alignment vertical="center"/>
    </xf>
    <xf numFmtId="174" fontId="0" fillId="0" borderId="200" xfId="12" applyNumberFormat="1" applyFont="1" applyBorder="1" applyAlignment="1" applyProtection="1">
      <alignment vertical="center"/>
    </xf>
    <xf numFmtId="169" fontId="0" fillId="10" borderId="198" xfId="13" applyNumberFormat="1" applyFont="1" applyFill="1" applyBorder="1" applyAlignment="1" applyProtection="1">
      <alignment horizontal="right" vertical="center"/>
    </xf>
    <xf numFmtId="169" fontId="15" fillId="1" borderId="198" xfId="13" applyNumberFormat="1" applyFill="1" applyBorder="1" applyAlignment="1" applyProtection="1">
      <alignment vertical="center"/>
    </xf>
    <xf numFmtId="169" fontId="15" fillId="1" borderId="205" xfId="13" applyNumberFormat="1" applyFill="1" applyBorder="1" applyAlignment="1" applyProtection="1">
      <alignment vertical="center"/>
    </xf>
    <xf numFmtId="169" fontId="15" fillId="1" borderId="88" xfId="13" applyNumberFormat="1" applyFill="1" applyBorder="1" applyAlignment="1" applyProtection="1">
      <alignment vertical="center"/>
    </xf>
    <xf numFmtId="169" fontId="15" fillId="1" borderId="159" xfId="13" applyNumberFormat="1" applyFill="1" applyBorder="1" applyAlignment="1" applyProtection="1">
      <alignment vertical="center"/>
    </xf>
    <xf numFmtId="169" fontId="15" fillId="1" borderId="139" xfId="13" applyNumberFormat="1" applyFill="1" applyBorder="1" applyAlignment="1" applyProtection="1">
      <alignment vertical="center"/>
    </xf>
    <xf numFmtId="174" fontId="0" fillId="1" borderId="198" xfId="12" applyNumberFormat="1" applyFont="1" applyFill="1" applyBorder="1" applyAlignment="1" applyProtection="1">
      <alignment vertical="center"/>
    </xf>
    <xf numFmtId="174" fontId="0" fillId="1" borderId="205" xfId="12" applyNumberFormat="1" applyFont="1" applyFill="1" applyBorder="1" applyAlignment="1" applyProtection="1">
      <alignment vertical="center"/>
    </xf>
    <xf numFmtId="174" fontId="0" fillId="1" borderId="199" xfId="12" applyNumberFormat="1" applyFont="1" applyFill="1" applyBorder="1" applyAlignment="1" applyProtection="1">
      <alignment vertical="center"/>
    </xf>
    <xf numFmtId="174" fontId="0" fillId="1" borderId="200" xfId="12" applyNumberFormat="1" applyFont="1" applyFill="1" applyBorder="1" applyAlignment="1" applyProtection="1">
      <alignment vertical="center"/>
    </xf>
    <xf numFmtId="0" fontId="0" fillId="46" borderId="216" xfId="0" applyFill="1" applyBorder="1" applyAlignment="1" applyProtection="1">
      <alignment horizontal="left" vertical="center"/>
    </xf>
    <xf numFmtId="179" fontId="0" fillId="29" borderId="218" xfId="13" applyNumberFormat="1" applyFont="1" applyFill="1" applyBorder="1" applyAlignment="1" applyProtection="1">
      <alignment vertical="center"/>
    </xf>
    <xf numFmtId="179" fontId="0" fillId="29" borderId="216" xfId="13" applyNumberFormat="1" applyFont="1" applyFill="1" applyBorder="1" applyAlignment="1" applyProtection="1">
      <alignment vertical="center"/>
    </xf>
    <xf numFmtId="0" fontId="0" fillId="0" borderId="0" xfId="0" applyProtection="1"/>
    <xf numFmtId="0" fontId="0" fillId="46" borderId="151" xfId="0" applyFill="1" applyBorder="1" applyAlignment="1" applyProtection="1">
      <alignment horizontal="left" vertical="center"/>
    </xf>
    <xf numFmtId="169" fontId="15" fillId="50" borderId="199" xfId="13" applyNumberFormat="1" applyFill="1" applyBorder="1" applyAlignment="1" applyProtection="1">
      <alignment vertical="center"/>
    </xf>
    <xf numFmtId="169" fontId="15" fillId="50" borderId="198" xfId="13" applyNumberFormat="1" applyFill="1" applyBorder="1" applyAlignment="1" applyProtection="1">
      <alignment vertical="center"/>
    </xf>
    <xf numFmtId="169" fontId="15" fillId="50" borderId="225" xfId="13" applyNumberFormat="1" applyFill="1" applyBorder="1" applyAlignment="1" applyProtection="1">
      <alignment vertical="center"/>
    </xf>
    <xf numFmtId="169" fontId="15" fillId="50" borderId="200" xfId="13" applyNumberFormat="1" applyFill="1" applyBorder="1" applyAlignment="1" applyProtection="1">
      <alignment vertical="center"/>
    </xf>
    <xf numFmtId="169" fontId="15" fillId="50" borderId="244" xfId="13" applyNumberFormat="1" applyFill="1" applyBorder="1" applyAlignment="1" applyProtection="1">
      <alignment vertical="center"/>
    </xf>
    <xf numFmtId="0" fontId="0" fillId="46" borderId="104" xfId="0" applyFill="1" applyBorder="1" applyAlignment="1" applyProtection="1">
      <alignment horizontal="left" vertical="center"/>
    </xf>
    <xf numFmtId="180" fontId="14" fillId="50" borderId="199" xfId="0" applyNumberFormat="1" applyFont="1" applyFill="1" applyBorder="1" applyAlignment="1" applyProtection="1">
      <alignment vertical="center"/>
    </xf>
    <xf numFmtId="180" fontId="14" fillId="50" borderId="198" xfId="0" applyNumberFormat="1" applyFont="1" applyFill="1" applyBorder="1" applyAlignment="1" applyProtection="1">
      <alignment vertical="center"/>
    </xf>
    <xf numFmtId="180" fontId="14" fillId="50" borderId="225" xfId="0" applyNumberFormat="1" applyFont="1" applyFill="1" applyBorder="1" applyAlignment="1" applyProtection="1">
      <alignment vertical="center"/>
    </xf>
    <xf numFmtId="180" fontId="14" fillId="50" borderId="136" xfId="0" applyNumberFormat="1" applyFont="1" applyFill="1" applyBorder="1" applyAlignment="1" applyProtection="1">
      <alignment vertical="center"/>
    </xf>
    <xf numFmtId="180" fontId="14" fillId="29" borderId="137" xfId="0" applyNumberFormat="1" applyFont="1" applyFill="1" applyBorder="1" applyAlignment="1" applyProtection="1">
      <alignment vertical="center"/>
    </xf>
    <xf numFmtId="0" fontId="30" fillId="0" borderId="0" xfId="0" applyFont="1" applyProtection="1"/>
    <xf numFmtId="169" fontId="15" fillId="12" borderId="198" xfId="13" applyNumberFormat="1" applyFont="1" applyFill="1" applyBorder="1" applyAlignment="1" applyProtection="1">
      <alignment vertical="center"/>
      <protection locked="0"/>
    </xf>
    <xf numFmtId="177" fontId="15" fillId="12" borderId="198" xfId="12" applyNumberFormat="1" applyFont="1" applyFill="1" applyBorder="1" applyAlignment="1" applyProtection="1">
      <alignment vertical="center"/>
      <protection locked="0"/>
    </xf>
    <xf numFmtId="0" fontId="24" fillId="12" borderId="41" xfId="0" applyFont="1" applyFill="1" applyBorder="1" applyAlignment="1" applyProtection="1">
      <alignment horizontal="center" vertical="center"/>
    </xf>
    <xf numFmtId="0" fontId="14" fillId="0" borderId="0" xfId="0" applyFont="1" applyBorder="1" applyAlignment="1" applyProtection="1">
      <alignment horizontal="right" vertical="center"/>
    </xf>
    <xf numFmtId="0" fontId="12" fillId="17" borderId="198" xfId="0" applyFont="1" applyFill="1" applyBorder="1" applyAlignment="1" applyProtection="1">
      <alignment horizontal="center" vertical="center"/>
    </xf>
    <xf numFmtId="0" fontId="12" fillId="17" borderId="108"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22" fillId="0" borderId="0" xfId="20" applyAlignment="1" applyProtection="1">
      <alignment horizontal="center"/>
    </xf>
    <xf numFmtId="0" fontId="22" fillId="0" borderId="0" xfId="20"/>
    <xf numFmtId="0" fontId="0" fillId="0" borderId="0" xfId="0" applyFont="1"/>
    <xf numFmtId="0" fontId="22" fillId="0" borderId="0" xfId="20" applyBorder="1" applyAlignment="1" applyProtection="1">
      <alignment horizontal="left" vertical="center"/>
    </xf>
    <xf numFmtId="0" fontId="22" fillId="0" borderId="0" xfId="20" applyBorder="1" applyAlignment="1" applyProtection="1">
      <alignment horizontal="left" vertical="center" wrapText="1"/>
    </xf>
    <xf numFmtId="0" fontId="22" fillId="0" borderId="0" xfId="20" applyBorder="1" applyAlignment="1" applyProtection="1">
      <alignment horizontal="left" vertical="center" indent="2"/>
    </xf>
    <xf numFmtId="0" fontId="22" fillId="0" borderId="0" xfId="20" applyFont="1"/>
    <xf numFmtId="169" fontId="0" fillId="9" borderId="135" xfId="13" applyNumberFormat="1" applyFont="1" applyFill="1" applyBorder="1" applyAlignment="1" applyProtection="1">
      <alignment horizontal="right" vertical="center"/>
    </xf>
    <xf numFmtId="169" fontId="0" fillId="9" borderId="136" xfId="13" applyNumberFormat="1" applyFont="1" applyFill="1" applyBorder="1" applyAlignment="1" applyProtection="1">
      <alignment horizontal="right" vertical="center"/>
    </xf>
    <xf numFmtId="0" fontId="0" fillId="0" borderId="163" xfId="0" applyBorder="1" applyAlignment="1" applyProtection="1">
      <alignment horizontal="center" vertical="center" wrapText="1"/>
    </xf>
    <xf numFmtId="0" fontId="0" fillId="0" borderId="65" xfId="0" applyBorder="1" applyAlignment="1" applyProtection="1">
      <alignment horizontal="center" vertical="center" wrapText="1"/>
    </xf>
    <xf numFmtId="0" fontId="0" fillId="0" borderId="158" xfId="0" applyBorder="1" applyAlignment="1" applyProtection="1">
      <alignment horizontal="center" vertical="center" wrapText="1"/>
    </xf>
    <xf numFmtId="0" fontId="0" fillId="0" borderId="163" xfId="0" applyFont="1" applyFill="1" applyBorder="1" applyAlignment="1" applyProtection="1">
      <alignment horizontal="center" vertical="center" wrapText="1"/>
    </xf>
    <xf numFmtId="0" fontId="0" fillId="0" borderId="65" xfId="0" applyFont="1" applyFill="1" applyBorder="1" applyAlignment="1" applyProtection="1">
      <alignment horizontal="center" vertical="center" wrapText="1"/>
    </xf>
    <xf numFmtId="0" fontId="0" fillId="0" borderId="158" xfId="0" applyFont="1" applyFill="1" applyBorder="1" applyAlignment="1" applyProtection="1">
      <alignment horizontal="center" vertical="center" wrapText="1"/>
    </xf>
    <xf numFmtId="169" fontId="23" fillId="32" borderId="93" xfId="0" applyNumberFormat="1" applyFont="1" applyFill="1" applyBorder="1" applyAlignment="1" applyProtection="1">
      <alignment horizontal="center" vertical="center"/>
    </xf>
    <xf numFmtId="169" fontId="23" fillId="32" borderId="153" xfId="0" applyNumberFormat="1" applyFont="1" applyFill="1" applyBorder="1" applyAlignment="1" applyProtection="1">
      <alignment horizontal="center" vertical="center"/>
    </xf>
    <xf numFmtId="0" fontId="24" fillId="0" borderId="166" xfId="0" applyFont="1" applyFill="1" applyBorder="1" applyAlignment="1" applyProtection="1">
      <alignment horizontal="center" vertical="center" wrapText="1"/>
    </xf>
    <xf numFmtId="0" fontId="24" fillId="0" borderId="117" xfId="0" applyFont="1" applyFill="1" applyBorder="1" applyAlignment="1" applyProtection="1">
      <alignment horizontal="center" vertical="center" wrapText="1"/>
    </xf>
    <xf numFmtId="0" fontId="24" fillId="0" borderId="52" xfId="0" applyFont="1" applyFill="1" applyBorder="1" applyAlignment="1" applyProtection="1">
      <alignment horizontal="center" vertical="center" wrapText="1"/>
    </xf>
    <xf numFmtId="169" fontId="23" fillId="32" borderId="93" xfId="0" applyNumberFormat="1" applyFont="1" applyFill="1" applyBorder="1" applyAlignment="1" applyProtection="1">
      <alignment horizontal="right" vertical="center"/>
    </xf>
    <xf numFmtId="169" fontId="23" fillId="32" borderId="153" xfId="0" applyNumberFormat="1" applyFont="1" applyFill="1" applyBorder="1" applyAlignment="1" applyProtection="1">
      <alignment horizontal="right" vertical="center"/>
    </xf>
    <xf numFmtId="0" fontId="24" fillId="44" borderId="166" xfId="0" applyFont="1" applyFill="1" applyBorder="1" applyAlignment="1" applyProtection="1">
      <alignment horizontal="center" vertical="center" wrapText="1"/>
    </xf>
    <xf numFmtId="0" fontId="24" fillId="44" borderId="117" xfId="0" applyFont="1" applyFill="1" applyBorder="1" applyAlignment="1" applyProtection="1">
      <alignment horizontal="center" vertical="center" wrapText="1"/>
    </xf>
    <xf numFmtId="0" fontId="24" fillId="44" borderId="52" xfId="0" applyFont="1" applyFill="1" applyBorder="1" applyAlignment="1" applyProtection="1">
      <alignment horizontal="center" vertical="center" wrapText="1"/>
    </xf>
    <xf numFmtId="0" fontId="14" fillId="0" borderId="2" xfId="0" applyFont="1" applyBorder="1" applyAlignment="1" applyProtection="1">
      <alignment horizontal="right" vertical="center"/>
    </xf>
    <xf numFmtId="0" fontId="24" fillId="12" borderId="3" xfId="0" applyFont="1" applyFill="1" applyBorder="1" applyAlignment="1" applyProtection="1">
      <alignment horizontal="center" vertical="center"/>
    </xf>
    <xf numFmtId="0" fontId="24" fillId="12" borderId="50" xfId="0" applyFont="1" applyFill="1" applyBorder="1" applyAlignment="1" applyProtection="1">
      <alignment horizontal="center" vertical="center"/>
    </xf>
    <xf numFmtId="0" fontId="24" fillId="12" borderId="4" xfId="0" applyFont="1" applyFill="1" applyBorder="1" applyAlignment="1" applyProtection="1">
      <alignment horizontal="center" vertical="center"/>
    </xf>
    <xf numFmtId="169" fontId="14" fillId="15" borderId="167" xfId="0" applyNumberFormat="1" applyFont="1" applyFill="1" applyBorder="1" applyAlignment="1" applyProtection="1">
      <alignment horizontal="center" vertical="center"/>
    </xf>
    <xf numFmtId="169" fontId="14" fillId="15" borderId="152" xfId="0" applyNumberFormat="1" applyFont="1" applyFill="1" applyBorder="1" applyAlignment="1" applyProtection="1">
      <alignment horizontal="center" vertical="center"/>
    </xf>
    <xf numFmtId="169" fontId="24" fillId="39" borderId="94" xfId="0" applyNumberFormat="1" applyFont="1" applyFill="1" applyBorder="1" applyAlignment="1" applyProtection="1">
      <alignment horizontal="center" vertical="center" wrapText="1"/>
    </xf>
    <xf numFmtId="169" fontId="24" fillId="39" borderId="96" xfId="0" applyNumberFormat="1" applyFont="1" applyFill="1" applyBorder="1" applyAlignment="1" applyProtection="1">
      <alignment horizontal="center" vertical="center" wrapText="1"/>
    </xf>
    <xf numFmtId="169" fontId="24" fillId="39" borderId="99" xfId="0" applyNumberFormat="1" applyFont="1" applyFill="1" applyBorder="1" applyAlignment="1" applyProtection="1">
      <alignment horizontal="center" vertical="center" wrapText="1"/>
    </xf>
    <xf numFmtId="169" fontId="25" fillId="34" borderId="94" xfId="0" applyNumberFormat="1" applyFont="1" applyFill="1" applyBorder="1" applyAlignment="1" applyProtection="1">
      <alignment horizontal="center" vertical="center" wrapText="1"/>
    </xf>
    <xf numFmtId="169" fontId="25" fillId="34" borderId="96" xfId="0" applyNumberFormat="1" applyFont="1" applyFill="1" applyBorder="1" applyAlignment="1" applyProtection="1">
      <alignment horizontal="center" vertical="center" wrapText="1"/>
    </xf>
    <xf numFmtId="169" fontId="25" fillId="34" borderId="99" xfId="0" applyNumberFormat="1" applyFont="1" applyFill="1" applyBorder="1" applyAlignment="1" applyProtection="1">
      <alignment horizontal="center" vertical="center" wrapText="1"/>
    </xf>
    <xf numFmtId="169" fontId="28" fillId="45" borderId="168" xfId="0" applyNumberFormat="1" applyFont="1" applyFill="1" applyBorder="1" applyAlignment="1" applyProtection="1">
      <alignment horizontal="center" vertical="center" wrapText="1"/>
    </xf>
    <xf numFmtId="169" fontId="28" fillId="45" borderId="64" xfId="0" applyNumberFormat="1" applyFont="1" applyFill="1" applyBorder="1" applyAlignment="1" applyProtection="1">
      <alignment horizontal="center" vertical="center" wrapText="1"/>
    </xf>
    <xf numFmtId="169" fontId="19" fillId="34" borderId="66" xfId="0" applyNumberFormat="1" applyFont="1" applyFill="1" applyBorder="1" applyAlignment="1" applyProtection="1">
      <alignment horizontal="center" vertical="center" wrapText="1"/>
    </xf>
    <xf numFmtId="169" fontId="19" fillId="34" borderId="65" xfId="0" applyNumberFormat="1" applyFont="1" applyFill="1" applyBorder="1" applyAlignment="1" applyProtection="1">
      <alignment horizontal="center" vertical="center" wrapText="1"/>
    </xf>
    <xf numFmtId="169" fontId="19" fillId="34" borderId="24" xfId="0" applyNumberFormat="1" applyFont="1" applyFill="1" applyBorder="1" applyAlignment="1" applyProtection="1">
      <alignment horizontal="center" vertical="center" wrapText="1"/>
    </xf>
    <xf numFmtId="169" fontId="19" fillId="34" borderId="62" xfId="0" applyNumberFormat="1" applyFont="1" applyFill="1" applyBorder="1" applyAlignment="1" applyProtection="1">
      <alignment horizontal="center" vertical="center" wrapText="1"/>
    </xf>
    <xf numFmtId="169" fontId="19" fillId="34" borderId="122" xfId="0" applyNumberFormat="1" applyFont="1" applyFill="1" applyBorder="1" applyAlignment="1" applyProtection="1">
      <alignment horizontal="center" vertical="center" wrapText="1"/>
    </xf>
    <xf numFmtId="169" fontId="19" fillId="34" borderId="117"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left" vertical="center" indent="2"/>
    </xf>
    <xf numFmtId="0" fontId="14" fillId="15" borderId="164" xfId="0" applyFont="1" applyFill="1" applyBorder="1" applyAlignment="1" applyProtection="1">
      <alignment horizontal="center" vertical="center" wrapText="1"/>
    </xf>
    <xf numFmtId="0" fontId="14" fillId="15" borderId="165" xfId="0" applyFont="1" applyFill="1" applyBorder="1" applyAlignment="1" applyProtection="1">
      <alignment horizontal="center" vertical="center" wrapText="1"/>
    </xf>
    <xf numFmtId="0" fontId="14" fillId="15" borderId="161" xfId="0" applyFont="1" applyFill="1" applyBorder="1" applyAlignment="1" applyProtection="1">
      <alignment horizontal="center" vertical="center" wrapText="1"/>
    </xf>
    <xf numFmtId="0" fontId="14" fillId="15" borderId="162" xfId="0" applyFont="1" applyFill="1" applyBorder="1" applyAlignment="1" applyProtection="1">
      <alignment horizontal="center" vertical="center" wrapText="1"/>
    </xf>
    <xf numFmtId="0" fontId="23" fillId="44" borderId="177" xfId="0" applyFont="1" applyFill="1" applyBorder="1" applyAlignment="1" applyProtection="1">
      <alignment horizontal="center" vertical="center" wrapText="1"/>
    </xf>
    <xf numFmtId="0" fontId="23" fillId="44" borderId="120" xfId="0" applyFont="1" applyFill="1" applyBorder="1" applyAlignment="1" applyProtection="1">
      <alignment horizontal="center" vertical="center" wrapText="1"/>
    </xf>
    <xf numFmtId="0" fontId="23" fillId="44" borderId="178" xfId="0" applyFont="1" applyFill="1" applyBorder="1" applyAlignment="1" applyProtection="1">
      <alignment horizontal="center" vertical="center" wrapText="1"/>
    </xf>
    <xf numFmtId="0" fontId="23" fillId="0" borderId="115" xfId="0" applyFont="1" applyFill="1" applyBorder="1" applyAlignment="1" applyProtection="1">
      <alignment horizontal="center" vertical="center" wrapText="1"/>
    </xf>
    <xf numFmtId="0" fontId="23" fillId="0" borderId="48" xfId="0" applyFont="1" applyFill="1" applyBorder="1" applyAlignment="1" applyProtection="1">
      <alignment horizontal="center" vertical="center" wrapText="1"/>
    </xf>
    <xf numFmtId="0" fontId="23" fillId="0" borderId="116" xfId="0" applyFont="1" applyFill="1" applyBorder="1" applyAlignment="1" applyProtection="1">
      <alignment horizontal="center" vertical="center" wrapText="1"/>
    </xf>
    <xf numFmtId="0" fontId="24" fillId="13" borderId="133" xfId="0" applyFont="1" applyFill="1" applyBorder="1" applyAlignment="1" applyProtection="1">
      <alignment horizontal="center" vertical="center"/>
    </xf>
    <xf numFmtId="0" fontId="24" fillId="13" borderId="134" xfId="0" applyFont="1" applyFill="1" applyBorder="1" applyAlignment="1" applyProtection="1">
      <alignment horizontal="center" vertical="center"/>
    </xf>
    <xf numFmtId="169" fontId="25" fillId="34" borderId="238" xfId="0" applyNumberFormat="1" applyFont="1" applyFill="1" applyBorder="1" applyAlignment="1" applyProtection="1">
      <alignment horizontal="center" vertical="center" wrapText="1"/>
    </xf>
    <xf numFmtId="169" fontId="25" fillId="34" borderId="239" xfId="0" applyNumberFormat="1" applyFont="1" applyFill="1" applyBorder="1" applyAlignment="1" applyProtection="1">
      <alignment horizontal="center" vertical="center" wrapText="1"/>
    </xf>
    <xf numFmtId="169" fontId="25" fillId="34" borderId="202" xfId="0" applyNumberFormat="1" applyFont="1" applyFill="1" applyBorder="1" applyAlignment="1" applyProtection="1">
      <alignment horizontal="center" vertical="center" wrapText="1"/>
    </xf>
    <xf numFmtId="0" fontId="24" fillId="16" borderId="36" xfId="0" applyFont="1" applyFill="1" applyBorder="1" applyAlignment="1" applyProtection="1">
      <alignment horizontal="center" vertical="center" wrapText="1"/>
    </xf>
    <xf numFmtId="0" fontId="24" fillId="16" borderId="53" xfId="0" applyFont="1" applyFill="1" applyBorder="1" applyAlignment="1" applyProtection="1">
      <alignment horizontal="center" vertical="center" wrapText="1"/>
    </xf>
    <xf numFmtId="169" fontId="25" fillId="34" borderId="194" xfId="0" applyNumberFormat="1" applyFont="1" applyFill="1" applyBorder="1" applyAlignment="1" applyProtection="1">
      <alignment horizontal="center" vertical="center" wrapText="1"/>
    </xf>
    <xf numFmtId="169" fontId="25" fillId="34" borderId="195" xfId="0" applyNumberFormat="1" applyFont="1" applyFill="1" applyBorder="1" applyAlignment="1" applyProtection="1">
      <alignment horizontal="center" vertical="center" wrapText="1"/>
    </xf>
    <xf numFmtId="169" fontId="25" fillId="34" borderId="168" xfId="0" applyNumberFormat="1" applyFont="1" applyFill="1" applyBorder="1" applyAlignment="1" applyProtection="1">
      <alignment horizontal="center" vertical="center" wrapText="1"/>
    </xf>
    <xf numFmtId="0" fontId="26" fillId="11" borderId="0" xfId="0" applyFont="1" applyFill="1" applyBorder="1" applyAlignment="1" applyProtection="1">
      <alignment horizontal="left" vertical="center" indent="2"/>
    </xf>
    <xf numFmtId="0" fontId="24" fillId="15" borderId="26" xfId="0" applyFont="1" applyFill="1" applyBorder="1" applyAlignment="1" applyProtection="1">
      <alignment horizontal="center" vertical="center" wrapText="1"/>
    </xf>
    <xf numFmtId="0" fontId="24" fillId="15" borderId="51" xfId="0" applyFont="1" applyFill="1" applyBorder="1" applyAlignment="1" applyProtection="1">
      <alignment horizontal="center" vertical="center" wrapText="1"/>
    </xf>
    <xf numFmtId="0" fontId="24" fillId="16" borderId="203" xfId="0" applyFont="1" applyFill="1" applyBorder="1" applyAlignment="1" applyProtection="1">
      <alignment horizontal="center" vertical="center" wrapText="1"/>
    </xf>
    <xf numFmtId="0" fontId="24" fillId="16" borderId="19" xfId="0" applyFont="1" applyFill="1" applyBorder="1" applyAlignment="1" applyProtection="1">
      <alignment horizontal="center" vertical="center" wrapText="1"/>
    </xf>
    <xf numFmtId="0" fontId="24" fillId="15" borderId="135" xfId="0" applyFont="1" applyFill="1" applyBorder="1" applyAlignment="1" applyProtection="1">
      <alignment horizontal="center" vertical="center" wrapText="1"/>
    </xf>
    <xf numFmtId="0" fontId="24" fillId="15" borderId="119" xfId="0" applyFont="1" applyFill="1" applyBorder="1" applyAlignment="1" applyProtection="1">
      <alignment horizontal="center" vertical="center" wrapText="1"/>
    </xf>
    <xf numFmtId="0" fontId="23" fillId="46" borderId="218" xfId="0" applyFont="1" applyFill="1" applyBorder="1" applyAlignment="1" applyProtection="1">
      <alignment horizontal="center" vertical="center" wrapText="1"/>
    </xf>
    <xf numFmtId="0" fontId="23" fillId="46" borderId="175" xfId="0" applyFont="1" applyFill="1" applyBorder="1" applyAlignment="1" applyProtection="1">
      <alignment horizontal="center" vertical="center" wrapText="1"/>
    </xf>
    <xf numFmtId="0" fontId="23" fillId="46" borderId="113" xfId="0" applyFont="1" applyFill="1" applyBorder="1" applyAlignment="1" applyProtection="1">
      <alignment horizontal="center" vertical="center" wrapText="1"/>
    </xf>
    <xf numFmtId="169" fontId="25" fillId="34" borderId="163" xfId="0" applyNumberFormat="1" applyFont="1" applyFill="1" applyBorder="1" applyAlignment="1" applyProtection="1">
      <alignment horizontal="center" vertical="center" wrapText="1"/>
    </xf>
    <xf numFmtId="169" fontId="25" fillId="34" borderId="169" xfId="0" applyNumberFormat="1" applyFont="1" applyFill="1" applyBorder="1" applyAlignment="1" applyProtection="1">
      <alignment horizontal="center" vertical="center" wrapText="1"/>
    </xf>
    <xf numFmtId="169" fontId="25" fillId="34" borderId="197" xfId="0" applyNumberFormat="1" applyFont="1" applyFill="1" applyBorder="1" applyAlignment="1" applyProtection="1">
      <alignment horizontal="center" vertical="center" wrapText="1"/>
    </xf>
    <xf numFmtId="169" fontId="14" fillId="15" borderId="177" xfId="0" applyNumberFormat="1" applyFont="1" applyFill="1" applyBorder="1" applyAlignment="1" applyProtection="1">
      <alignment horizontal="center" vertical="center" wrapText="1"/>
    </xf>
    <xf numFmtId="169" fontId="14" fillId="15" borderId="201" xfId="0" applyNumberFormat="1" applyFont="1" applyFill="1" applyBorder="1" applyAlignment="1" applyProtection="1">
      <alignment horizontal="center" vertical="center" wrapText="1"/>
    </xf>
    <xf numFmtId="169" fontId="14" fillId="15" borderId="202" xfId="0" applyNumberFormat="1" applyFont="1" applyFill="1" applyBorder="1" applyAlignment="1" applyProtection="1">
      <alignment horizontal="center" vertical="center" wrapText="1"/>
    </xf>
    <xf numFmtId="0" fontId="23" fillId="46" borderId="55" xfId="0" applyFont="1" applyFill="1" applyBorder="1" applyAlignment="1" applyProtection="1">
      <alignment horizontal="center" vertical="center" wrapText="1"/>
    </xf>
    <xf numFmtId="0" fontId="23" fillId="46" borderId="138" xfId="0" applyFont="1" applyFill="1" applyBorder="1" applyAlignment="1" applyProtection="1">
      <alignment horizontal="center" vertical="center" wrapText="1"/>
    </xf>
    <xf numFmtId="0" fontId="23" fillId="46" borderId="56" xfId="0" applyFont="1" applyFill="1" applyBorder="1" applyAlignment="1" applyProtection="1">
      <alignment horizontal="center" vertical="center" wrapText="1"/>
    </xf>
    <xf numFmtId="0" fontId="14" fillId="0" borderId="0" xfId="0" applyFont="1" applyBorder="1" applyAlignment="1" applyProtection="1">
      <alignment horizontal="right" vertical="center"/>
    </xf>
    <xf numFmtId="0" fontId="45" fillId="53" borderId="193" xfId="0" applyFont="1" applyFill="1" applyBorder="1" applyAlignment="1" applyProtection="1">
      <alignment horizontal="center" vertical="center" wrapText="1"/>
    </xf>
    <xf numFmtId="0" fontId="45" fillId="53" borderId="213" xfId="0" applyFont="1" applyFill="1" applyBorder="1" applyAlignment="1" applyProtection="1">
      <alignment horizontal="center" vertical="center" wrapText="1"/>
    </xf>
    <xf numFmtId="0" fontId="46" fillId="37" borderId="173" xfId="0" applyFont="1" applyFill="1" applyBorder="1" applyAlignment="1" applyProtection="1">
      <alignment horizontal="center" vertical="center"/>
    </xf>
    <xf numFmtId="0" fontId="46" fillId="37" borderId="159" xfId="0" applyFont="1" applyFill="1" applyBorder="1" applyAlignment="1" applyProtection="1">
      <alignment horizontal="center" vertical="center"/>
    </xf>
    <xf numFmtId="175" fontId="25" fillId="30" borderId="19" xfId="12" applyNumberFormat="1" applyFont="1" applyFill="1" applyBorder="1" applyAlignment="1" applyProtection="1">
      <alignment horizontal="right" vertical="center" wrapText="1"/>
    </xf>
    <xf numFmtId="175" fontId="25" fillId="30" borderId="25" xfId="12" applyNumberFormat="1" applyFont="1" applyFill="1" applyBorder="1" applyAlignment="1" applyProtection="1">
      <alignment horizontal="right" vertical="center" wrapText="1"/>
    </xf>
    <xf numFmtId="167" fontId="14" fillId="18" borderId="185" xfId="13" applyFont="1" applyFill="1" applyBorder="1" applyAlignment="1" applyProtection="1">
      <alignment horizontal="center" vertical="center" wrapText="1"/>
    </xf>
    <xf numFmtId="167" fontId="14" fillId="18" borderId="65" xfId="13" applyFont="1" applyFill="1" applyBorder="1" applyAlignment="1" applyProtection="1">
      <alignment horizontal="center" vertical="center" wrapText="1"/>
    </xf>
    <xf numFmtId="0" fontId="12" fillId="17" borderId="16" xfId="0" applyFont="1" applyFill="1" applyBorder="1" applyAlignment="1" applyProtection="1">
      <alignment horizontal="left" vertical="center"/>
    </xf>
    <xf numFmtId="0" fontId="12" fillId="17" borderId="14" xfId="0" applyFont="1" applyFill="1" applyBorder="1" applyAlignment="1" applyProtection="1">
      <alignment horizontal="left" vertical="center"/>
    </xf>
    <xf numFmtId="0" fontId="24" fillId="0" borderId="198" xfId="0" applyFont="1" applyFill="1" applyBorder="1" applyAlignment="1" applyProtection="1">
      <alignment horizontal="center" vertical="center" wrapText="1"/>
    </xf>
    <xf numFmtId="0" fontId="12" fillId="16" borderId="62" xfId="0" applyFont="1" applyFill="1" applyBorder="1" applyAlignment="1" applyProtection="1">
      <alignment horizontal="center" vertical="center"/>
    </xf>
    <xf numFmtId="0" fontId="12" fillId="16" borderId="5" xfId="0" applyFont="1" applyFill="1" applyBorder="1" applyAlignment="1" applyProtection="1">
      <alignment horizontal="center" vertical="center"/>
    </xf>
    <xf numFmtId="0" fontId="14" fillId="17" borderId="181" xfId="0" applyFont="1" applyFill="1" applyBorder="1" applyAlignment="1" applyProtection="1">
      <alignment horizontal="center" vertical="center"/>
    </xf>
    <xf numFmtId="0" fontId="14" fillId="17" borderId="219" xfId="0" applyFont="1" applyFill="1" applyBorder="1" applyAlignment="1" applyProtection="1">
      <alignment horizontal="center" vertical="center"/>
    </xf>
    <xf numFmtId="0" fontId="12" fillId="15" borderId="184" xfId="0" applyFont="1" applyFill="1" applyBorder="1" applyAlignment="1" applyProtection="1">
      <alignment horizontal="center" vertical="center"/>
    </xf>
    <xf numFmtId="0" fontId="12" fillId="15" borderId="147" xfId="0" applyFont="1" applyFill="1" applyBorder="1" applyAlignment="1" applyProtection="1">
      <alignment horizontal="center" vertical="center"/>
    </xf>
    <xf numFmtId="0" fontId="12" fillId="16" borderId="198" xfId="0" applyFont="1" applyFill="1" applyBorder="1" applyAlignment="1" applyProtection="1">
      <alignment horizontal="center" vertical="center" wrapText="1"/>
    </xf>
    <xf numFmtId="0" fontId="12" fillId="17" borderId="198" xfId="0" applyFont="1" applyFill="1" applyBorder="1" applyAlignment="1" applyProtection="1">
      <alignment horizontal="center" vertical="center"/>
    </xf>
    <xf numFmtId="0" fontId="24" fillId="12" borderId="31" xfId="0" applyFont="1" applyFill="1" applyBorder="1" applyAlignment="1" applyProtection="1">
      <alignment horizontal="center" vertical="center"/>
    </xf>
    <xf numFmtId="0" fontId="24" fillId="12" borderId="21" xfId="0" applyFont="1" applyFill="1" applyBorder="1" applyAlignment="1" applyProtection="1">
      <alignment horizontal="center" vertical="center"/>
    </xf>
    <xf numFmtId="0" fontId="14" fillId="17" borderId="8" xfId="0" applyFont="1" applyFill="1" applyBorder="1" applyAlignment="1" applyProtection="1">
      <alignment horizontal="center" vertical="center"/>
    </xf>
    <xf numFmtId="0" fontId="14" fillId="17" borderId="13" xfId="0" applyFont="1" applyFill="1" applyBorder="1" applyAlignment="1" applyProtection="1">
      <alignment horizontal="center" vertical="center"/>
    </xf>
    <xf numFmtId="0" fontId="12" fillId="16" borderId="8" xfId="0" applyFont="1" applyFill="1" applyBorder="1" applyAlignment="1" applyProtection="1">
      <alignment horizontal="center" vertical="center"/>
    </xf>
    <xf numFmtId="0" fontId="12" fillId="17" borderId="108" xfId="0" applyFont="1" applyFill="1" applyBorder="1" applyAlignment="1" applyProtection="1">
      <alignment horizontal="center" vertical="center"/>
    </xf>
    <xf numFmtId="0" fontId="12" fillId="16" borderId="108" xfId="0" applyFont="1" applyFill="1" applyBorder="1" applyAlignment="1" applyProtection="1">
      <alignment horizontal="center" vertical="center" wrapText="1"/>
    </xf>
    <xf numFmtId="167" fontId="14" fillId="18" borderId="141" xfId="13" applyFont="1" applyFill="1" applyBorder="1" applyAlignment="1" applyProtection="1">
      <alignment horizontal="center" vertical="center" wrapText="1"/>
    </xf>
    <xf numFmtId="0" fontId="12" fillId="15" borderId="105" xfId="0" applyFont="1" applyFill="1" applyBorder="1" applyAlignment="1" applyProtection="1">
      <alignment horizontal="center" vertical="center"/>
    </xf>
    <xf numFmtId="169" fontId="30" fillId="11" borderId="151" xfId="0" applyNumberFormat="1" applyFont="1" applyFill="1" applyBorder="1" applyAlignment="1" applyProtection="1">
      <alignment horizontal="left"/>
    </xf>
    <xf numFmtId="169" fontId="30" fillId="11" borderId="0" xfId="0" applyNumberFormat="1" applyFont="1" applyFill="1" applyBorder="1" applyAlignment="1" applyProtection="1">
      <alignment horizontal="left"/>
    </xf>
    <xf numFmtId="178" fontId="0" fillId="26" borderId="115" xfId="0" applyNumberFormat="1" applyFont="1" applyFill="1" applyBorder="1" applyAlignment="1" applyProtection="1">
      <alignment horizontal="center" vertical="center"/>
    </xf>
    <xf numFmtId="178" fontId="0" fillId="26" borderId="86" xfId="0" applyNumberFormat="1" applyFont="1" applyFill="1" applyBorder="1" applyAlignment="1" applyProtection="1">
      <alignment horizontal="center" vertical="center"/>
    </xf>
    <xf numFmtId="0" fontId="11" fillId="48" borderId="116" xfId="0" applyFont="1" applyFill="1" applyBorder="1" applyAlignment="1" applyProtection="1">
      <alignment horizontal="center" vertical="center"/>
    </xf>
    <xf numFmtId="0" fontId="11" fillId="48" borderId="126" xfId="0" applyFont="1" applyFill="1" applyBorder="1" applyAlignment="1" applyProtection="1">
      <alignment horizontal="center" vertical="center"/>
    </xf>
    <xf numFmtId="0" fontId="11" fillId="47" borderId="116" xfId="0" applyFont="1" applyFill="1" applyBorder="1" applyAlignment="1" applyProtection="1">
      <alignment horizontal="center" vertical="center"/>
    </xf>
    <xf numFmtId="0" fontId="11" fillId="47" borderId="126" xfId="0" applyFont="1" applyFill="1" applyBorder="1" applyAlignment="1" applyProtection="1">
      <alignment horizontal="center" vertical="center"/>
    </xf>
    <xf numFmtId="178" fontId="0" fillId="26" borderId="87" xfId="0" applyNumberFormat="1" applyFont="1" applyFill="1" applyBorder="1" applyAlignment="1" applyProtection="1">
      <alignment horizontal="center" vertical="center"/>
    </xf>
    <xf numFmtId="0" fontId="0" fillId="11" borderId="151" xfId="0" applyFont="1" applyFill="1" applyBorder="1" applyAlignment="1" applyProtection="1">
      <alignment horizontal="left"/>
    </xf>
    <xf numFmtId="0" fontId="0" fillId="11" borderId="0" xfId="0" applyFont="1" applyFill="1" applyBorder="1" applyAlignment="1" applyProtection="1">
      <alignment horizontal="left"/>
    </xf>
    <xf numFmtId="0" fontId="14" fillId="16" borderId="176" xfId="0" applyFont="1" applyFill="1" applyBorder="1" applyAlignment="1" applyProtection="1">
      <alignment horizontal="center" vertical="center" wrapText="1"/>
    </xf>
    <xf numFmtId="0" fontId="14" fillId="16" borderId="52" xfId="0" applyFont="1" applyFill="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12" fillId="16" borderId="71" xfId="0" applyFont="1" applyFill="1" applyBorder="1" applyAlignment="1" applyProtection="1">
      <alignment horizontal="center" vertical="center" wrapText="1"/>
    </xf>
    <xf numFmtId="0" fontId="19" fillId="48" borderId="115" xfId="0" applyFont="1" applyFill="1" applyBorder="1" applyAlignment="1" applyProtection="1">
      <alignment horizontal="center" vertical="center"/>
    </xf>
    <xf numFmtId="0" fontId="19" fillId="48" borderId="86" xfId="0" applyFont="1" applyFill="1" applyBorder="1" applyAlignment="1" applyProtection="1">
      <alignment horizontal="center" vertical="center"/>
    </xf>
    <xf numFmtId="0" fontId="19" fillId="47" borderId="115" xfId="0" applyFont="1" applyFill="1" applyBorder="1" applyAlignment="1" applyProtection="1">
      <alignment horizontal="center" vertical="center"/>
    </xf>
    <xf numFmtId="0" fontId="19" fillId="47" borderId="86" xfId="0" applyFont="1" applyFill="1" applyBorder="1" applyAlignment="1" applyProtection="1">
      <alignment horizontal="center" vertical="center"/>
    </xf>
    <xf numFmtId="0" fontId="11" fillId="14" borderId="116" xfId="0" applyFont="1" applyFill="1" applyBorder="1" applyAlignment="1" applyProtection="1">
      <alignment horizontal="center" vertical="center"/>
    </xf>
    <xf numFmtId="0" fontId="11" fillId="14" borderId="126" xfId="0" applyFont="1" applyFill="1" applyBorder="1" applyAlignment="1" applyProtection="1">
      <alignment horizontal="center" vertical="center"/>
    </xf>
    <xf numFmtId="0" fontId="19" fillId="14" borderId="85" xfId="0" applyFont="1" applyFill="1" applyBorder="1" applyAlignment="1" applyProtection="1">
      <alignment horizontal="center" vertical="center"/>
    </xf>
    <xf numFmtId="0" fontId="19" fillId="14" borderId="75" xfId="0" applyFont="1" applyFill="1" applyBorder="1" applyAlignment="1" applyProtection="1">
      <alignment horizontal="center" vertical="center"/>
    </xf>
    <xf numFmtId="0" fontId="19" fillId="48" borderId="85" xfId="0" applyFont="1" applyFill="1" applyBorder="1" applyAlignment="1" applyProtection="1">
      <alignment horizontal="center" vertical="center"/>
    </xf>
    <xf numFmtId="0" fontId="19" fillId="48" borderId="107" xfId="0" applyFont="1" applyFill="1" applyBorder="1" applyAlignment="1" applyProtection="1">
      <alignment horizontal="center" vertical="center"/>
    </xf>
    <xf numFmtId="0" fontId="19" fillId="47" borderId="87" xfId="0" applyFont="1" applyFill="1" applyBorder="1" applyAlignment="1" applyProtection="1">
      <alignment horizontal="center" vertical="center"/>
    </xf>
    <xf numFmtId="0" fontId="19" fillId="47" borderId="107" xfId="0" applyFont="1" applyFill="1" applyBorder="1" applyAlignment="1" applyProtection="1">
      <alignment horizontal="center" vertical="center"/>
    </xf>
    <xf numFmtId="0" fontId="19" fillId="14" borderId="115" xfId="0" applyFont="1" applyFill="1" applyBorder="1" applyAlignment="1" applyProtection="1">
      <alignment horizontal="center" vertical="center"/>
    </xf>
    <xf numFmtId="0" fontId="19" fillId="14" borderId="86" xfId="0" applyFont="1" applyFill="1" applyBorder="1" applyAlignment="1" applyProtection="1">
      <alignment horizontal="center" vertical="center"/>
    </xf>
    <xf numFmtId="0" fontId="24" fillId="47" borderId="74" xfId="0" applyFont="1" applyFill="1" applyBorder="1" applyAlignment="1" applyProtection="1">
      <alignment horizontal="center" vertical="center" textRotation="90" wrapText="1"/>
    </xf>
    <xf numFmtId="0" fontId="24" fillId="47" borderId="76" xfId="0" applyFont="1" applyFill="1" applyBorder="1" applyAlignment="1" applyProtection="1">
      <alignment horizontal="center" vertical="center" textRotation="90" wrapText="1"/>
    </xf>
    <xf numFmtId="0" fontId="24" fillId="47" borderId="52" xfId="0" applyFont="1" applyFill="1" applyBorder="1" applyAlignment="1" applyProtection="1">
      <alignment horizontal="center" vertical="center" textRotation="90" wrapText="1"/>
    </xf>
    <xf numFmtId="0" fontId="24" fillId="47" borderId="74" xfId="0" applyFont="1" applyFill="1" applyBorder="1" applyAlignment="1" applyProtection="1">
      <alignment horizontal="left" vertical="center" wrapText="1"/>
    </xf>
    <xf numFmtId="0" fontId="24" fillId="47" borderId="76" xfId="0" applyFont="1" applyFill="1" applyBorder="1" applyAlignment="1" applyProtection="1">
      <alignment horizontal="left" vertical="center" wrapText="1"/>
    </xf>
    <xf numFmtId="0" fontId="24" fillId="47" borderId="52" xfId="0" applyFont="1" applyFill="1" applyBorder="1" applyAlignment="1" applyProtection="1">
      <alignment horizontal="left" vertical="center" wrapText="1"/>
    </xf>
    <xf numFmtId="0" fontId="27" fillId="47" borderId="79" xfId="0" applyFont="1" applyFill="1" applyBorder="1" applyAlignment="1" applyProtection="1">
      <alignment horizontal="center" vertical="center" textRotation="90" wrapText="1"/>
    </xf>
    <xf numFmtId="0" fontId="27" fillId="47" borderId="67" xfId="0" applyFont="1" applyFill="1" applyBorder="1" applyAlignment="1" applyProtection="1">
      <alignment horizontal="center" vertical="center" textRotation="90" wrapText="1"/>
    </xf>
    <xf numFmtId="0" fontId="27" fillId="47" borderId="63" xfId="0" applyFont="1" applyFill="1" applyBorder="1" applyAlignment="1" applyProtection="1">
      <alignment horizontal="center" vertical="center" textRotation="90" wrapText="1"/>
    </xf>
    <xf numFmtId="0" fontId="24" fillId="12" borderId="80" xfId="0" applyFont="1" applyFill="1" applyBorder="1" applyAlignment="1" applyProtection="1">
      <alignment horizontal="left" vertical="center" wrapText="1"/>
    </xf>
    <xf numFmtId="0" fontId="24" fillId="12" borderId="81" xfId="0" applyFont="1" applyFill="1" applyBorder="1" applyAlignment="1" applyProtection="1">
      <alignment horizontal="left" vertical="center" wrapText="1"/>
    </xf>
    <xf numFmtId="0" fontId="24" fillId="12" borderId="78" xfId="0" applyFont="1" applyFill="1" applyBorder="1" applyAlignment="1" applyProtection="1">
      <alignment horizontal="left" vertical="center" wrapText="1"/>
    </xf>
    <xf numFmtId="0" fontId="24" fillId="12" borderId="74" xfId="0" applyFont="1" applyFill="1" applyBorder="1" applyAlignment="1" applyProtection="1">
      <alignment horizontal="left" vertical="center" wrapText="1"/>
    </xf>
    <xf numFmtId="0" fontId="24" fillId="12" borderId="117" xfId="0" applyFont="1" applyFill="1" applyBorder="1" applyAlignment="1" applyProtection="1">
      <alignment horizontal="left" vertical="center" wrapText="1"/>
    </xf>
    <xf numFmtId="0" fontId="24" fillId="12" borderId="76" xfId="0" applyFont="1" applyFill="1" applyBorder="1" applyAlignment="1" applyProtection="1">
      <alignment horizontal="left" vertical="center" wrapText="1"/>
    </xf>
    <xf numFmtId="0" fontId="24" fillId="12" borderId="52" xfId="0" applyFont="1" applyFill="1" applyBorder="1" applyAlignment="1" applyProtection="1">
      <alignment horizontal="left" vertical="center" wrapText="1"/>
    </xf>
    <xf numFmtId="0" fontId="26" fillId="0" borderId="0" xfId="0" applyFont="1" applyBorder="1" applyAlignment="1" applyProtection="1">
      <alignment horizontal="center" vertical="center"/>
    </xf>
    <xf numFmtId="0" fontId="14" fillId="17" borderId="23" xfId="0" applyFont="1" applyFill="1" applyBorder="1" applyAlignment="1" applyProtection="1">
      <alignment horizontal="center" vertical="center" wrapText="1"/>
    </xf>
    <xf numFmtId="0" fontId="14" fillId="17" borderId="90" xfId="0" applyFont="1" applyFill="1" applyBorder="1" applyAlignment="1" applyProtection="1">
      <alignment horizontal="center" vertical="center" wrapText="1"/>
    </xf>
    <xf numFmtId="0" fontId="12" fillId="15" borderId="23" xfId="0" applyFont="1" applyFill="1" applyBorder="1" applyAlignment="1" applyProtection="1">
      <alignment horizontal="center" vertical="center" wrapText="1"/>
    </xf>
    <xf numFmtId="0" fontId="12" fillId="15" borderId="90" xfId="0" applyFont="1" applyFill="1" applyBorder="1" applyAlignment="1" applyProtection="1">
      <alignment horizontal="center" vertical="center" wrapText="1"/>
    </xf>
    <xf numFmtId="0" fontId="14" fillId="26" borderId="47" xfId="0" applyFont="1" applyFill="1" applyBorder="1" applyAlignment="1" applyProtection="1">
      <alignment horizontal="center" vertical="center" wrapText="1"/>
    </xf>
    <xf numFmtId="0" fontId="14" fillId="26" borderId="76" xfId="0" applyFont="1" applyFill="1" applyBorder="1" applyAlignment="1" applyProtection="1">
      <alignment horizontal="center" vertical="center" wrapText="1"/>
    </xf>
    <xf numFmtId="0" fontId="19" fillId="14" borderId="123" xfId="0" applyFont="1" applyFill="1" applyBorder="1" applyAlignment="1" applyProtection="1">
      <alignment horizontal="center" vertical="center"/>
    </xf>
    <xf numFmtId="0" fontId="19" fillId="47" borderId="123" xfId="0" applyFont="1" applyFill="1" applyBorder="1" applyAlignment="1" applyProtection="1">
      <alignment horizontal="center" vertical="center"/>
    </xf>
    <xf numFmtId="0" fontId="19" fillId="47" borderId="203" xfId="0" applyFont="1" applyFill="1" applyBorder="1" applyAlignment="1" applyProtection="1">
      <alignment horizontal="center" vertical="center"/>
    </xf>
    <xf numFmtId="0" fontId="14" fillId="16" borderId="40" xfId="0" applyFont="1" applyFill="1" applyBorder="1" applyAlignment="1" applyProtection="1">
      <alignment horizontal="center" vertical="center" wrapText="1"/>
    </xf>
    <xf numFmtId="0" fontId="14" fillId="16" borderId="44" xfId="0" applyFont="1" applyFill="1" applyBorder="1" applyAlignment="1" applyProtection="1">
      <alignment horizontal="center" vertical="center" wrapText="1"/>
    </xf>
    <xf numFmtId="0" fontId="14" fillId="16" borderId="48" xfId="0" applyFont="1" applyFill="1" applyBorder="1" applyAlignment="1" applyProtection="1">
      <alignment horizontal="center" vertical="center" wrapText="1"/>
    </xf>
    <xf numFmtId="0" fontId="14" fillId="16" borderId="49" xfId="0" applyFont="1" applyFill="1" applyBorder="1" applyAlignment="1" applyProtection="1">
      <alignment horizontal="center" vertical="center" wrapText="1"/>
    </xf>
    <xf numFmtId="0" fontId="14" fillId="16" borderId="37" xfId="0" applyFont="1" applyFill="1" applyBorder="1" applyAlignment="1" applyProtection="1">
      <alignment horizontal="center" vertical="center"/>
    </xf>
    <xf numFmtId="0" fontId="14" fillId="16" borderId="7" xfId="0" applyFont="1" applyFill="1" applyBorder="1" applyAlignment="1" applyProtection="1">
      <alignment horizontal="center" vertical="center"/>
    </xf>
    <xf numFmtId="0" fontId="14" fillId="16" borderId="37" xfId="0" applyFont="1" applyFill="1" applyBorder="1" applyAlignment="1" applyProtection="1">
      <alignment horizontal="center" vertical="center" wrapText="1"/>
    </xf>
    <xf numFmtId="0" fontId="14" fillId="16" borderId="7"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23" fillId="16" borderId="45" xfId="0" applyFont="1" applyFill="1" applyBorder="1" applyAlignment="1" applyProtection="1">
      <alignment horizontal="center" vertical="center" wrapText="1"/>
    </xf>
    <xf numFmtId="0" fontId="23" fillId="16" borderId="4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24" fillId="44" borderId="177" xfId="0" applyFont="1" applyFill="1" applyBorder="1" applyAlignment="1">
      <alignment horizontal="left" vertical="center" wrapText="1"/>
    </xf>
    <xf numFmtId="0" fontId="24" fillId="44" borderId="120" xfId="0" applyFont="1" applyFill="1" applyBorder="1" applyAlignment="1">
      <alignment horizontal="left" vertical="center" wrapText="1"/>
    </xf>
    <xf numFmtId="0" fontId="24" fillId="44" borderId="178" xfId="0" applyFont="1" applyFill="1" applyBorder="1" applyAlignment="1">
      <alignment horizontal="left" vertical="center" wrapText="1"/>
    </xf>
    <xf numFmtId="0" fontId="24" fillId="0" borderId="177" xfId="0" applyFont="1" applyFill="1" applyBorder="1" applyAlignment="1" applyProtection="1">
      <alignment horizontal="left" vertical="center" wrapText="1"/>
    </xf>
    <xf numFmtId="0" fontId="24" fillId="0" borderId="120" xfId="0" applyFont="1" applyFill="1" applyBorder="1" applyAlignment="1" applyProtection="1">
      <alignment horizontal="left" vertical="center" wrapText="1"/>
    </xf>
    <xf numFmtId="0" fontId="24" fillId="0" borderId="178" xfId="0" applyFont="1" applyFill="1" applyBorder="1" applyAlignment="1" applyProtection="1">
      <alignment horizontal="left" vertical="center" wrapText="1"/>
    </xf>
    <xf numFmtId="0" fontId="24" fillId="16" borderId="209" xfId="0" applyFont="1" applyFill="1" applyBorder="1" applyAlignment="1" applyProtection="1">
      <alignment horizontal="center" vertical="center"/>
    </xf>
    <xf numFmtId="0" fontId="24" fillId="16" borderId="210" xfId="0" applyFont="1" applyFill="1" applyBorder="1" applyAlignment="1" applyProtection="1">
      <alignment horizontal="center" vertical="center"/>
    </xf>
    <xf numFmtId="0" fontId="24" fillId="12" borderId="11" xfId="0" applyFont="1" applyFill="1" applyBorder="1" applyAlignment="1" applyProtection="1">
      <alignment horizontal="center" vertical="center"/>
      <protection locked="0"/>
    </xf>
    <xf numFmtId="0" fontId="24" fillId="12" borderId="12" xfId="0" applyFont="1" applyFill="1" applyBorder="1" applyAlignment="1" applyProtection="1">
      <alignment horizontal="center" vertical="center"/>
      <protection locked="0"/>
    </xf>
    <xf numFmtId="169" fontId="24" fillId="17" borderId="207" xfId="0" applyNumberFormat="1" applyFont="1" applyFill="1" applyBorder="1" applyAlignment="1" applyProtection="1">
      <alignment horizontal="center" vertical="center" wrapText="1"/>
    </xf>
    <xf numFmtId="169" fontId="24" fillId="17" borderId="195" xfId="0" applyNumberFormat="1" applyFont="1" applyFill="1" applyBorder="1" applyAlignment="1" applyProtection="1">
      <alignment horizontal="center" vertical="center" wrapText="1"/>
    </xf>
    <xf numFmtId="169" fontId="24" fillId="17" borderId="208" xfId="0" applyNumberFormat="1" applyFont="1" applyFill="1" applyBorder="1" applyAlignment="1" applyProtection="1">
      <alignment horizontal="center" vertical="center" wrapText="1"/>
    </xf>
    <xf numFmtId="0" fontId="26" fillId="0" borderId="0" xfId="0" applyFont="1" applyBorder="1" applyAlignment="1" applyProtection="1">
      <alignment horizontal="left" vertical="center" indent="2"/>
    </xf>
    <xf numFmtId="0" fontId="14" fillId="15" borderId="80" xfId="0" applyFont="1" applyFill="1" applyBorder="1" applyAlignment="1" applyProtection="1">
      <alignment horizontal="center" vertical="center" wrapText="1"/>
    </xf>
    <xf numFmtId="0" fontId="14" fillId="15" borderId="82" xfId="0" applyFont="1" applyFill="1" applyBorder="1" applyAlignment="1" applyProtection="1">
      <alignment horizontal="center" vertical="center" wrapText="1"/>
    </xf>
    <xf numFmtId="0" fontId="14" fillId="15" borderId="86" xfId="0" applyFont="1" applyFill="1" applyBorder="1" applyAlignment="1" applyProtection="1">
      <alignment horizontal="center" vertical="center" wrapText="1"/>
    </xf>
    <xf numFmtId="0" fontId="14" fillId="15" borderId="43" xfId="0" applyFont="1" applyFill="1" applyBorder="1" applyAlignment="1" applyProtection="1">
      <alignment horizontal="center" vertical="center" wrapText="1"/>
    </xf>
    <xf numFmtId="0" fontId="24" fillId="11" borderId="135" xfId="0" applyFont="1" applyFill="1" applyBorder="1" applyAlignment="1" applyProtection="1">
      <alignment horizontal="center" vertical="center" wrapText="1"/>
    </xf>
    <xf numFmtId="0" fontId="24" fillId="11" borderId="136" xfId="0" applyFont="1" applyFill="1" applyBorder="1" applyAlignment="1" applyProtection="1">
      <alignment horizontal="center" vertical="center" wrapText="1"/>
    </xf>
    <xf numFmtId="0" fontId="24" fillId="11" borderId="137" xfId="0" applyFont="1" applyFill="1" applyBorder="1" applyAlignment="1" applyProtection="1">
      <alignment horizontal="center" vertical="center" wrapText="1"/>
    </xf>
    <xf numFmtId="178" fontId="24" fillId="29" borderId="135" xfId="0" applyNumberFormat="1" applyFont="1" applyFill="1" applyBorder="1" applyAlignment="1" applyProtection="1">
      <alignment horizontal="right" vertical="center"/>
    </xf>
    <xf numFmtId="178" fontId="24" fillId="29" borderId="136" xfId="0" applyNumberFormat="1" applyFont="1" applyFill="1" applyBorder="1" applyAlignment="1" applyProtection="1">
      <alignment horizontal="right" vertical="center"/>
    </xf>
    <xf numFmtId="178" fontId="24" fillId="29" borderId="137" xfId="0" applyNumberFormat="1" applyFont="1" applyFill="1" applyBorder="1" applyAlignment="1" applyProtection="1">
      <alignment horizontal="right" vertical="center"/>
    </xf>
    <xf numFmtId="0" fontId="14" fillId="27" borderId="135" xfId="0" applyFont="1" applyFill="1" applyBorder="1" applyAlignment="1" applyProtection="1">
      <alignment horizontal="center" vertical="center" wrapText="1"/>
    </xf>
    <xf numFmtId="0" fontId="14" fillId="27" borderId="13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4" fillId="16" borderId="215" xfId="0" applyFont="1" applyFill="1" applyBorder="1" applyAlignment="1" applyProtection="1">
      <alignment horizontal="center" vertical="center" wrapText="1"/>
    </xf>
    <xf numFmtId="0" fontId="14" fillId="16" borderId="111" xfId="0" applyFont="1" applyFill="1" applyBorder="1" applyAlignment="1" applyProtection="1">
      <alignment horizontal="center" vertical="center" wrapText="1"/>
    </xf>
    <xf numFmtId="0" fontId="14" fillId="16" borderId="216" xfId="0" applyFont="1" applyFill="1" applyBorder="1" applyAlignment="1" applyProtection="1">
      <alignment horizontal="center" vertical="center" wrapText="1"/>
    </xf>
    <xf numFmtId="0" fontId="14" fillId="16" borderId="104" xfId="0" applyFont="1" applyFill="1" applyBorder="1" applyAlignment="1" applyProtection="1">
      <alignment horizontal="center" vertical="center" wrapText="1"/>
    </xf>
    <xf numFmtId="0" fontId="14" fillId="16" borderId="214" xfId="0" applyFont="1" applyFill="1" applyBorder="1" applyAlignment="1" applyProtection="1">
      <alignment horizontal="center" vertical="center" wrapText="1"/>
    </xf>
    <xf numFmtId="0" fontId="14" fillId="16" borderId="124" xfId="0" applyFont="1" applyFill="1" applyBorder="1" applyAlignment="1" applyProtection="1">
      <alignment horizontal="center" vertical="center" wrapText="1"/>
    </xf>
    <xf numFmtId="0" fontId="14" fillId="16" borderId="135" xfId="0" applyFont="1" applyFill="1" applyBorder="1" applyAlignment="1" applyProtection="1">
      <alignment horizontal="center" vertical="center" wrapText="1"/>
    </xf>
    <xf numFmtId="0" fontId="14" fillId="16" borderId="137" xfId="0" applyFont="1" applyFill="1" applyBorder="1" applyAlignment="1" applyProtection="1">
      <alignment horizontal="center" vertical="center" wrapText="1"/>
    </xf>
    <xf numFmtId="0" fontId="14" fillId="16" borderId="214" xfId="0" applyFont="1" applyFill="1" applyBorder="1" applyAlignment="1" applyProtection="1">
      <alignment horizontal="center" vertical="center"/>
    </xf>
    <xf numFmtId="0" fontId="14" fillId="16" borderId="124" xfId="0" applyFont="1" applyFill="1" applyBorder="1" applyAlignment="1" applyProtection="1">
      <alignment horizontal="center" vertical="center"/>
    </xf>
    <xf numFmtId="0" fontId="14" fillId="16" borderId="215" xfId="0" applyFont="1" applyFill="1" applyBorder="1" applyAlignment="1" applyProtection="1">
      <alignment horizontal="center" vertical="center"/>
    </xf>
    <xf numFmtId="0" fontId="14" fillId="16" borderId="111" xfId="0" applyFont="1" applyFill="1" applyBorder="1" applyAlignment="1" applyProtection="1">
      <alignment horizontal="center" vertical="center"/>
    </xf>
    <xf numFmtId="0" fontId="23" fillId="0" borderId="186" xfId="0" applyFont="1" applyFill="1" applyBorder="1" applyAlignment="1" applyProtection="1">
      <alignment horizontal="center" vertical="center" wrapText="1"/>
    </xf>
    <xf numFmtId="0" fontId="23" fillId="0" borderId="187" xfId="0" applyFont="1" applyFill="1" applyBorder="1" applyAlignment="1" applyProtection="1">
      <alignment horizontal="center" vertical="center" wrapText="1"/>
    </xf>
    <xf numFmtId="0" fontId="23" fillId="0" borderId="188" xfId="0" applyFont="1" applyFill="1" applyBorder="1" applyAlignment="1" applyProtection="1">
      <alignment horizontal="center" vertical="center" wrapText="1"/>
    </xf>
    <xf numFmtId="0" fontId="14" fillId="16" borderId="102" xfId="0" applyFont="1" applyFill="1" applyBorder="1" applyAlignment="1" applyProtection="1">
      <alignment horizontal="center" vertical="center" wrapText="1"/>
    </xf>
    <xf numFmtId="0" fontId="14" fillId="16" borderId="103" xfId="0" applyFont="1" applyFill="1" applyBorder="1" applyAlignment="1" applyProtection="1">
      <alignment horizontal="center" vertical="center" wrapText="1"/>
    </xf>
    <xf numFmtId="0" fontId="24" fillId="12" borderId="9" xfId="0" applyFont="1" applyFill="1" applyBorder="1" applyAlignment="1" applyProtection="1">
      <alignment horizontal="center" vertical="center"/>
      <protection locked="0"/>
    </xf>
    <xf numFmtId="0" fontId="24" fillId="12" borderId="50" xfId="0" applyFont="1" applyFill="1" applyBorder="1" applyAlignment="1" applyProtection="1">
      <alignment horizontal="center" vertical="center"/>
      <protection locked="0"/>
    </xf>
    <xf numFmtId="0" fontId="24" fillId="12" borderId="10" xfId="0" applyFont="1" applyFill="1" applyBorder="1" applyAlignment="1" applyProtection="1">
      <alignment horizontal="center" vertical="center"/>
      <protection locked="0"/>
    </xf>
    <xf numFmtId="0" fontId="14" fillId="16" borderId="140" xfId="0" applyFont="1" applyFill="1" applyBorder="1" applyAlignment="1" applyProtection="1">
      <alignment horizontal="center" vertical="center"/>
    </xf>
    <xf numFmtId="0" fontId="14" fillId="16" borderId="101" xfId="0" applyFont="1" applyFill="1" applyBorder="1" applyAlignment="1" applyProtection="1">
      <alignment horizontal="center" vertical="center"/>
    </xf>
    <xf numFmtId="0" fontId="24" fillId="15" borderId="94" xfId="0" applyFont="1" applyFill="1" applyBorder="1" applyAlignment="1" applyProtection="1">
      <alignment horizontal="center" vertical="center" wrapText="1"/>
    </xf>
    <xf numFmtId="0" fontId="24" fillId="15" borderId="180" xfId="0" applyFont="1" applyFill="1" applyBorder="1" applyAlignment="1" applyProtection="1">
      <alignment horizontal="center" vertical="center" wrapText="1"/>
    </xf>
    <xf numFmtId="0" fontId="24" fillId="15" borderId="98" xfId="0" applyFont="1" applyFill="1" applyBorder="1" applyAlignment="1" applyProtection="1">
      <alignment horizontal="center" vertical="center" wrapText="1"/>
    </xf>
    <xf numFmtId="0" fontId="24" fillId="15" borderId="189" xfId="0" applyFont="1" applyFill="1" applyBorder="1" applyAlignment="1" applyProtection="1">
      <alignment horizontal="center" vertical="center" wrapText="1"/>
    </xf>
    <xf numFmtId="0" fontId="14" fillId="16" borderId="142" xfId="0" applyFont="1" applyFill="1" applyBorder="1" applyAlignment="1" applyProtection="1">
      <alignment horizontal="center" vertical="center"/>
    </xf>
    <xf numFmtId="0" fontId="14" fillId="16" borderId="97" xfId="0" applyFont="1" applyFill="1" applyBorder="1" applyAlignment="1" applyProtection="1">
      <alignment horizontal="center" vertical="center"/>
    </xf>
    <xf numFmtId="169" fontId="14" fillId="17" borderId="100" xfId="0" applyNumberFormat="1" applyFont="1" applyFill="1" applyBorder="1" applyAlignment="1" applyProtection="1">
      <alignment horizontal="center" vertical="center" wrapText="1"/>
    </xf>
    <xf numFmtId="169" fontId="14" fillId="17" borderId="96" xfId="0" applyNumberFormat="1" applyFont="1" applyFill="1" applyBorder="1" applyAlignment="1" applyProtection="1">
      <alignment horizontal="center" vertical="center" wrapText="1"/>
    </xf>
    <xf numFmtId="169" fontId="14" fillId="17" borderId="95" xfId="0" applyNumberFormat="1" applyFont="1" applyFill="1" applyBorder="1" applyAlignment="1" applyProtection="1">
      <alignment horizontal="center" vertical="center" wrapText="1"/>
    </xf>
    <xf numFmtId="0" fontId="0" fillId="38" borderId="28" xfId="0" applyFont="1" applyFill="1" applyBorder="1" applyAlignment="1" applyProtection="1">
      <alignment horizontal="left" vertical="center" wrapText="1"/>
    </xf>
    <xf numFmtId="0" fontId="0" fillId="38" borderId="19" xfId="0" applyFont="1" applyFill="1" applyBorder="1" applyAlignment="1" applyProtection="1">
      <alignment horizontal="left" vertical="center" wrapText="1"/>
    </xf>
    <xf numFmtId="0" fontId="0" fillId="38" borderId="34" xfId="0" applyFont="1" applyFill="1" applyBorder="1" applyAlignment="1" applyProtection="1">
      <alignment horizontal="left" vertical="center" wrapText="1"/>
    </xf>
    <xf numFmtId="0" fontId="0" fillId="38" borderId="29" xfId="0" applyFont="1" applyFill="1" applyBorder="1" applyAlignment="1" applyProtection="1">
      <alignment horizontal="left" vertical="center" wrapText="1"/>
    </xf>
    <xf numFmtId="0" fontId="0" fillId="38" borderId="0" xfId="0" applyFont="1" applyFill="1" applyBorder="1" applyAlignment="1" applyProtection="1">
      <alignment horizontal="left" vertical="center" wrapText="1"/>
    </xf>
    <xf numFmtId="0" fontId="0" fillId="38" borderId="35" xfId="0" applyFont="1" applyFill="1" applyBorder="1" applyAlignment="1" applyProtection="1">
      <alignment horizontal="left" vertical="center" wrapText="1"/>
    </xf>
    <xf numFmtId="0" fontId="0" fillId="38" borderId="20" xfId="0" applyFont="1" applyFill="1" applyBorder="1" applyAlignment="1" applyProtection="1">
      <alignment horizontal="left" vertical="center" wrapText="1"/>
    </xf>
    <xf numFmtId="0" fontId="0" fillId="38" borderId="15" xfId="0" applyFont="1" applyFill="1" applyBorder="1" applyAlignment="1" applyProtection="1">
      <alignment horizontal="left" vertical="center" wrapText="1"/>
    </xf>
    <xf numFmtId="0" fontId="0" fillId="38" borderId="17" xfId="0" applyFont="1" applyFill="1" applyBorder="1" applyAlignment="1" applyProtection="1">
      <alignment horizontal="left" vertical="center" wrapText="1"/>
    </xf>
    <xf numFmtId="0" fontId="37" fillId="0" borderId="0" xfId="0" applyFont="1" applyAlignment="1" applyProtection="1">
      <alignment horizontal="left" wrapText="1"/>
      <protection locked="0"/>
    </xf>
    <xf numFmtId="0" fontId="0" fillId="0" borderId="198" xfId="0" applyBorder="1" applyAlignment="1" applyProtection="1">
      <alignment horizontal="center"/>
      <protection locked="0"/>
    </xf>
    <xf numFmtId="0" fontId="0" fillId="0" borderId="225" xfId="0" applyBorder="1" applyAlignment="1" applyProtection="1">
      <alignment horizontal="center"/>
      <protection locked="0"/>
    </xf>
    <xf numFmtId="0" fontId="0" fillId="0" borderId="255" xfId="0" applyBorder="1" applyAlignment="1" applyProtection="1">
      <alignment horizontal="center"/>
      <protection locked="0"/>
    </xf>
    <xf numFmtId="0" fontId="0" fillId="0" borderId="244" xfId="0" applyBorder="1" applyAlignment="1" applyProtection="1">
      <alignment horizontal="center"/>
      <protection locked="0"/>
    </xf>
    <xf numFmtId="0" fontId="0" fillId="58" borderId="23" xfId="0" applyFill="1" applyBorder="1" applyAlignment="1" applyProtection="1">
      <alignment horizontal="center" vertical="center"/>
      <protection locked="0"/>
    </xf>
    <xf numFmtId="0" fontId="0" fillId="58" borderId="149" xfId="0" applyFill="1" applyBorder="1" applyAlignment="1" applyProtection="1">
      <alignment horizontal="center" vertical="center"/>
      <protection locked="0"/>
    </xf>
    <xf numFmtId="0" fontId="0" fillId="58" borderId="159" xfId="0" applyFill="1" applyBorder="1" applyAlignment="1" applyProtection="1">
      <alignment horizontal="center" vertical="center"/>
      <protection locked="0"/>
    </xf>
    <xf numFmtId="0" fontId="37" fillId="58" borderId="23" xfId="0" applyFont="1" applyFill="1" applyBorder="1" applyAlignment="1" applyProtection="1">
      <alignment horizontal="center" vertical="center"/>
      <protection locked="0"/>
    </xf>
    <xf numFmtId="0" fontId="37" fillId="58" borderId="149" xfId="0" applyFont="1" applyFill="1" applyBorder="1" applyAlignment="1" applyProtection="1">
      <alignment horizontal="center" vertical="center"/>
      <protection locked="0"/>
    </xf>
    <xf numFmtId="0" fontId="37" fillId="58" borderId="159" xfId="0" applyFont="1" applyFill="1" applyBorder="1" applyAlignment="1" applyProtection="1">
      <alignment horizontal="center" vertical="center"/>
      <protection locked="0"/>
    </xf>
    <xf numFmtId="0" fontId="35" fillId="0" borderId="0" xfId="0" applyFont="1" applyAlignment="1" applyProtection="1">
      <alignment horizontal="left" vertical="center" wrapText="1"/>
      <protection locked="0"/>
    </xf>
    <xf numFmtId="0" fontId="35" fillId="0" borderId="0" xfId="0" applyFont="1" applyAlignment="1" applyProtection="1">
      <alignment horizontal="left" wrapText="1"/>
      <protection locked="0"/>
    </xf>
    <xf numFmtId="0" fontId="21" fillId="58" borderId="53" xfId="0" applyFont="1" applyFill="1" applyBorder="1" applyAlignment="1" applyProtection="1">
      <alignment horizontal="center" vertical="center"/>
      <protection locked="0"/>
    </xf>
    <xf numFmtId="0" fontId="21" fillId="58" borderId="19" xfId="0" applyFont="1" applyFill="1" applyBorder="1" applyAlignment="1" applyProtection="1">
      <alignment horizontal="center" vertical="center"/>
      <protection locked="0"/>
    </xf>
    <xf numFmtId="0" fontId="21" fillId="58" borderId="251" xfId="0" applyFont="1" applyFill="1" applyBorder="1" applyAlignment="1" applyProtection="1">
      <alignment horizontal="center" vertical="center"/>
      <protection locked="0"/>
    </xf>
    <xf numFmtId="0" fontId="21" fillId="58" borderId="252" xfId="0" applyFont="1" applyFill="1" applyBorder="1" applyAlignment="1" applyProtection="1">
      <alignment horizontal="center" vertical="center"/>
      <protection locked="0"/>
    </xf>
    <xf numFmtId="0" fontId="21" fillId="58" borderId="34" xfId="0" applyFont="1" applyFill="1" applyBorder="1" applyAlignment="1" applyProtection="1">
      <alignment horizontal="center" vertical="center"/>
      <protection locked="0"/>
    </xf>
    <xf numFmtId="0" fontId="21" fillId="58" borderId="213" xfId="0" applyFont="1" applyFill="1" applyBorder="1" applyAlignment="1" applyProtection="1">
      <alignment horizontal="center" vertical="center"/>
      <protection locked="0"/>
    </xf>
    <xf numFmtId="0" fontId="0" fillId="58" borderId="53" xfId="0" applyFill="1" applyBorder="1" applyAlignment="1" applyProtection="1">
      <alignment horizontal="left" wrapText="1"/>
      <protection locked="0"/>
    </xf>
    <xf numFmtId="0" fontId="0" fillId="58" borderId="34" xfId="0" applyFill="1" applyBorder="1" applyAlignment="1" applyProtection="1">
      <alignment horizontal="left" wrapText="1"/>
      <protection locked="0"/>
    </xf>
    <xf numFmtId="0" fontId="0" fillId="58" borderId="151" xfId="0" applyFill="1" applyBorder="1" applyAlignment="1" applyProtection="1">
      <alignment horizontal="left" wrapText="1"/>
      <protection locked="0"/>
    </xf>
    <xf numFmtId="0" fontId="0" fillId="58" borderId="0" xfId="0" applyFill="1" applyBorder="1" applyAlignment="1" applyProtection="1">
      <alignment horizontal="left" wrapText="1"/>
      <protection locked="0"/>
    </xf>
    <xf numFmtId="0" fontId="0" fillId="58" borderId="53" xfId="0" applyFont="1" applyFill="1" applyBorder="1" applyAlignment="1" applyProtection="1">
      <alignment horizontal="left" vertical="center"/>
      <protection locked="0"/>
    </xf>
    <xf numFmtId="0" fontId="21" fillId="58" borderId="19" xfId="0" applyFont="1" applyFill="1" applyBorder="1" applyAlignment="1" applyProtection="1">
      <alignment horizontal="left" vertical="center"/>
      <protection locked="0"/>
    </xf>
    <xf numFmtId="0" fontId="21" fillId="58" borderId="34" xfId="0" applyFont="1" applyFill="1" applyBorder="1" applyAlignment="1" applyProtection="1">
      <alignment horizontal="left" vertical="center"/>
      <protection locked="0"/>
    </xf>
    <xf numFmtId="0" fontId="21" fillId="58" borderId="151" xfId="0" applyFont="1" applyFill="1" applyBorder="1" applyAlignment="1" applyProtection="1">
      <alignment horizontal="left" vertical="center"/>
      <protection locked="0"/>
    </xf>
    <xf numFmtId="0" fontId="21" fillId="58" borderId="0" xfId="0" applyFont="1" applyFill="1" applyBorder="1" applyAlignment="1" applyProtection="1">
      <alignment horizontal="left" vertical="center"/>
      <protection locked="0"/>
    </xf>
    <xf numFmtId="0" fontId="21" fillId="58" borderId="250" xfId="0" applyFont="1" applyFill="1" applyBorder="1" applyAlignment="1" applyProtection="1">
      <alignment horizontal="left" vertical="center"/>
      <protection locked="0"/>
    </xf>
    <xf numFmtId="0" fontId="21" fillId="58" borderId="251" xfId="0" applyFont="1" applyFill="1" applyBorder="1" applyAlignment="1" applyProtection="1">
      <alignment horizontal="left" vertical="center"/>
      <protection locked="0"/>
    </xf>
    <xf numFmtId="0" fontId="21" fillId="58" borderId="252" xfId="0" applyFont="1" applyFill="1" applyBorder="1" applyAlignment="1" applyProtection="1">
      <alignment horizontal="left" vertical="center"/>
      <protection locked="0"/>
    </xf>
    <xf numFmtId="0" fontId="21" fillId="58" borderId="213" xfId="0" applyFont="1" applyFill="1" applyBorder="1" applyAlignment="1" applyProtection="1">
      <alignment horizontal="left" vertical="center"/>
      <protection locked="0"/>
    </xf>
    <xf numFmtId="0" fontId="0" fillId="58" borderId="53" xfId="0" applyFill="1" applyBorder="1" applyAlignment="1" applyProtection="1">
      <alignment horizontal="left"/>
      <protection locked="0"/>
    </xf>
    <xf numFmtId="0" fontId="0" fillId="58" borderId="19" xfId="0" applyFill="1" applyBorder="1" applyAlignment="1" applyProtection="1">
      <alignment horizontal="left"/>
      <protection locked="0"/>
    </xf>
    <xf numFmtId="0" fontId="0" fillId="58" borderId="34" xfId="0" applyFill="1" applyBorder="1" applyAlignment="1" applyProtection="1">
      <alignment horizontal="left"/>
      <protection locked="0"/>
    </xf>
    <xf numFmtId="0" fontId="0" fillId="58" borderId="251" xfId="0" applyFill="1" applyBorder="1" applyAlignment="1" applyProtection="1">
      <alignment horizontal="left"/>
      <protection locked="0"/>
    </xf>
    <xf numFmtId="0" fontId="0" fillId="58" borderId="252" xfId="0" applyFill="1" applyBorder="1" applyAlignment="1" applyProtection="1">
      <alignment horizontal="left"/>
      <protection locked="0"/>
    </xf>
    <xf numFmtId="0" fontId="0" fillId="58" borderId="213" xfId="0" applyFill="1" applyBorder="1" applyAlignment="1" applyProtection="1">
      <alignment horizontal="left"/>
      <protection locked="0"/>
    </xf>
    <xf numFmtId="0" fontId="0" fillId="58" borderId="151" xfId="0" applyFill="1" applyBorder="1" applyAlignment="1" applyProtection="1">
      <alignment horizontal="left"/>
      <protection locked="0"/>
    </xf>
    <xf numFmtId="0" fontId="0" fillId="58" borderId="0" xfId="0" applyFill="1" applyBorder="1" applyAlignment="1" applyProtection="1">
      <alignment horizontal="left"/>
      <protection locked="0"/>
    </xf>
    <xf numFmtId="0" fontId="0" fillId="58" borderId="250" xfId="0" applyFill="1" applyBorder="1" applyAlignment="1" applyProtection="1">
      <alignment horizontal="left"/>
      <protection locked="0"/>
    </xf>
    <xf numFmtId="0" fontId="0" fillId="58" borderId="34" xfId="0" applyFont="1" applyFill="1" applyBorder="1" applyAlignment="1" applyProtection="1">
      <alignment horizontal="left" vertical="center"/>
      <protection locked="0"/>
    </xf>
    <xf numFmtId="0" fontId="0" fillId="58" borderId="151" xfId="0" applyFont="1" applyFill="1" applyBorder="1" applyAlignment="1" applyProtection="1">
      <alignment horizontal="left" vertical="center"/>
      <protection locked="0"/>
    </xf>
    <xf numFmtId="0" fontId="0" fillId="58" borderId="250" xfId="0" applyFont="1" applyFill="1" applyBorder="1" applyAlignment="1" applyProtection="1">
      <alignment horizontal="left" vertical="center"/>
      <protection locked="0"/>
    </xf>
    <xf numFmtId="0" fontId="0" fillId="58" borderId="251" xfId="0" applyFont="1" applyFill="1" applyBorder="1" applyAlignment="1" applyProtection="1">
      <alignment horizontal="left" vertical="center"/>
      <protection locked="0"/>
    </xf>
    <xf numFmtId="0" fontId="0" fillId="58" borderId="213" xfId="0" applyFont="1" applyFill="1" applyBorder="1" applyAlignment="1" applyProtection="1">
      <alignment horizontal="left" vertical="center"/>
      <protection locked="0"/>
    </xf>
    <xf numFmtId="0" fontId="0" fillId="58" borderId="23" xfId="0" applyFont="1" applyFill="1" applyBorder="1" applyAlignment="1" applyProtection="1">
      <alignment horizontal="center" vertical="center"/>
      <protection locked="0"/>
    </xf>
    <xf numFmtId="0" fontId="0" fillId="58" borderId="149" xfId="0" applyFont="1" applyFill="1" applyBorder="1" applyAlignment="1" applyProtection="1">
      <alignment horizontal="center" vertical="center"/>
      <protection locked="0"/>
    </xf>
    <xf numFmtId="0" fontId="0" fillId="58" borderId="159" xfId="0" applyFont="1" applyFill="1" applyBorder="1" applyAlignment="1" applyProtection="1">
      <alignment horizontal="center" vertical="center"/>
      <protection locked="0"/>
    </xf>
    <xf numFmtId="0" fontId="48" fillId="12" borderId="249" xfId="0" applyFont="1" applyFill="1" applyBorder="1" applyAlignment="1" applyProtection="1">
      <alignment horizontal="center" vertical="center"/>
      <protection locked="0"/>
    </xf>
    <xf numFmtId="0" fontId="48" fillId="12" borderId="254" xfId="0" applyFont="1" applyFill="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wrapText="1"/>
      <protection locked="0"/>
    </xf>
    <xf numFmtId="0" fontId="41" fillId="0" borderId="0"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21" fillId="58" borderId="149" xfId="0" applyFont="1" applyFill="1" applyBorder="1" applyAlignment="1" applyProtection="1">
      <alignment horizontal="center" vertical="center"/>
      <protection locked="0"/>
    </xf>
    <xf numFmtId="0" fontId="21" fillId="58" borderId="159" xfId="0" applyFont="1" applyFill="1" applyBorder="1" applyAlignment="1" applyProtection="1">
      <alignment horizontal="center" vertical="center"/>
      <protection locked="0"/>
    </xf>
    <xf numFmtId="0" fontId="0" fillId="58" borderId="34" xfId="0" applyFill="1" applyBorder="1" applyAlignment="1" applyProtection="1">
      <alignment horizontal="center"/>
      <protection locked="0"/>
    </xf>
    <xf numFmtId="0" fontId="0" fillId="58" borderId="250" xfId="0" applyFill="1" applyBorder="1" applyAlignment="1" applyProtection="1">
      <alignment horizontal="center"/>
      <protection locked="0"/>
    </xf>
    <xf numFmtId="0" fontId="0" fillId="58" borderId="213" xfId="0" applyFill="1" applyBorder="1" applyAlignment="1" applyProtection="1">
      <alignment horizontal="center"/>
      <protection locked="0"/>
    </xf>
    <xf numFmtId="0" fontId="41" fillId="0" borderId="249" xfId="0" applyFont="1" applyBorder="1" applyAlignment="1" applyProtection="1">
      <alignment horizontal="center" vertical="center" wrapText="1"/>
      <protection locked="0"/>
    </xf>
    <xf numFmtId="0" fontId="41" fillId="0" borderId="253" xfId="0" applyFont="1" applyBorder="1" applyAlignment="1" applyProtection="1">
      <alignment horizontal="center" vertical="center" wrapText="1"/>
      <protection locked="0"/>
    </xf>
    <xf numFmtId="0" fontId="41" fillId="0" borderId="34" xfId="0" applyFont="1" applyBorder="1" applyAlignment="1" applyProtection="1">
      <alignment horizontal="center" vertical="center" wrapText="1"/>
      <protection locked="0"/>
    </xf>
    <xf numFmtId="0" fontId="26" fillId="0" borderId="0" xfId="0" applyFont="1" applyAlignment="1">
      <alignment horizontal="left" vertical="center" indent="2"/>
    </xf>
  </cellXfs>
  <cellStyles count="37">
    <cellStyle name="Accent" xfId="1"/>
    <cellStyle name="Accent 1" xfId="2"/>
    <cellStyle name="Accent 2" xfId="3"/>
    <cellStyle name="Accent 3" xfId="4"/>
    <cellStyle name="Bad" xfId="5"/>
    <cellStyle name="Error" xfId="6"/>
    <cellStyle name="Euro" xfId="21"/>
    <cellStyle name="Euro 2" xfId="22"/>
    <cellStyle name="Euro 3" xfId="23"/>
    <cellStyle name="Footnote" xfId="7"/>
    <cellStyle name="Good" xfId="8"/>
    <cellStyle name="Heading" xfId="9"/>
    <cellStyle name="Heading 1" xfId="10"/>
    <cellStyle name="Heading 2" xfId="11"/>
    <cellStyle name="Hipervínculo" xfId="20" builtinId="8"/>
    <cellStyle name="Millares" xfId="12" builtinId="3"/>
    <cellStyle name="Millares 2" xfId="24"/>
    <cellStyle name="Millares 3" xfId="33"/>
    <cellStyle name="Millares 3 2" xfId="36"/>
    <cellStyle name="Moneda" xfId="13" builtinId="4"/>
    <cellStyle name="Moneda [0]" xfId="31" builtinId="7"/>
    <cellStyle name="Moneda 2" xfId="26"/>
    <cellStyle name="Moneda 3" xfId="25"/>
    <cellStyle name="Neutral" xfId="14" builtinId="28" customBuiltin="1"/>
    <cellStyle name="Normal" xfId="0" builtinId="0"/>
    <cellStyle name="Normal 2" xfId="27"/>
    <cellStyle name="Normal 3" xfId="28"/>
    <cellStyle name="Normal 4" xfId="29"/>
    <cellStyle name="Normal 5" xfId="32"/>
    <cellStyle name="Normal 5 2" xfId="35"/>
    <cellStyle name="Note" xfId="15"/>
    <cellStyle name="Note 2" xfId="34"/>
    <cellStyle name="Porcentaje" xfId="16" builtinId="5"/>
    <cellStyle name="Porcentaje 2" xfId="30"/>
    <cellStyle name="Status" xfId="17"/>
    <cellStyle name="Text" xfId="18"/>
    <cellStyle name="Warning" xfId="19"/>
  </cellStyles>
  <dxfs count="9">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theme="0"/>
        </patternFill>
      </fill>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AC090"/>
      <rgbColor rgb="003366FF"/>
      <rgbColor rgb="0033CCCC"/>
      <rgbColor rgb="0092D05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CC00FF"/>
      <color rgb="FF000099"/>
      <color rgb="FFCCFFCC"/>
      <color rgb="FF0000CC"/>
      <color rgb="FFFF0909"/>
      <color rgb="FF69D8FF"/>
      <color rgb="FF00A249"/>
      <color rgb="FFCC0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hyperlink" Target="#'B) Reajuste Tarifas y Ocupaci&#243;n'!A32"/></Relationships>
</file>

<file path=xl/drawings/_rels/drawing3.xml.rels><?xml version="1.0" encoding="UTF-8" standalone="yes"?>
<Relationships xmlns="http://schemas.openxmlformats.org/package/2006/relationships"><Relationship Id="rId3" Type="http://schemas.openxmlformats.org/officeDocument/2006/relationships/hyperlink" Target="#'D) Costos Indirectos'!Z9"/><Relationship Id="rId2" Type="http://schemas.openxmlformats.org/officeDocument/2006/relationships/hyperlink" Target="#'D) Costos Indirectos'!U9"/><Relationship Id="rId1" Type="http://schemas.openxmlformats.org/officeDocument/2006/relationships/hyperlink" Target="#'D) Costos Indirectos'!M9"/><Relationship Id="rId6" Type="http://schemas.openxmlformats.org/officeDocument/2006/relationships/hyperlink" Target="#'D) Costos Indirectos'!AN9"/><Relationship Id="rId5" Type="http://schemas.openxmlformats.org/officeDocument/2006/relationships/hyperlink" Target="#'D) Costos Indirectos'!A1"/><Relationship Id="rId4" Type="http://schemas.openxmlformats.org/officeDocument/2006/relationships/hyperlink" Target="#'D) Costos Indirectos'!AG9"/></Relationships>
</file>

<file path=xl/drawings/drawing1.xml><?xml version="1.0" encoding="utf-8"?>
<xdr:wsDr xmlns:xdr="http://schemas.openxmlformats.org/drawingml/2006/spreadsheetDrawing" xmlns:a="http://schemas.openxmlformats.org/drawingml/2006/main">
  <xdr:twoCellAnchor>
    <xdr:from>
      <xdr:col>0</xdr:col>
      <xdr:colOff>285749</xdr:colOff>
      <xdr:row>3</xdr:row>
      <xdr:rowOff>119062</xdr:rowOff>
    </xdr:from>
    <xdr:to>
      <xdr:col>8</xdr:col>
      <xdr:colOff>285751</xdr:colOff>
      <xdr:row>5</xdr:row>
      <xdr:rowOff>71437</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285749" y="604837"/>
          <a:ext cx="6096002" cy="276225"/>
        </a:xfrm>
        <a:prstGeom prst="rect">
          <a:avLst/>
        </a:prstGeom>
        <a:solidFill>
          <a:srgbClr val="FFFF00"/>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050" b="1" baseline="0">
              <a:latin typeface="Arial" panose="020B0604020202020204" pitchFamily="34" charset="0"/>
              <a:cs typeface="Arial" panose="020B0604020202020204" pitchFamily="34" charset="0"/>
            </a:rPr>
            <a:t>INGRESE LOS DATOS EN LAS CELDAS DESTACADAS EN COLOR AMARILLO Y NARANJO</a:t>
          </a:r>
          <a:endParaRPr lang="es-CL" sz="105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7</xdr:row>
      <xdr:rowOff>0</xdr:rowOff>
    </xdr:from>
    <xdr:to>
      <xdr:col>17</xdr:col>
      <xdr:colOff>325597</xdr:colOff>
      <xdr:row>56</xdr:row>
      <xdr:rowOff>80472</xdr:rowOff>
    </xdr:to>
    <xdr:pic>
      <xdr:nvPicPr>
        <xdr:cNvPr id="13" name="Imagen 12">
          <a:extLst>
            <a:ext uri="{FF2B5EF4-FFF2-40B4-BE49-F238E27FC236}">
              <a16:creationId xmlns:a16="http://schemas.microsoft.com/office/drawing/2014/main" id="{7956C0CB-E9A5-41FA-85FD-55FA4CA51C9B}"/>
            </a:ext>
          </a:extLst>
        </xdr:cNvPr>
        <xdr:cNvPicPr>
          <a:picLocks noChangeAspect="1"/>
        </xdr:cNvPicPr>
      </xdr:nvPicPr>
      <xdr:blipFill>
        <a:blip xmlns:r="http://schemas.openxmlformats.org/officeDocument/2006/relationships" r:embed="rId1"/>
        <a:stretch>
          <a:fillRect/>
        </a:stretch>
      </xdr:blipFill>
      <xdr:spPr>
        <a:xfrm>
          <a:off x="762000" y="1111250"/>
          <a:ext cx="12517597" cy="7859222"/>
        </a:xfrm>
        <a:prstGeom prst="rect">
          <a:avLst/>
        </a:prstGeom>
      </xdr:spPr>
    </xdr:pic>
    <xdr:clientData/>
  </xdr:twoCellAnchor>
  <xdr:twoCellAnchor editAs="oneCell">
    <xdr:from>
      <xdr:col>1</xdr:col>
      <xdr:colOff>0</xdr:colOff>
      <xdr:row>58</xdr:row>
      <xdr:rowOff>0</xdr:rowOff>
    </xdr:from>
    <xdr:to>
      <xdr:col>17</xdr:col>
      <xdr:colOff>354176</xdr:colOff>
      <xdr:row>108</xdr:row>
      <xdr:rowOff>45564</xdr:rowOff>
    </xdr:to>
    <xdr:pic>
      <xdr:nvPicPr>
        <xdr:cNvPr id="14" name="Imagen 13">
          <a:extLst>
            <a:ext uri="{FF2B5EF4-FFF2-40B4-BE49-F238E27FC236}">
              <a16:creationId xmlns:a16="http://schemas.microsoft.com/office/drawing/2014/main" id="{5B5A2B27-1FE1-43EF-8EE7-20FEE486A0F6}"/>
            </a:ext>
          </a:extLst>
        </xdr:cNvPr>
        <xdr:cNvPicPr>
          <a:picLocks noChangeAspect="1"/>
        </xdr:cNvPicPr>
      </xdr:nvPicPr>
      <xdr:blipFill>
        <a:blip xmlns:r="http://schemas.openxmlformats.org/officeDocument/2006/relationships" r:embed="rId2"/>
        <a:stretch>
          <a:fillRect/>
        </a:stretch>
      </xdr:blipFill>
      <xdr:spPr>
        <a:xfrm>
          <a:off x="762000" y="9207500"/>
          <a:ext cx="12546176" cy="7983064"/>
        </a:xfrm>
        <a:prstGeom prst="rect">
          <a:avLst/>
        </a:prstGeom>
      </xdr:spPr>
    </xdr:pic>
    <xdr:clientData/>
  </xdr:twoCellAnchor>
  <xdr:twoCellAnchor editAs="oneCell">
    <xdr:from>
      <xdr:col>1</xdr:col>
      <xdr:colOff>0</xdr:colOff>
      <xdr:row>110</xdr:row>
      <xdr:rowOff>0</xdr:rowOff>
    </xdr:from>
    <xdr:to>
      <xdr:col>17</xdr:col>
      <xdr:colOff>306544</xdr:colOff>
      <xdr:row>159</xdr:row>
      <xdr:rowOff>137630</xdr:rowOff>
    </xdr:to>
    <xdr:pic>
      <xdr:nvPicPr>
        <xdr:cNvPr id="15" name="Imagen 14">
          <a:extLst>
            <a:ext uri="{FF2B5EF4-FFF2-40B4-BE49-F238E27FC236}">
              <a16:creationId xmlns:a16="http://schemas.microsoft.com/office/drawing/2014/main" id="{FA4D0AAC-A3D6-476A-9BFD-BDE1C7DD6CD1}"/>
            </a:ext>
          </a:extLst>
        </xdr:cNvPr>
        <xdr:cNvPicPr>
          <a:picLocks noChangeAspect="1"/>
        </xdr:cNvPicPr>
      </xdr:nvPicPr>
      <xdr:blipFill>
        <a:blip xmlns:r="http://schemas.openxmlformats.org/officeDocument/2006/relationships" r:embed="rId3"/>
        <a:stretch>
          <a:fillRect/>
        </a:stretch>
      </xdr:blipFill>
      <xdr:spPr>
        <a:xfrm>
          <a:off x="762000" y="17462500"/>
          <a:ext cx="12498544" cy="7916380"/>
        </a:xfrm>
        <a:prstGeom prst="rect">
          <a:avLst/>
        </a:prstGeom>
      </xdr:spPr>
    </xdr:pic>
    <xdr:clientData/>
  </xdr:twoCellAnchor>
  <xdr:twoCellAnchor editAs="oneCell">
    <xdr:from>
      <xdr:col>1</xdr:col>
      <xdr:colOff>0</xdr:colOff>
      <xdr:row>161</xdr:row>
      <xdr:rowOff>0</xdr:rowOff>
    </xdr:from>
    <xdr:to>
      <xdr:col>9</xdr:col>
      <xdr:colOff>48482</xdr:colOff>
      <xdr:row>210</xdr:row>
      <xdr:rowOff>137630</xdr:rowOff>
    </xdr:to>
    <xdr:pic>
      <xdr:nvPicPr>
        <xdr:cNvPr id="16" name="Imagen 15">
          <a:extLst>
            <a:ext uri="{FF2B5EF4-FFF2-40B4-BE49-F238E27FC236}">
              <a16:creationId xmlns:a16="http://schemas.microsoft.com/office/drawing/2014/main" id="{018625D1-9A74-4D08-8C8C-10B74D893F2D}"/>
            </a:ext>
          </a:extLst>
        </xdr:cNvPr>
        <xdr:cNvPicPr>
          <a:picLocks noChangeAspect="1"/>
        </xdr:cNvPicPr>
      </xdr:nvPicPr>
      <xdr:blipFill>
        <a:blip xmlns:r="http://schemas.openxmlformats.org/officeDocument/2006/relationships" r:embed="rId4"/>
        <a:stretch>
          <a:fillRect/>
        </a:stretch>
      </xdr:blipFill>
      <xdr:spPr>
        <a:xfrm>
          <a:off x="762000" y="25558750"/>
          <a:ext cx="6144482" cy="7916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369094</xdr:colOff>
      <xdr:row>1</xdr:row>
      <xdr:rowOff>71437</xdr:rowOff>
    </xdr:from>
    <xdr:to>
      <xdr:col>0</xdr:col>
      <xdr:colOff>1119190</xdr:colOff>
      <xdr:row>5</xdr:row>
      <xdr:rowOff>226217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369094" y="238125"/>
          <a:ext cx="750096" cy="881061"/>
        </a:xfrm>
        <a:prstGeom prst="rightArrow">
          <a:avLst>
            <a:gd name="adj1" fmla="val 50000"/>
            <a:gd name="adj2" fmla="val 50000"/>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a:t>
          </a:r>
        </a:p>
        <a:p>
          <a:pPr algn="ctr"/>
          <a:r>
            <a:rPr lang="es-CL" sz="1200" b="1">
              <a:solidFill>
                <a:srgbClr val="FF0000"/>
              </a:solidFill>
            </a:rPr>
            <a:t>TABLA</a:t>
          </a:r>
          <a:r>
            <a:rPr lang="es-CL" sz="1200" b="1" baseline="0">
              <a:solidFill>
                <a:srgbClr val="FF0000"/>
              </a:solidFill>
            </a:rPr>
            <a:t> 4</a:t>
          </a:r>
          <a:endParaRPr lang="es-CL"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1</xdr:row>
      <xdr:rowOff>0</xdr:rowOff>
    </xdr:from>
    <xdr:to>
      <xdr:col>1</xdr:col>
      <xdr:colOff>762000</xdr:colOff>
      <xdr:row>4</xdr:row>
      <xdr:rowOff>119062</xdr:rowOff>
    </xdr:to>
    <xdr:sp macro="" textlink="">
      <xdr:nvSpPr>
        <xdr:cNvPr id="2" name="Flecha: hacia abajo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47624" y="166688"/>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3" name="Flecha: hacia abajo 1">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bwMode="auto">
        <a:xfrm>
          <a:off x="1273969" y="190499"/>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5" name="Flecha: hacia abajo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2500312" y="202406"/>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7" name="Flecha: hacia abajo 1">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bwMode="auto">
        <a:xfrm>
          <a:off x="3750468" y="214313"/>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8" name="Flecha derecha 7">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bwMode="auto">
        <a:xfrm rot="10800000">
          <a:off x="37040344" y="381000"/>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9" name="Flecha derecha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bwMode="auto">
        <a:xfrm rot="10800000">
          <a:off x="29479875"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1" name="Flecha derecha 10">
          <a:hlinkClick xmlns:r="http://schemas.openxmlformats.org/officeDocument/2006/relationships" r:id="rId5"/>
          <a:extLst>
            <a:ext uri="{FF2B5EF4-FFF2-40B4-BE49-F238E27FC236}">
              <a16:creationId xmlns:a16="http://schemas.microsoft.com/office/drawing/2014/main" id="{00000000-0008-0000-0500-00000B000000}"/>
            </a:ext>
          </a:extLst>
        </xdr:cNvPr>
        <xdr:cNvSpPr/>
      </xdr:nvSpPr>
      <xdr:spPr bwMode="auto">
        <a:xfrm rot="10800000">
          <a:off x="2308621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2" name="Flecha derecha 11">
          <a:hlinkClick xmlns:r="http://schemas.openxmlformats.org/officeDocument/2006/relationships" r:id="rId5"/>
          <a:extLst>
            <a:ext uri="{FF2B5EF4-FFF2-40B4-BE49-F238E27FC236}">
              <a16:creationId xmlns:a16="http://schemas.microsoft.com/office/drawing/2014/main" id="{00000000-0008-0000-0500-00000C000000}"/>
            </a:ext>
          </a:extLst>
        </xdr:cNvPr>
        <xdr:cNvSpPr/>
      </xdr:nvSpPr>
      <xdr:spPr bwMode="auto">
        <a:xfrm rot="10800000">
          <a:off x="15156657" y="523876"/>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13" name="Flecha: hacia abajo 1">
          <a:hlinkClick xmlns:r="http://schemas.openxmlformats.org/officeDocument/2006/relationships" r:id="rId6"/>
          <a:extLst>
            <a:ext uri="{FF2B5EF4-FFF2-40B4-BE49-F238E27FC236}">
              <a16:creationId xmlns:a16="http://schemas.microsoft.com/office/drawing/2014/main" id="{00000000-0008-0000-0500-00000D000000}"/>
            </a:ext>
          </a:extLst>
        </xdr:cNvPr>
        <xdr:cNvSpPr/>
      </xdr:nvSpPr>
      <xdr:spPr bwMode="auto">
        <a:xfrm>
          <a:off x="8870157" y="166688"/>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4" name="Flecha derecha 13">
          <a:hlinkClick xmlns:r="http://schemas.openxmlformats.org/officeDocument/2006/relationships" r:id="rId5"/>
          <a:extLst>
            <a:ext uri="{FF2B5EF4-FFF2-40B4-BE49-F238E27FC236}">
              <a16:creationId xmlns:a16="http://schemas.microsoft.com/office/drawing/2014/main" id="{00000000-0008-0000-0500-00000E000000}"/>
            </a:ext>
          </a:extLst>
        </xdr:cNvPr>
        <xdr:cNvSpPr/>
      </xdr:nvSpPr>
      <xdr:spPr bwMode="auto">
        <a:xfrm rot="10800000">
          <a:off x="4318396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20/TARIFAS%202021/SIMULACION%20TARIFAS%20SC/DELBIENSAN%20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70919920\AppData\Local\Microsoft\Windows\INetCache\Content.Outlook\D4LKHI3P\Copia%20de%20planilla_tarifas_2022_ESCENARIO%20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Índice Tablas"/>
      <sheetName val="20201001Tarifas 2021 Stgo 09 21"/>
      <sheetName val="B) Reajuste Tarifas y Ocupación"/>
      <sheetName val="C) Costos Directos"/>
      <sheetName val="D) Costos Indirectos"/>
      <sheetName val="E) Resumen Tarifado "/>
      <sheetName val="F) Remuneraciones"/>
      <sheetName val="G) Comparación Mercado"/>
      <sheetName val="H) Detalle Datos"/>
    </sheetNames>
    <sheetDataSet>
      <sheetData sheetId="0"/>
      <sheetData sheetId="1"/>
      <sheetData sheetId="2">
        <row r="9">
          <cell r="B9">
            <v>4321700</v>
          </cell>
        </row>
      </sheetData>
      <sheetData sheetId="3">
        <row r="15">
          <cell r="B15" t="str">
            <v>Diurna</v>
          </cell>
        </row>
        <row r="16">
          <cell r="B16" t="str">
            <v>Nocturna</v>
          </cell>
        </row>
        <row r="17">
          <cell r="B17" t="str">
            <v>Media Jornada</v>
          </cell>
        </row>
      </sheetData>
      <sheetData sheetId="4">
        <row r="13">
          <cell r="H13">
            <v>19521895.19444048</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 val="I) Proyección Mensual."/>
    </sheetNames>
    <sheetDataSet>
      <sheetData sheetId="0" refreshError="1"/>
      <sheetData sheetId="1" refreshError="1"/>
      <sheetData sheetId="2" refreshError="1"/>
      <sheetData sheetId="3">
        <row r="5">
          <cell r="F5" t="str">
            <v xml:space="preserve">BIENMAG </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9"/>
    <pageSetUpPr fitToPage="1"/>
  </sheetPr>
  <dimension ref="C1:J52"/>
  <sheetViews>
    <sheetView showGridLines="0" zoomScale="90" zoomScaleNormal="90" workbookViewId="0">
      <selection activeCell="K4" sqref="K4"/>
    </sheetView>
  </sheetViews>
  <sheetFormatPr baseColWidth="10" defaultColWidth="11.42578125" defaultRowHeight="12.75" x14ac:dyDescent="0.2"/>
  <cols>
    <col min="1" max="16384" width="11.42578125" style="66"/>
  </cols>
  <sheetData>
    <row r="1" spans="3:10" x14ac:dyDescent="0.2">
      <c r="J1" s="65"/>
    </row>
    <row r="2" spans="3:10" x14ac:dyDescent="0.2">
      <c r="J2" s="65" t="s">
        <v>84</v>
      </c>
    </row>
    <row r="3" spans="3:10" x14ac:dyDescent="0.2">
      <c r="J3" s="65"/>
    </row>
    <row r="5" spans="3:10" x14ac:dyDescent="0.2">
      <c r="C5" s="67"/>
      <c r="D5" s="67"/>
      <c r="E5" s="67"/>
      <c r="F5" s="67"/>
      <c r="G5" s="67"/>
      <c r="H5" s="67"/>
      <c r="I5" s="67"/>
      <c r="J5" s="67"/>
    </row>
    <row r="6" spans="3:10" x14ac:dyDescent="0.2">
      <c r="C6" s="67"/>
      <c r="D6" s="67"/>
      <c r="E6" s="67"/>
      <c r="F6" s="67"/>
      <c r="G6" s="67"/>
      <c r="H6" s="67"/>
      <c r="I6" s="67"/>
      <c r="J6" s="67"/>
    </row>
    <row r="7" spans="3:10" x14ac:dyDescent="0.2">
      <c r="C7" s="67"/>
      <c r="D7" s="67"/>
      <c r="E7" s="67"/>
      <c r="F7" s="67"/>
      <c r="G7" s="67"/>
      <c r="H7" s="67"/>
      <c r="I7" s="67"/>
      <c r="J7" s="67"/>
    </row>
    <row r="8" spans="3:10" x14ac:dyDescent="0.2">
      <c r="C8" s="67"/>
      <c r="D8" s="67"/>
      <c r="E8" s="67"/>
      <c r="F8" s="67"/>
      <c r="G8" s="67"/>
      <c r="H8" s="67"/>
      <c r="I8" s="67"/>
      <c r="J8" s="67"/>
    </row>
    <row r="9" spans="3:10" x14ac:dyDescent="0.2">
      <c r="C9" s="67"/>
      <c r="D9" s="67"/>
      <c r="E9" s="67"/>
      <c r="F9" s="67"/>
      <c r="G9" s="67"/>
      <c r="H9" s="67"/>
      <c r="I9" s="67"/>
      <c r="J9" s="67"/>
    </row>
    <row r="10" spans="3:10" x14ac:dyDescent="0.2">
      <c r="C10" s="67"/>
      <c r="D10" s="67"/>
      <c r="E10" s="67"/>
      <c r="F10" s="67"/>
      <c r="G10" s="67"/>
      <c r="H10" s="67"/>
      <c r="I10" s="67"/>
      <c r="J10" s="67"/>
    </row>
    <row r="11" spans="3:10" x14ac:dyDescent="0.2">
      <c r="C11" s="67"/>
      <c r="D11" s="67"/>
      <c r="E11" s="67"/>
      <c r="F11" s="67"/>
      <c r="G11" s="67"/>
      <c r="H11" s="67"/>
      <c r="I11" s="67"/>
      <c r="J11" s="67"/>
    </row>
    <row r="12" spans="3:10" x14ac:dyDescent="0.2">
      <c r="C12" s="67"/>
      <c r="D12" s="67"/>
      <c r="E12" s="67"/>
      <c r="F12" s="67"/>
      <c r="G12" s="67"/>
      <c r="H12" s="67"/>
      <c r="I12" s="67"/>
      <c r="J12" s="67"/>
    </row>
    <row r="13" spans="3:10" x14ac:dyDescent="0.2">
      <c r="C13" s="67"/>
      <c r="D13" s="67"/>
      <c r="E13" s="67"/>
      <c r="F13" s="67"/>
      <c r="G13" s="67"/>
      <c r="H13" s="67"/>
      <c r="I13" s="67"/>
      <c r="J13" s="67"/>
    </row>
    <row r="14" spans="3:10" x14ac:dyDescent="0.2">
      <c r="C14" s="67"/>
      <c r="D14" s="67"/>
      <c r="E14" s="67"/>
      <c r="F14" s="67"/>
      <c r="G14" s="67"/>
      <c r="H14" s="67"/>
      <c r="I14" s="67"/>
      <c r="J14" s="67"/>
    </row>
    <row r="15" spans="3:10" x14ac:dyDescent="0.2">
      <c r="C15" s="67"/>
      <c r="D15" s="67"/>
      <c r="E15" s="67"/>
      <c r="F15" s="67"/>
      <c r="G15" s="67"/>
      <c r="H15" s="67"/>
      <c r="I15" s="67"/>
      <c r="J15" s="67"/>
    </row>
    <row r="16" spans="3:10" x14ac:dyDescent="0.2">
      <c r="C16" s="67"/>
      <c r="D16" s="67"/>
      <c r="E16" s="67"/>
      <c r="F16" s="67"/>
      <c r="G16" s="67"/>
      <c r="H16" s="67"/>
      <c r="I16" s="67"/>
      <c r="J16" s="67"/>
    </row>
    <row r="17" spans="3:10" x14ac:dyDescent="0.2">
      <c r="C17" s="67"/>
      <c r="D17" s="67"/>
      <c r="E17" s="67"/>
      <c r="F17" s="67"/>
      <c r="G17" s="67"/>
      <c r="H17" s="67"/>
      <c r="I17" s="67"/>
      <c r="J17" s="67"/>
    </row>
    <row r="18" spans="3:10" x14ac:dyDescent="0.2">
      <c r="C18" s="67"/>
      <c r="D18" s="67"/>
      <c r="E18" s="67"/>
      <c r="F18" s="67"/>
      <c r="G18" s="67"/>
      <c r="H18" s="67"/>
      <c r="I18" s="67"/>
      <c r="J18" s="67"/>
    </row>
    <row r="19" spans="3:10" x14ac:dyDescent="0.2">
      <c r="C19" s="67"/>
      <c r="D19" s="67"/>
      <c r="E19" s="67"/>
      <c r="F19" s="67"/>
      <c r="G19" s="67"/>
      <c r="H19" s="67"/>
      <c r="I19" s="67"/>
      <c r="J19" s="67"/>
    </row>
    <row r="20" spans="3:10" x14ac:dyDescent="0.2">
      <c r="C20" s="67"/>
      <c r="D20" s="67"/>
      <c r="E20" s="67"/>
      <c r="F20" s="67"/>
      <c r="G20" s="67"/>
      <c r="H20" s="67"/>
      <c r="I20" s="67"/>
      <c r="J20" s="67"/>
    </row>
    <row r="21" spans="3:10" x14ac:dyDescent="0.2">
      <c r="C21" s="67"/>
      <c r="D21" s="67"/>
      <c r="E21" s="67"/>
      <c r="F21" s="67"/>
      <c r="G21" s="67"/>
      <c r="H21" s="67"/>
      <c r="I21" s="67"/>
      <c r="J21" s="67"/>
    </row>
    <row r="22" spans="3:10" x14ac:dyDescent="0.2">
      <c r="C22" s="67"/>
      <c r="D22" s="67"/>
      <c r="E22" s="67"/>
      <c r="F22" s="67"/>
      <c r="G22" s="67"/>
      <c r="H22" s="67"/>
      <c r="I22" s="67"/>
      <c r="J22" s="67"/>
    </row>
    <row r="23" spans="3:10" x14ac:dyDescent="0.2">
      <c r="C23" s="67"/>
      <c r="D23" s="67"/>
      <c r="E23" s="67"/>
      <c r="F23" s="67"/>
      <c r="G23" s="67"/>
      <c r="H23" s="67"/>
      <c r="I23" s="67"/>
      <c r="J23" s="67"/>
    </row>
    <row r="24" spans="3:10" x14ac:dyDescent="0.2">
      <c r="C24" s="67"/>
      <c r="D24" s="67"/>
      <c r="E24" s="67"/>
      <c r="F24" s="67"/>
      <c r="G24" s="67"/>
      <c r="H24" s="67"/>
      <c r="I24" s="67"/>
      <c r="J24" s="67"/>
    </row>
    <row r="25" spans="3:10" x14ac:dyDescent="0.2">
      <c r="C25" s="67"/>
      <c r="D25" s="67"/>
      <c r="E25" s="67"/>
      <c r="F25" s="67"/>
      <c r="G25" s="67"/>
      <c r="H25" s="67"/>
      <c r="I25" s="67"/>
      <c r="J25" s="67"/>
    </row>
    <row r="26" spans="3:10" x14ac:dyDescent="0.2">
      <c r="C26" s="67"/>
      <c r="D26" s="67"/>
      <c r="E26" s="67"/>
      <c r="F26" s="67"/>
      <c r="G26" s="67"/>
      <c r="H26" s="67"/>
      <c r="I26" s="67"/>
      <c r="J26" s="67"/>
    </row>
    <row r="27" spans="3:10" x14ac:dyDescent="0.2">
      <c r="C27" s="67"/>
      <c r="D27" s="67"/>
      <c r="E27" s="67"/>
      <c r="F27" s="67"/>
      <c r="G27" s="67"/>
      <c r="H27" s="67"/>
      <c r="I27" s="67"/>
      <c r="J27" s="67"/>
    </row>
    <row r="28" spans="3:10" x14ac:dyDescent="0.2">
      <c r="C28" s="67"/>
      <c r="D28" s="67"/>
      <c r="E28" s="67"/>
      <c r="F28" s="67"/>
      <c r="G28" s="67"/>
      <c r="H28" s="67"/>
      <c r="I28" s="67"/>
      <c r="J28" s="67"/>
    </row>
    <row r="29" spans="3:10" x14ac:dyDescent="0.2">
      <c r="C29" s="67"/>
      <c r="D29" s="67"/>
      <c r="E29" s="67"/>
      <c r="F29" s="67"/>
      <c r="G29" s="67"/>
      <c r="H29" s="67"/>
      <c r="I29" s="67"/>
      <c r="J29" s="67"/>
    </row>
    <row r="30" spans="3:10" x14ac:dyDescent="0.2">
      <c r="C30" s="67"/>
      <c r="D30" s="67"/>
      <c r="E30" s="67"/>
      <c r="F30" s="67"/>
      <c r="G30" s="67"/>
      <c r="H30" s="67"/>
      <c r="I30" s="67"/>
      <c r="J30" s="67"/>
    </row>
    <row r="31" spans="3:10" x14ac:dyDescent="0.2">
      <c r="C31" s="67"/>
      <c r="D31" s="67"/>
      <c r="E31" s="67"/>
      <c r="F31" s="67"/>
      <c r="G31" s="67"/>
      <c r="H31" s="67"/>
      <c r="I31" s="67"/>
      <c r="J31" s="67"/>
    </row>
    <row r="32" spans="3:10" x14ac:dyDescent="0.2">
      <c r="C32" s="67"/>
      <c r="D32" s="67"/>
      <c r="E32" s="67"/>
      <c r="F32" s="67"/>
      <c r="G32" s="67"/>
      <c r="H32" s="67"/>
      <c r="I32" s="67"/>
      <c r="J32" s="67"/>
    </row>
    <row r="33" spans="3:10" x14ac:dyDescent="0.2">
      <c r="C33" s="67"/>
      <c r="D33" s="67"/>
      <c r="E33" s="67"/>
      <c r="F33" s="67"/>
      <c r="G33" s="67"/>
      <c r="H33" s="67"/>
      <c r="I33" s="67"/>
      <c r="J33" s="67"/>
    </row>
    <row r="34" spans="3:10" x14ac:dyDescent="0.2">
      <c r="C34" s="67"/>
      <c r="D34" s="67"/>
      <c r="E34" s="67"/>
      <c r="F34" s="67"/>
      <c r="G34" s="67"/>
      <c r="H34" s="67"/>
      <c r="I34" s="67"/>
      <c r="J34" s="67"/>
    </row>
    <row r="35" spans="3:10" x14ac:dyDescent="0.2">
      <c r="C35" s="67"/>
      <c r="D35" s="67"/>
      <c r="E35" s="67"/>
      <c r="F35" s="67"/>
      <c r="G35" s="67"/>
      <c r="H35" s="67"/>
      <c r="I35" s="67"/>
      <c r="J35" s="67"/>
    </row>
    <row r="36" spans="3:10" x14ac:dyDescent="0.2">
      <c r="C36" s="67"/>
      <c r="D36" s="67"/>
      <c r="E36" s="67"/>
      <c r="F36" s="67"/>
      <c r="G36" s="67"/>
      <c r="H36" s="67"/>
      <c r="I36" s="67"/>
      <c r="J36" s="67"/>
    </row>
    <row r="37" spans="3:10" x14ac:dyDescent="0.2">
      <c r="C37" s="67"/>
      <c r="D37" s="67"/>
      <c r="E37" s="67"/>
      <c r="F37" s="67"/>
      <c r="G37" s="67"/>
      <c r="H37" s="67"/>
      <c r="I37" s="67"/>
      <c r="J37" s="67"/>
    </row>
    <row r="38" spans="3:10" x14ac:dyDescent="0.2">
      <c r="C38" s="67"/>
      <c r="D38" s="67"/>
      <c r="E38" s="67"/>
      <c r="F38" s="67"/>
      <c r="G38" s="67"/>
      <c r="H38" s="67"/>
      <c r="I38" s="67"/>
      <c r="J38" s="67"/>
    </row>
    <row r="39" spans="3:10" x14ac:dyDescent="0.2">
      <c r="C39" s="67"/>
      <c r="D39" s="67"/>
      <c r="E39" s="67"/>
      <c r="F39" s="67"/>
      <c r="G39" s="67"/>
      <c r="H39" s="67"/>
      <c r="I39" s="67"/>
      <c r="J39" s="67"/>
    </row>
    <row r="40" spans="3:10" x14ac:dyDescent="0.2">
      <c r="C40" s="67"/>
      <c r="D40" s="67"/>
      <c r="E40" s="67"/>
      <c r="F40" s="67"/>
      <c r="G40" s="67"/>
      <c r="H40" s="67"/>
      <c r="I40" s="67"/>
      <c r="J40" s="67"/>
    </row>
    <row r="41" spans="3:10" x14ac:dyDescent="0.2">
      <c r="C41" s="67"/>
      <c r="D41" s="67"/>
      <c r="E41" s="67"/>
      <c r="F41" s="67"/>
      <c r="G41" s="67"/>
      <c r="H41" s="67"/>
      <c r="I41" s="67"/>
      <c r="J41" s="67"/>
    </row>
    <row r="42" spans="3:10" x14ac:dyDescent="0.2">
      <c r="C42" s="67"/>
      <c r="D42" s="67"/>
      <c r="E42" s="67"/>
      <c r="F42" s="67"/>
      <c r="G42" s="67"/>
      <c r="H42" s="67"/>
      <c r="I42" s="67"/>
      <c r="J42" s="67"/>
    </row>
    <row r="43" spans="3:10" x14ac:dyDescent="0.2">
      <c r="C43" s="67"/>
      <c r="D43" s="67"/>
      <c r="E43" s="67"/>
      <c r="F43" s="67"/>
      <c r="G43" s="67"/>
      <c r="H43" s="67"/>
      <c r="I43" s="67"/>
      <c r="J43" s="67"/>
    </row>
    <row r="44" spans="3:10" x14ac:dyDescent="0.2">
      <c r="C44" s="67"/>
      <c r="D44" s="67"/>
      <c r="E44" s="67"/>
      <c r="F44" s="67"/>
      <c r="G44" s="67"/>
      <c r="H44" s="67"/>
      <c r="I44" s="67"/>
      <c r="J44" s="67"/>
    </row>
    <row r="45" spans="3:10" x14ac:dyDescent="0.2">
      <c r="C45" s="67"/>
      <c r="D45" s="67"/>
      <c r="E45" s="67"/>
      <c r="F45" s="67"/>
      <c r="G45" s="67"/>
      <c r="H45" s="67"/>
      <c r="I45" s="67"/>
      <c r="J45" s="67"/>
    </row>
    <row r="46" spans="3:10" x14ac:dyDescent="0.2">
      <c r="C46" s="67"/>
      <c r="D46" s="67"/>
      <c r="E46" s="67"/>
      <c r="F46" s="67"/>
      <c r="G46" s="67"/>
      <c r="H46" s="67"/>
      <c r="I46" s="67"/>
      <c r="J46" s="67"/>
    </row>
    <row r="47" spans="3:10" x14ac:dyDescent="0.2">
      <c r="C47" s="67"/>
      <c r="D47" s="67"/>
      <c r="E47" s="67"/>
      <c r="F47" s="67"/>
      <c r="G47" s="67"/>
      <c r="H47" s="67"/>
      <c r="I47" s="67"/>
      <c r="J47" s="67"/>
    </row>
    <row r="48" spans="3:10" x14ac:dyDescent="0.2">
      <c r="C48" s="67"/>
      <c r="D48" s="67"/>
      <c r="E48" s="67"/>
      <c r="F48" s="67"/>
      <c r="G48" s="67"/>
      <c r="H48" s="67"/>
      <c r="I48" s="67"/>
      <c r="J48" s="67"/>
    </row>
    <row r="49" spans="3:10" x14ac:dyDescent="0.2">
      <c r="C49" s="67"/>
      <c r="D49" s="67"/>
      <c r="E49" s="67"/>
      <c r="F49" s="67"/>
      <c r="G49" s="67"/>
      <c r="H49" s="67"/>
      <c r="I49" s="67"/>
      <c r="J49" s="67"/>
    </row>
    <row r="50" spans="3:10" x14ac:dyDescent="0.2">
      <c r="C50" s="67"/>
      <c r="D50" s="67"/>
      <c r="E50" s="67"/>
      <c r="F50" s="67"/>
      <c r="G50" s="67"/>
      <c r="H50" s="67"/>
      <c r="I50" s="67"/>
      <c r="J50" s="67"/>
    </row>
    <row r="51" spans="3:10" x14ac:dyDescent="0.2">
      <c r="C51" s="67"/>
      <c r="D51" s="67"/>
      <c r="E51" s="67"/>
      <c r="F51" s="67"/>
      <c r="G51" s="67"/>
      <c r="H51" s="67"/>
      <c r="I51" s="67"/>
      <c r="J51" s="67"/>
    </row>
    <row r="52" spans="3:10" x14ac:dyDescent="0.2">
      <c r="C52" s="67"/>
      <c r="D52" s="67"/>
      <c r="E52" s="67"/>
      <c r="F52" s="67"/>
      <c r="G52" s="67"/>
      <c r="H52" s="67"/>
      <c r="I52" s="67"/>
      <c r="J52" s="67"/>
    </row>
  </sheetData>
  <sheetProtection algorithmName="SHA-512" hashValue="7yDX/8dMOFnzeXhmBx0drK/Udf2pb8cKzzoYJXbUIy+tBFmzD+TNbHs+1fYE4WGCAsjGMy8w3Yw4FqtljrI2hw==" saltValue="GUau3bQ9ppSZ223j+imkvg==" spinCount="100000" sheet="1" objects="1" scenarios="1"/>
  <pageMargins left="0.7" right="0.7" top="0.75" bottom="0.75" header="0.3" footer="0.3"/>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80"/>
  <sheetViews>
    <sheetView showGridLines="0" topLeftCell="A43" zoomScale="110" zoomScaleNormal="110" workbookViewId="0">
      <selection activeCell="A68" sqref="A68:M70"/>
    </sheetView>
  </sheetViews>
  <sheetFormatPr baseColWidth="10" defaultColWidth="11.42578125" defaultRowHeight="12.75" x14ac:dyDescent="0.2"/>
  <cols>
    <col min="1" max="2" width="11.42578125" style="624"/>
    <col min="3" max="3" width="26.140625" style="624" customWidth="1"/>
    <col min="4" max="4" width="5.85546875" style="624" customWidth="1"/>
    <col min="5" max="5" width="11.42578125" style="624"/>
    <col min="6" max="6" width="14.42578125" style="624" customWidth="1"/>
    <col min="7" max="7" width="16.140625" style="624" customWidth="1"/>
    <col min="8" max="8" width="13.85546875" style="624" customWidth="1"/>
    <col min="9" max="9" width="11.42578125" style="624"/>
    <col min="10" max="11" width="13.28515625" style="624" customWidth="1"/>
    <col min="12" max="16384" width="11.42578125" style="624"/>
  </cols>
  <sheetData>
    <row r="1" spans="1:17" x14ac:dyDescent="0.2">
      <c r="J1" s="231"/>
      <c r="K1" s="234"/>
    </row>
    <row r="2" spans="1:17" x14ac:dyDescent="0.2">
      <c r="A2" s="448"/>
      <c r="B2" s="448"/>
      <c r="C2" s="448"/>
      <c r="D2" s="448"/>
      <c r="E2" s="448"/>
      <c r="F2" s="448"/>
      <c r="G2" s="448"/>
      <c r="H2" s="448"/>
      <c r="I2" s="448"/>
      <c r="J2" s="449" t="s">
        <v>197</v>
      </c>
      <c r="K2" s="450"/>
      <c r="L2" s="448"/>
      <c r="M2" s="448"/>
      <c r="N2" s="448"/>
      <c r="O2" s="448"/>
      <c r="P2" s="448"/>
      <c r="Q2" s="448"/>
    </row>
    <row r="3" spans="1:17" x14ac:dyDescent="0.2">
      <c r="A3" s="448"/>
      <c r="B3" s="448"/>
      <c r="C3" s="448"/>
      <c r="D3" s="448"/>
      <c r="E3" s="448"/>
      <c r="F3" s="448"/>
      <c r="G3" s="448"/>
      <c r="H3" s="448"/>
      <c r="I3" s="448"/>
      <c r="J3" s="448"/>
      <c r="K3" s="448"/>
      <c r="L3" s="448"/>
      <c r="M3" s="448"/>
      <c r="N3" s="448"/>
      <c r="O3" s="448"/>
      <c r="P3" s="448"/>
      <c r="Q3" s="448"/>
    </row>
    <row r="4" spans="1:17" ht="19.5" customHeight="1" x14ac:dyDescent="0.2">
      <c r="A4" s="448"/>
      <c r="B4" s="448"/>
      <c r="C4" s="448"/>
      <c r="D4" s="448"/>
      <c r="E4" s="448"/>
      <c r="F4" s="448"/>
      <c r="G4" s="448"/>
      <c r="H4" s="448"/>
      <c r="I4" s="451" t="s">
        <v>0</v>
      </c>
      <c r="J4" s="1067" t="str">
        <f>+'[2]B) Reajuste Tarifas y Ocupación'!F5</f>
        <v xml:space="preserve">BIENMAG </v>
      </c>
      <c r="K4" s="1068"/>
      <c r="L4" s="448"/>
      <c r="M4" s="448"/>
      <c r="N4" s="448"/>
      <c r="O4" s="448"/>
      <c r="P4" s="448"/>
      <c r="Q4" s="448"/>
    </row>
    <row r="5" spans="1:17" x14ac:dyDescent="0.2">
      <c r="A5" s="448"/>
      <c r="B5" s="448"/>
      <c r="C5" s="448"/>
      <c r="D5" s="448"/>
      <c r="E5" s="448"/>
      <c r="F5" s="448"/>
      <c r="G5" s="448"/>
      <c r="H5" s="448"/>
      <c r="I5" s="448"/>
      <c r="J5" s="448"/>
      <c r="K5" s="448"/>
      <c r="L5" s="448"/>
      <c r="M5" s="448"/>
      <c r="N5" s="448"/>
      <c r="O5" s="448"/>
      <c r="P5" s="448"/>
      <c r="Q5" s="448"/>
    </row>
    <row r="6" spans="1:17" ht="12.75" customHeight="1" x14ac:dyDescent="0.2">
      <c r="A6" s="452" t="s">
        <v>123</v>
      </c>
      <c r="B6" s="453"/>
      <c r="C6" s="453"/>
      <c r="D6" s="453"/>
      <c r="E6" s="453"/>
      <c r="F6" s="453"/>
      <c r="G6" s="453"/>
      <c r="H6" s="453"/>
      <c r="I6" s="453"/>
      <c r="J6" s="453"/>
      <c r="K6" s="453"/>
      <c r="L6" s="453"/>
      <c r="M6" s="453"/>
      <c r="N6" s="453"/>
      <c r="O6" s="453"/>
      <c r="P6" s="453"/>
      <c r="Q6" s="448"/>
    </row>
    <row r="7" spans="1:17" x14ac:dyDescent="0.2">
      <c r="A7" s="453"/>
      <c r="B7" s="453"/>
      <c r="C7" s="453"/>
      <c r="D7" s="453"/>
      <c r="E7" s="453"/>
      <c r="F7" s="453"/>
      <c r="G7" s="453"/>
      <c r="H7" s="453"/>
      <c r="I7" s="453"/>
      <c r="J7" s="453"/>
      <c r="K7" s="453"/>
      <c r="L7" s="453"/>
      <c r="M7" s="453"/>
      <c r="N7" s="453"/>
      <c r="O7" s="453"/>
      <c r="P7" s="453"/>
      <c r="Q7" s="448"/>
    </row>
    <row r="8" spans="1:17" x14ac:dyDescent="0.2">
      <c r="A8" s="448"/>
      <c r="B8" s="448"/>
      <c r="C8" s="448"/>
      <c r="D8" s="448"/>
      <c r="E8" s="448"/>
      <c r="F8" s="448"/>
      <c r="G8" s="448"/>
      <c r="H8" s="448"/>
      <c r="I8" s="448"/>
      <c r="J8" s="448"/>
      <c r="K8" s="448"/>
      <c r="L8" s="448"/>
      <c r="M8" s="448"/>
      <c r="N8" s="448"/>
      <c r="O8" s="448"/>
      <c r="P8" s="448"/>
      <c r="Q8" s="448"/>
    </row>
    <row r="9" spans="1:17" ht="15.75" x14ac:dyDescent="0.25">
      <c r="B9" s="622" t="s">
        <v>326</v>
      </c>
      <c r="C9" s="628"/>
      <c r="D9" s="628"/>
      <c r="E9" s="628"/>
      <c r="F9" s="628"/>
      <c r="G9" s="628"/>
      <c r="H9" s="629"/>
      <c r="I9" s="630"/>
      <c r="J9" s="630"/>
    </row>
    <row r="10" spans="1:17" ht="15.75" x14ac:dyDescent="0.25">
      <c r="B10" s="622"/>
      <c r="C10" s="628"/>
      <c r="D10" s="628"/>
      <c r="E10" s="628"/>
      <c r="F10" s="651" t="s">
        <v>327</v>
      </c>
      <c r="G10" s="651"/>
      <c r="H10" s="652" t="s">
        <v>332</v>
      </c>
      <c r="I10" s="653" t="s">
        <v>333</v>
      </c>
      <c r="J10" s="630"/>
    </row>
    <row r="11" spans="1:17" x14ac:dyDescent="0.2">
      <c r="B11" s="623" t="s">
        <v>331</v>
      </c>
      <c r="C11" s="628"/>
      <c r="D11" s="628"/>
      <c r="F11" s="654">
        <v>70</v>
      </c>
      <c r="G11" s="655"/>
      <c r="H11" s="652">
        <v>1</v>
      </c>
      <c r="I11" s="656">
        <v>1</v>
      </c>
      <c r="J11" s="630"/>
    </row>
    <row r="12" spans="1:17" x14ac:dyDescent="0.2">
      <c r="B12" s="628"/>
      <c r="C12" s="628"/>
      <c r="D12" s="628"/>
      <c r="E12" s="628"/>
      <c r="F12" s="628"/>
      <c r="G12" s="628"/>
      <c r="H12" s="629"/>
      <c r="I12" s="630"/>
      <c r="J12" s="630"/>
      <c r="K12" s="77"/>
      <c r="L12" s="77"/>
      <c r="M12" s="77"/>
      <c r="N12" s="77"/>
      <c r="O12" s="77"/>
      <c r="P12" s="77"/>
      <c r="Q12" s="77"/>
    </row>
    <row r="13" spans="1:17" ht="60" x14ac:dyDescent="0.2">
      <c r="A13" s="361"/>
      <c r="B13" s="620" t="s">
        <v>334</v>
      </c>
      <c r="E13" s="657" t="s">
        <v>87</v>
      </c>
      <c r="F13" s="658" t="s">
        <v>135</v>
      </c>
      <c r="G13" s="658" t="s">
        <v>136</v>
      </c>
      <c r="H13" s="658" t="s">
        <v>88</v>
      </c>
      <c r="I13" s="658" t="s">
        <v>89</v>
      </c>
      <c r="J13" s="659" t="s">
        <v>133</v>
      </c>
      <c r="K13" s="362"/>
      <c r="L13" s="362"/>
      <c r="M13" s="362"/>
      <c r="N13" s="363"/>
      <c r="O13" s="364"/>
      <c r="P13" s="364"/>
      <c r="Q13" s="364"/>
    </row>
    <row r="14" spans="1:17" x14ac:dyDescent="0.2">
      <c r="C14" s="621" t="s">
        <v>328</v>
      </c>
      <c r="E14" s="660">
        <v>16</v>
      </c>
      <c r="F14" s="660">
        <v>0</v>
      </c>
      <c r="G14" s="660">
        <v>0</v>
      </c>
      <c r="H14" s="660">
        <v>0</v>
      </c>
      <c r="I14" s="660">
        <v>0</v>
      </c>
      <c r="J14" s="661">
        <f>SUM(E14:I14)</f>
        <v>16</v>
      </c>
    </row>
    <row r="15" spans="1:17" x14ac:dyDescent="0.2">
      <c r="A15" s="365"/>
      <c r="C15" s="621" t="s">
        <v>329</v>
      </c>
      <c r="E15" s="660">
        <v>3</v>
      </c>
      <c r="F15" s="660">
        <v>0</v>
      </c>
      <c r="G15" s="660">
        <v>0</v>
      </c>
      <c r="H15" s="660">
        <v>0</v>
      </c>
      <c r="I15" s="660">
        <v>0</v>
      </c>
      <c r="J15" s="661">
        <f>SUM(E15:I15)</f>
        <v>3</v>
      </c>
      <c r="K15" s="627"/>
      <c r="L15" s="367"/>
    </row>
    <row r="16" spans="1:17" x14ac:dyDescent="0.2">
      <c r="A16" s="368"/>
      <c r="C16" s="621" t="s">
        <v>330</v>
      </c>
      <c r="E16" s="660">
        <v>38</v>
      </c>
      <c r="F16" s="660">
        <v>0</v>
      </c>
      <c r="G16" s="660">
        <v>1</v>
      </c>
      <c r="H16" s="660">
        <v>0</v>
      </c>
      <c r="I16" s="660">
        <v>1</v>
      </c>
      <c r="J16" s="661">
        <f>SUM(E16:I16)</f>
        <v>40</v>
      </c>
      <c r="K16" s="630"/>
      <c r="L16" s="369"/>
      <c r="M16" s="628"/>
      <c r="N16" s="628"/>
      <c r="O16" s="628"/>
      <c r="P16" s="628"/>
      <c r="Q16" s="628"/>
    </row>
    <row r="17" spans="1:17" ht="15.75" x14ac:dyDescent="0.25">
      <c r="A17" s="368"/>
      <c r="E17" s="631"/>
      <c r="F17" s="627"/>
      <c r="G17" s="627"/>
      <c r="H17" s="627"/>
      <c r="J17" s="662">
        <f>SUM(J14:J16)</f>
        <v>59</v>
      </c>
      <c r="K17" s="630"/>
      <c r="L17" s="369"/>
      <c r="M17" s="628"/>
      <c r="N17" s="628"/>
      <c r="O17" s="628"/>
      <c r="P17" s="628"/>
      <c r="Q17" s="628"/>
    </row>
    <row r="18" spans="1:17" x14ac:dyDescent="0.2">
      <c r="A18" s="370"/>
      <c r="E18" s="631"/>
      <c r="F18" s="627"/>
      <c r="G18" s="627"/>
      <c r="H18" s="627"/>
      <c r="J18" s="627"/>
      <c r="K18" s="630"/>
      <c r="L18" s="369"/>
      <c r="M18" s="628"/>
      <c r="N18" s="628"/>
      <c r="O18" s="628"/>
      <c r="P18" s="628"/>
      <c r="Q18" s="628"/>
    </row>
    <row r="19" spans="1:17" s="636" customFormat="1" ht="12.75" customHeight="1" x14ac:dyDescent="0.2">
      <c r="A19" s="1069" t="s">
        <v>352</v>
      </c>
      <c r="B19" s="1069"/>
      <c r="C19" s="1069"/>
      <c r="D19" s="1069"/>
      <c r="E19" s="1069"/>
      <c r="F19" s="1069"/>
      <c r="G19" s="1069"/>
      <c r="H19" s="1069"/>
      <c r="I19" s="1069"/>
      <c r="J19" s="1069"/>
      <c r="K19" s="1069"/>
      <c r="L19" s="1069"/>
      <c r="M19" s="1069"/>
    </row>
    <row r="20" spans="1:17" s="636" customFormat="1" x14ac:dyDescent="0.2">
      <c r="A20" s="1069"/>
      <c r="B20" s="1069"/>
      <c r="C20" s="1069"/>
      <c r="D20" s="1069"/>
      <c r="E20" s="1069"/>
      <c r="F20" s="1069"/>
      <c r="G20" s="1069"/>
      <c r="H20" s="1069"/>
      <c r="I20" s="1069"/>
      <c r="J20" s="1069"/>
      <c r="K20" s="1069"/>
      <c r="L20" s="1069"/>
      <c r="M20" s="1069"/>
    </row>
    <row r="21" spans="1:17" s="636" customFormat="1" x14ac:dyDescent="0.2">
      <c r="A21" s="1069"/>
      <c r="B21" s="1069"/>
      <c r="C21" s="1069"/>
      <c r="D21" s="1069"/>
      <c r="E21" s="1069"/>
      <c r="F21" s="1069"/>
      <c r="G21" s="1069"/>
      <c r="H21" s="1069"/>
      <c r="I21" s="1069"/>
      <c r="J21" s="1069"/>
      <c r="K21" s="1069"/>
      <c r="L21" s="1069"/>
      <c r="M21" s="1069"/>
    </row>
    <row r="22" spans="1:17" ht="12.75" customHeight="1" x14ac:dyDescent="0.2">
      <c r="A22" s="1070" t="s">
        <v>353</v>
      </c>
      <c r="B22" s="1070"/>
      <c r="C22" s="1070"/>
      <c r="D22" s="1070"/>
      <c r="E22" s="1070"/>
      <c r="F22" s="1070"/>
      <c r="G22" s="1070"/>
      <c r="H22" s="1070"/>
      <c r="I22" s="1070"/>
      <c r="J22" s="1070"/>
      <c r="K22" s="1070"/>
      <c r="L22" s="1070"/>
      <c r="M22" s="1070"/>
    </row>
    <row r="23" spans="1:17" x14ac:dyDescent="0.2">
      <c r="A23" s="1070"/>
      <c r="B23" s="1070"/>
      <c r="C23" s="1070"/>
      <c r="D23" s="1070"/>
      <c r="E23" s="1070"/>
      <c r="F23" s="1070"/>
      <c r="G23" s="1070"/>
      <c r="H23" s="1070"/>
      <c r="I23" s="1070"/>
      <c r="J23" s="1070"/>
      <c r="K23" s="1070"/>
      <c r="L23" s="1070"/>
      <c r="M23" s="1070"/>
    </row>
    <row r="24" spans="1:17" x14ac:dyDescent="0.2">
      <c r="A24" s="1070"/>
      <c r="B24" s="1070"/>
      <c r="C24" s="1070"/>
      <c r="D24" s="1070"/>
      <c r="E24" s="1070"/>
      <c r="F24" s="1070"/>
      <c r="G24" s="1070"/>
      <c r="H24" s="1070"/>
      <c r="I24" s="1070"/>
      <c r="J24" s="1070"/>
      <c r="K24" s="1070"/>
      <c r="L24" s="1070"/>
      <c r="M24" s="1070"/>
    </row>
    <row r="25" spans="1:17" x14ac:dyDescent="0.2">
      <c r="E25" s="439"/>
      <c r="F25" s="439"/>
      <c r="G25" s="439"/>
      <c r="H25" s="439"/>
      <c r="I25" s="439"/>
      <c r="J25" s="440"/>
    </row>
    <row r="26" spans="1:17" ht="12.75" customHeight="1" x14ac:dyDescent="0.2">
      <c r="A26" s="1070" t="s">
        <v>354</v>
      </c>
      <c r="B26" s="1070"/>
      <c r="C26" s="1070"/>
      <c r="D26" s="1070"/>
      <c r="E26" s="1070"/>
      <c r="F26" s="1070"/>
      <c r="G26" s="1070"/>
      <c r="H26" s="1070"/>
      <c r="I26" s="1070"/>
      <c r="J26" s="1070"/>
      <c r="K26" s="1070"/>
      <c r="L26" s="1070"/>
      <c r="M26" s="1070"/>
    </row>
    <row r="27" spans="1:17" x14ac:dyDescent="0.2">
      <c r="A27" s="1070"/>
      <c r="B27" s="1070"/>
      <c r="C27" s="1070"/>
      <c r="D27" s="1070"/>
      <c r="E27" s="1070"/>
      <c r="F27" s="1070"/>
      <c r="G27" s="1070"/>
      <c r="H27" s="1070"/>
      <c r="I27" s="1070"/>
      <c r="J27" s="1070"/>
      <c r="K27" s="1070"/>
      <c r="L27" s="1070"/>
      <c r="M27" s="1070"/>
    </row>
    <row r="28" spans="1:17" x14ac:dyDescent="0.2">
      <c r="A28" s="1070"/>
      <c r="B28" s="1070"/>
      <c r="C28" s="1070"/>
      <c r="D28" s="1070"/>
      <c r="E28" s="1070"/>
      <c r="F28" s="1070"/>
      <c r="G28" s="1070"/>
      <c r="H28" s="1070"/>
      <c r="I28" s="1070"/>
      <c r="J28" s="1070"/>
      <c r="K28" s="1070"/>
      <c r="L28" s="1070"/>
      <c r="M28" s="1070"/>
    </row>
    <row r="29" spans="1:17" ht="15.75" x14ac:dyDescent="0.25">
      <c r="A29" s="371"/>
      <c r="B29" s="442"/>
      <c r="C29" s="443"/>
      <c r="D29" s="627"/>
      <c r="E29" s="631"/>
      <c r="F29" s="631"/>
      <c r="G29" s="631"/>
      <c r="H29" s="631"/>
      <c r="I29" s="631"/>
      <c r="J29" s="441"/>
    </row>
    <row r="30" spans="1:17" ht="12.75" customHeight="1" x14ac:dyDescent="0.2">
      <c r="A30" s="1070" t="s">
        <v>355</v>
      </c>
      <c r="B30" s="1070"/>
      <c r="C30" s="1070"/>
      <c r="D30" s="1070"/>
      <c r="E30" s="1070"/>
      <c r="F30" s="1070"/>
      <c r="G30" s="1070"/>
      <c r="H30" s="1070"/>
      <c r="I30" s="1070"/>
      <c r="J30" s="1070"/>
      <c r="K30" s="1070"/>
      <c r="L30" s="1070"/>
      <c r="M30" s="1070"/>
    </row>
    <row r="31" spans="1:17" x14ac:dyDescent="0.2">
      <c r="A31" s="1070"/>
      <c r="B31" s="1070"/>
      <c r="C31" s="1070"/>
      <c r="D31" s="1070"/>
      <c r="E31" s="1070"/>
      <c r="F31" s="1070"/>
      <c r="G31" s="1070"/>
      <c r="H31" s="1070"/>
      <c r="I31" s="1070"/>
      <c r="J31" s="1070"/>
      <c r="K31" s="1070"/>
      <c r="L31" s="1070"/>
      <c r="M31" s="1070"/>
    </row>
    <row r="32" spans="1:17" x14ac:dyDescent="0.2">
      <c r="A32" s="1070"/>
      <c r="B32" s="1070"/>
      <c r="C32" s="1070"/>
      <c r="D32" s="1070"/>
      <c r="E32" s="1070"/>
      <c r="F32" s="1070"/>
      <c r="G32" s="1070"/>
      <c r="H32" s="1070"/>
      <c r="I32" s="1070"/>
      <c r="J32" s="1070"/>
      <c r="K32" s="1070"/>
      <c r="L32" s="1070"/>
      <c r="M32" s="1070"/>
    </row>
    <row r="33" spans="1:22" x14ac:dyDescent="0.2">
      <c r="B33" s="627"/>
      <c r="C33" s="627"/>
      <c r="D33" s="627"/>
      <c r="E33" s="635"/>
      <c r="F33" s="635"/>
      <c r="G33" s="635"/>
      <c r="H33" s="635"/>
      <c r="I33" s="635"/>
      <c r="J33" s="635"/>
      <c r="O33" s="372"/>
      <c r="P33" s="372"/>
      <c r="Q33" s="372"/>
    </row>
    <row r="34" spans="1:22" x14ac:dyDescent="0.2">
      <c r="A34" s="1070" t="s">
        <v>356</v>
      </c>
      <c r="B34" s="1070"/>
      <c r="C34" s="1070"/>
      <c r="D34" s="1070"/>
      <c r="E34" s="1070"/>
      <c r="F34" s="1070"/>
      <c r="G34" s="1070"/>
      <c r="H34" s="1070"/>
      <c r="I34" s="1070"/>
      <c r="J34" s="1070"/>
      <c r="K34" s="1070"/>
      <c r="L34" s="1070"/>
      <c r="M34" s="1070"/>
      <c r="O34" s="372"/>
      <c r="P34" s="372"/>
      <c r="Q34" s="372"/>
    </row>
    <row r="35" spans="1:22" x14ac:dyDescent="0.2">
      <c r="A35" s="1070"/>
      <c r="B35" s="1070"/>
      <c r="C35" s="1070"/>
      <c r="D35" s="1070"/>
      <c r="E35" s="1070"/>
      <c r="F35" s="1070"/>
      <c r="G35" s="1070"/>
      <c r="H35" s="1070"/>
      <c r="I35" s="1070"/>
      <c r="J35" s="1070"/>
      <c r="K35" s="1070"/>
      <c r="L35" s="1070"/>
      <c r="M35" s="1070"/>
      <c r="O35" s="372"/>
      <c r="P35" s="372"/>
      <c r="Q35" s="372"/>
    </row>
    <row r="36" spans="1:22" x14ac:dyDescent="0.2">
      <c r="A36" s="1070"/>
      <c r="B36" s="1070"/>
      <c r="C36" s="1070"/>
      <c r="D36" s="1070"/>
      <c r="E36" s="1070"/>
      <c r="F36" s="1070"/>
      <c r="G36" s="1070"/>
      <c r="H36" s="1070"/>
      <c r="I36" s="1070"/>
      <c r="J36" s="1070"/>
      <c r="K36" s="1070"/>
      <c r="L36" s="1070"/>
      <c r="M36" s="1070"/>
      <c r="O36" s="372"/>
      <c r="P36" s="372"/>
      <c r="Q36" s="372"/>
    </row>
    <row r="37" spans="1:22" x14ac:dyDescent="0.2">
      <c r="B37" s="627"/>
      <c r="C37" s="627"/>
      <c r="D37" s="627"/>
      <c r="E37" s="635"/>
      <c r="F37" s="635"/>
      <c r="G37" s="635"/>
      <c r="H37" s="635"/>
      <c r="I37" s="635"/>
      <c r="J37" s="635"/>
      <c r="O37" s="372"/>
      <c r="P37" s="372"/>
      <c r="Q37" s="372"/>
    </row>
    <row r="38" spans="1:22" ht="60" x14ac:dyDescent="0.2">
      <c r="A38" s="370"/>
      <c r="B38" s="620" t="s">
        <v>335</v>
      </c>
      <c r="E38" s="657" t="s">
        <v>87</v>
      </c>
      <c r="F38" s="658" t="s">
        <v>135</v>
      </c>
      <c r="G38" s="658" t="s">
        <v>136</v>
      </c>
      <c r="H38" s="658" t="s">
        <v>88</v>
      </c>
      <c r="I38" s="658" t="s">
        <v>89</v>
      </c>
      <c r="J38" s="659" t="s">
        <v>133</v>
      </c>
      <c r="K38" s="635"/>
      <c r="L38" s="635"/>
      <c r="M38" s="635"/>
      <c r="N38" s="635"/>
      <c r="O38" s="373"/>
      <c r="P38" s="373"/>
      <c r="Q38" s="373"/>
    </row>
    <row r="39" spans="1:22" x14ac:dyDescent="0.2">
      <c r="A39" s="368"/>
      <c r="B39" s="621" t="s">
        <v>330</v>
      </c>
      <c r="E39" s="660">
        <v>12</v>
      </c>
      <c r="F39" s="660">
        <v>0</v>
      </c>
      <c r="G39" s="660">
        <v>0</v>
      </c>
      <c r="H39" s="660">
        <v>0</v>
      </c>
      <c r="I39" s="660">
        <v>0</v>
      </c>
      <c r="J39" s="661">
        <f>SUM(E39:I39)</f>
        <v>12</v>
      </c>
      <c r="K39" s="632"/>
      <c r="L39" s="632"/>
      <c r="M39" s="632"/>
      <c r="N39" s="632"/>
      <c r="O39" s="632"/>
      <c r="P39" s="632"/>
      <c r="Q39" s="632"/>
    </row>
    <row r="40" spans="1:22" x14ac:dyDescent="0.2">
      <c r="A40" s="368"/>
      <c r="B40" s="621" t="s">
        <v>328</v>
      </c>
      <c r="E40" s="660">
        <v>2</v>
      </c>
      <c r="F40" s="660">
        <v>0</v>
      </c>
      <c r="G40" s="660">
        <v>0</v>
      </c>
      <c r="H40" s="660">
        <v>0</v>
      </c>
      <c r="I40" s="660">
        <v>0</v>
      </c>
      <c r="J40" s="661">
        <f>SUM(E40:I40)</f>
        <v>2</v>
      </c>
      <c r="L40" s="632"/>
      <c r="M40" s="632"/>
      <c r="N40" s="632"/>
      <c r="O40" s="632"/>
      <c r="P40" s="632"/>
      <c r="Q40" s="632"/>
    </row>
    <row r="41" spans="1:22" ht="15.75" x14ac:dyDescent="0.25">
      <c r="E41" s="631"/>
      <c r="F41" s="627"/>
      <c r="G41" s="627"/>
      <c r="H41" s="627"/>
      <c r="J41" s="662">
        <v>14</v>
      </c>
    </row>
    <row r="42" spans="1:22" x14ac:dyDescent="0.2">
      <c r="A42" s="1070" t="s">
        <v>357</v>
      </c>
      <c r="B42" s="1070"/>
      <c r="C42" s="1070"/>
      <c r="D42" s="1070"/>
      <c r="E42" s="1070"/>
      <c r="F42" s="1070"/>
      <c r="G42" s="1070"/>
      <c r="H42" s="1070"/>
      <c r="I42" s="1070"/>
      <c r="J42" s="1070"/>
      <c r="K42" s="1070"/>
    </row>
    <row r="43" spans="1:22" x14ac:dyDescent="0.2">
      <c r="A43" s="1070"/>
      <c r="B43" s="1070"/>
      <c r="C43" s="1070"/>
      <c r="D43" s="1070"/>
      <c r="E43" s="1070"/>
      <c r="F43" s="1070"/>
      <c r="G43" s="1070"/>
      <c r="H43" s="1070"/>
      <c r="I43" s="1070"/>
      <c r="J43" s="1070"/>
      <c r="K43" s="1070"/>
    </row>
    <row r="44" spans="1:22" x14ac:dyDescent="0.2">
      <c r="A44" s="1070"/>
      <c r="B44" s="1070"/>
      <c r="C44" s="1070"/>
      <c r="D44" s="1070"/>
      <c r="E44" s="1070"/>
      <c r="F44" s="1070"/>
      <c r="G44" s="1070"/>
      <c r="H44" s="1070"/>
      <c r="I44" s="1070"/>
      <c r="J44" s="1070"/>
      <c r="K44" s="1070"/>
    </row>
    <row r="45" spans="1:22" x14ac:dyDescent="0.2">
      <c r="B45" s="627"/>
      <c r="C45" s="627"/>
      <c r="D45" s="627"/>
      <c r="E45" s="627"/>
      <c r="F45" s="627"/>
      <c r="G45" s="438"/>
    </row>
    <row r="46" spans="1:22" ht="18.75" customHeight="1" x14ac:dyDescent="0.2">
      <c r="A46" s="1070" t="s">
        <v>358</v>
      </c>
      <c r="B46" s="1070"/>
      <c r="C46" s="1070"/>
      <c r="D46" s="1070"/>
      <c r="E46" s="1070"/>
      <c r="F46" s="1070"/>
      <c r="G46" s="1070"/>
      <c r="H46" s="1070"/>
      <c r="I46" s="1070"/>
      <c r="J46" s="1070"/>
      <c r="K46" s="1070"/>
      <c r="L46" s="1070"/>
      <c r="M46" s="1070"/>
    </row>
    <row r="47" spans="1:22" ht="15.75" hidden="1" x14ac:dyDescent="0.2">
      <c r="A47" s="1070"/>
      <c r="B47" s="1070"/>
      <c r="C47" s="1070"/>
      <c r="D47" s="1070"/>
      <c r="E47" s="1070"/>
      <c r="F47" s="1070"/>
      <c r="G47" s="1070"/>
      <c r="H47" s="1070"/>
      <c r="I47" s="1070"/>
      <c r="J47" s="1070"/>
      <c r="K47" s="1070"/>
      <c r="L47" s="1070"/>
      <c r="M47" s="1070"/>
      <c r="S47" s="1071"/>
      <c r="T47" s="1071"/>
      <c r="U47" s="1071"/>
      <c r="V47" s="1071"/>
    </row>
    <row r="48" spans="1:22" x14ac:dyDescent="0.2">
      <c r="B48" s="627"/>
      <c r="C48" s="627"/>
      <c r="D48" s="627"/>
      <c r="E48" s="627"/>
      <c r="F48" s="627"/>
      <c r="G48" s="438"/>
      <c r="S48" s="627"/>
      <c r="T48" s="627"/>
      <c r="U48" s="627"/>
      <c r="V48" s="627"/>
    </row>
    <row r="49" spans="1:22" x14ac:dyDescent="0.2">
      <c r="B49" s="627"/>
      <c r="C49" s="627"/>
      <c r="D49" s="627"/>
      <c r="E49" s="627"/>
      <c r="F49" s="627"/>
      <c r="G49" s="438"/>
      <c r="S49" s="440"/>
      <c r="T49" s="1073"/>
      <c r="U49" s="1073"/>
      <c r="V49" s="1073"/>
    </row>
    <row r="50" spans="1:22" ht="12.75" customHeight="1" x14ac:dyDescent="0.2">
      <c r="B50" s="1079">
        <v>2022</v>
      </c>
      <c r="C50" s="1080"/>
      <c r="D50" s="1080"/>
      <c r="E50" s="1080"/>
      <c r="F50" s="1080"/>
      <c r="G50" s="1080"/>
      <c r="H50" s="1081"/>
      <c r="S50" s="445"/>
      <c r="T50" s="1073"/>
      <c r="U50" s="1073"/>
      <c r="V50" s="1073"/>
    </row>
    <row r="51" spans="1:22" x14ac:dyDescent="0.2">
      <c r="B51" s="663"/>
      <c r="C51" s="637"/>
      <c r="D51" s="637"/>
      <c r="E51" s="637"/>
      <c r="F51" s="637"/>
      <c r="G51" s="637"/>
      <c r="H51" s="1076"/>
      <c r="S51" s="445"/>
      <c r="T51" s="1073"/>
      <c r="U51" s="1073"/>
      <c r="V51" s="1073"/>
    </row>
    <row r="52" spans="1:22" x14ac:dyDescent="0.2">
      <c r="B52" s="638"/>
      <c r="C52" s="639" t="s">
        <v>336</v>
      </c>
      <c r="D52" s="639" t="s">
        <v>337</v>
      </c>
      <c r="E52" s="640"/>
      <c r="F52" s="639"/>
      <c r="G52" s="639"/>
      <c r="H52" s="1077"/>
      <c r="S52" s="445"/>
      <c r="T52" s="1073"/>
      <c r="U52" s="1073"/>
      <c r="V52" s="1073"/>
    </row>
    <row r="53" spans="1:22" x14ac:dyDescent="0.2">
      <c r="B53" s="642"/>
      <c r="C53" s="643"/>
      <c r="D53" s="643"/>
      <c r="E53" s="644"/>
      <c r="F53" s="643"/>
      <c r="G53" s="643"/>
      <c r="H53" s="1078"/>
      <c r="S53" s="440"/>
      <c r="T53" s="649"/>
      <c r="U53" s="649"/>
      <c r="V53" s="649"/>
    </row>
    <row r="54" spans="1:22" x14ac:dyDescent="0.2">
      <c r="B54" s="1031" t="s">
        <v>338</v>
      </c>
      <c r="C54" s="1032"/>
      <c r="D54" s="1032"/>
      <c r="E54" s="1031" t="s">
        <v>339</v>
      </c>
      <c r="F54" s="1035"/>
      <c r="G54" s="1035" t="s">
        <v>340</v>
      </c>
      <c r="H54" s="1074" t="s">
        <v>349</v>
      </c>
      <c r="S54" s="446"/>
      <c r="T54" s="1072"/>
      <c r="U54" s="1072"/>
      <c r="V54" s="1072"/>
    </row>
    <row r="55" spans="1:22" x14ac:dyDescent="0.2">
      <c r="B55" s="1033"/>
      <c r="C55" s="1034"/>
      <c r="D55" s="1034"/>
      <c r="E55" s="1033"/>
      <c r="F55" s="1036"/>
      <c r="G55" s="1036"/>
      <c r="H55" s="1075"/>
      <c r="S55" s="447"/>
      <c r="T55" s="1072"/>
      <c r="U55" s="1072"/>
      <c r="V55" s="1072"/>
    </row>
    <row r="56" spans="1:22" x14ac:dyDescent="0.2">
      <c r="B56" s="1041" t="s">
        <v>345</v>
      </c>
      <c r="C56" s="1042"/>
      <c r="D56" s="1043"/>
      <c r="E56" s="1041" t="s">
        <v>346</v>
      </c>
      <c r="F56" s="1059"/>
      <c r="G56" s="1064" t="s">
        <v>342</v>
      </c>
      <c r="H56" s="1023" t="s">
        <v>350</v>
      </c>
      <c r="S56" s="447"/>
      <c r="T56" s="1072"/>
      <c r="U56" s="1072"/>
      <c r="V56" s="1072"/>
    </row>
    <row r="57" spans="1:22" x14ac:dyDescent="0.2">
      <c r="B57" s="1044"/>
      <c r="C57" s="1045"/>
      <c r="D57" s="1046"/>
      <c r="E57" s="1060"/>
      <c r="F57" s="1061"/>
      <c r="G57" s="1065"/>
      <c r="H57" s="1024"/>
      <c r="I57" s="624" t="s">
        <v>370</v>
      </c>
      <c r="S57" s="447"/>
      <c r="T57" s="1072"/>
      <c r="U57" s="1072"/>
      <c r="V57" s="1072"/>
    </row>
    <row r="58" spans="1:22" x14ac:dyDescent="0.2">
      <c r="B58" s="1047"/>
      <c r="C58" s="1048"/>
      <c r="D58" s="1049"/>
      <c r="E58" s="1062"/>
      <c r="F58" s="1063"/>
      <c r="G58" s="1066"/>
      <c r="H58" s="1025"/>
      <c r="S58" s="447"/>
      <c r="T58" s="1072"/>
      <c r="U58" s="1072"/>
      <c r="V58" s="1072"/>
    </row>
    <row r="59" spans="1:22" x14ac:dyDescent="0.2">
      <c r="B59" s="1050" t="s">
        <v>341</v>
      </c>
      <c r="C59" s="1051"/>
      <c r="D59" s="1052"/>
      <c r="E59" s="663" t="s">
        <v>348</v>
      </c>
      <c r="F59" s="664"/>
      <c r="G59" s="665" t="s">
        <v>342</v>
      </c>
      <c r="H59" s="1023" t="s">
        <v>394</v>
      </c>
      <c r="I59" s="624" t="s">
        <v>370</v>
      </c>
      <c r="K59" s="632"/>
      <c r="L59" s="632"/>
      <c r="M59" s="632"/>
      <c r="N59" s="632"/>
      <c r="O59" s="632"/>
      <c r="P59" s="632"/>
      <c r="Q59" s="632"/>
      <c r="S59" s="447"/>
      <c r="T59" s="1072"/>
      <c r="U59" s="1072"/>
      <c r="V59" s="1072"/>
    </row>
    <row r="60" spans="1:22" x14ac:dyDescent="0.2">
      <c r="B60" s="1053"/>
      <c r="C60" s="1054"/>
      <c r="D60" s="1055"/>
      <c r="E60" s="646"/>
      <c r="F60" s="641"/>
      <c r="G60" s="647"/>
      <c r="H60" s="1025"/>
      <c r="K60" s="632"/>
      <c r="L60" s="632"/>
      <c r="M60" s="632"/>
      <c r="N60" s="632"/>
      <c r="O60" s="632"/>
      <c r="P60" s="632"/>
      <c r="Q60" s="632"/>
      <c r="S60" s="447"/>
      <c r="T60" s="444"/>
      <c r="U60" s="444"/>
      <c r="V60" s="444"/>
    </row>
    <row r="61" spans="1:22" x14ac:dyDescent="0.2">
      <c r="B61" s="1050" t="s">
        <v>343</v>
      </c>
      <c r="C61" s="1051"/>
      <c r="D61" s="1052"/>
      <c r="E61" s="1037" t="s">
        <v>393</v>
      </c>
      <c r="F61" s="1038"/>
      <c r="G61" s="664"/>
      <c r="H61" s="1023" t="s">
        <v>394</v>
      </c>
      <c r="K61" s="628"/>
      <c r="L61" s="628"/>
      <c r="M61" s="628"/>
      <c r="N61" s="628"/>
      <c r="O61" s="628"/>
      <c r="P61" s="628"/>
      <c r="Q61" s="628"/>
      <c r="S61" s="366"/>
      <c r="T61" s="1072"/>
      <c r="U61" s="1072"/>
      <c r="V61" s="1072"/>
    </row>
    <row r="62" spans="1:22" x14ac:dyDescent="0.2">
      <c r="B62" s="1056"/>
      <c r="C62" s="1057"/>
      <c r="D62" s="1058"/>
      <c r="E62" s="1039"/>
      <c r="F62" s="1040"/>
      <c r="G62" s="648" t="s">
        <v>344</v>
      </c>
      <c r="H62" s="1024"/>
      <c r="I62" s="624" t="s">
        <v>371</v>
      </c>
      <c r="K62" s="390"/>
      <c r="L62" s="390"/>
      <c r="M62" s="628"/>
      <c r="N62" s="628"/>
      <c r="O62" s="628"/>
      <c r="S62" s="627"/>
      <c r="T62" s="1072"/>
      <c r="U62" s="1072"/>
      <c r="V62" s="1072"/>
    </row>
    <row r="63" spans="1:22" x14ac:dyDescent="0.2">
      <c r="B63" s="1053"/>
      <c r="C63" s="1054"/>
      <c r="D63" s="1055"/>
      <c r="E63" s="642" t="s">
        <v>396</v>
      </c>
      <c r="F63" s="645"/>
      <c r="G63" s="650"/>
      <c r="H63" s="1025"/>
      <c r="K63" s="632"/>
      <c r="L63" s="632"/>
      <c r="M63" s="390"/>
      <c r="N63" s="390"/>
      <c r="O63" s="390"/>
      <c r="S63" s="447"/>
      <c r="T63" s="1072"/>
      <c r="U63" s="1072"/>
      <c r="V63" s="1072"/>
    </row>
    <row r="64" spans="1:22" x14ac:dyDescent="0.2">
      <c r="A64" s="368"/>
      <c r="B64" s="1050" t="s">
        <v>347</v>
      </c>
      <c r="C64" s="1051"/>
      <c r="D64" s="1052"/>
      <c r="E64" s="646" t="s">
        <v>395</v>
      </c>
      <c r="F64" s="641"/>
      <c r="G64" s="1023" t="s">
        <v>397</v>
      </c>
      <c r="H64" s="1026" t="s">
        <v>351</v>
      </c>
      <c r="I64" s="632"/>
      <c r="J64" s="632"/>
      <c r="K64" s="632"/>
      <c r="L64" s="632"/>
      <c r="M64" s="632"/>
      <c r="N64" s="632"/>
      <c r="O64" s="632"/>
      <c r="S64" s="627"/>
      <c r="T64" s="627"/>
      <c r="U64" s="627"/>
      <c r="V64" s="627"/>
    </row>
    <row r="65" spans="1:22" x14ac:dyDescent="0.2">
      <c r="A65" s="368"/>
      <c r="B65" s="1056"/>
      <c r="C65" s="1057"/>
      <c r="D65" s="1058"/>
      <c r="E65" s="1056"/>
      <c r="F65" s="1058"/>
      <c r="G65" s="1024"/>
      <c r="H65" s="1027"/>
      <c r="I65" s="628" t="s">
        <v>371</v>
      </c>
      <c r="J65" s="628"/>
      <c r="K65" s="632"/>
      <c r="L65" s="632"/>
      <c r="M65" s="632"/>
      <c r="N65" s="632"/>
      <c r="O65" s="632"/>
      <c r="S65" s="366"/>
      <c r="T65" s="1072"/>
      <c r="U65" s="1072"/>
      <c r="V65" s="1072"/>
    </row>
    <row r="66" spans="1:22" x14ac:dyDescent="0.2">
      <c r="A66" s="368"/>
      <c r="B66" s="1053"/>
      <c r="C66" s="1054"/>
      <c r="D66" s="1055"/>
      <c r="E66" s="1053"/>
      <c r="F66" s="1055"/>
      <c r="G66" s="1025"/>
      <c r="H66" s="1028"/>
      <c r="I66" s="628"/>
      <c r="J66" s="628"/>
      <c r="K66" s="628"/>
      <c r="L66" s="628"/>
      <c r="M66" s="632"/>
      <c r="N66" s="632"/>
      <c r="O66" s="632"/>
      <c r="S66" s="627"/>
      <c r="T66" s="1072"/>
      <c r="U66" s="1072"/>
      <c r="V66" s="1072"/>
    </row>
    <row r="67" spans="1:22" x14ac:dyDescent="0.2">
      <c r="A67" s="368"/>
      <c r="F67" s="624">
        <v>4</v>
      </c>
      <c r="G67" s="624">
        <v>6</v>
      </c>
      <c r="H67" s="628"/>
      <c r="I67" s="628"/>
      <c r="J67" s="628"/>
      <c r="K67" s="628"/>
      <c r="L67" s="628"/>
      <c r="M67" s="628"/>
      <c r="N67" s="628"/>
      <c r="O67" s="628"/>
      <c r="S67" s="366"/>
      <c r="T67" s="1072"/>
      <c r="U67" s="1072"/>
      <c r="V67" s="1072"/>
    </row>
    <row r="68" spans="1:22" x14ac:dyDescent="0.2">
      <c r="A68" s="1029" t="s">
        <v>359</v>
      </c>
      <c r="B68" s="1029"/>
      <c r="C68" s="1029"/>
      <c r="D68" s="1029"/>
      <c r="E68" s="1029"/>
      <c r="F68" s="1029"/>
      <c r="G68" s="1029"/>
      <c r="H68" s="1029"/>
      <c r="I68" s="1029"/>
      <c r="J68" s="1029"/>
      <c r="K68" s="1029"/>
      <c r="L68" s="1029"/>
      <c r="M68" s="1029"/>
      <c r="N68" s="628"/>
      <c r="O68" s="628"/>
      <c r="S68" s="627"/>
      <c r="T68" s="1072"/>
      <c r="U68" s="1072"/>
      <c r="V68" s="1072"/>
    </row>
    <row r="69" spans="1:22" x14ac:dyDescent="0.2">
      <c r="A69" s="1029"/>
      <c r="B69" s="1029"/>
      <c r="C69" s="1029"/>
      <c r="D69" s="1029"/>
      <c r="E69" s="1029"/>
      <c r="F69" s="1029"/>
      <c r="G69" s="1029"/>
      <c r="H69" s="1029"/>
      <c r="I69" s="1029"/>
      <c r="J69" s="1029"/>
      <c r="K69" s="1029"/>
      <c r="L69" s="1029"/>
      <c r="M69" s="1029"/>
      <c r="N69" s="628"/>
      <c r="O69" s="628"/>
    </row>
    <row r="70" spans="1:22" ht="8.25" customHeight="1" x14ac:dyDescent="0.2">
      <c r="A70" s="1029"/>
      <c r="B70" s="1029"/>
      <c r="C70" s="1029"/>
      <c r="D70" s="1029"/>
      <c r="E70" s="1029"/>
      <c r="F70" s="1029"/>
      <c r="G70" s="1029"/>
      <c r="H70" s="1029"/>
      <c r="I70" s="1029"/>
      <c r="J70" s="1029"/>
      <c r="K70" s="1029"/>
      <c r="L70" s="1029"/>
      <c r="M70" s="1029"/>
      <c r="N70" s="628"/>
      <c r="O70" s="628"/>
    </row>
    <row r="71" spans="1:22" x14ac:dyDescent="0.2">
      <c r="A71" s="1030" t="s">
        <v>360</v>
      </c>
      <c r="B71" s="1030"/>
      <c r="C71" s="1030"/>
      <c r="D71" s="1030"/>
      <c r="E71" s="1030"/>
      <c r="F71" s="1030"/>
      <c r="G71" s="1030"/>
      <c r="H71" s="1030"/>
      <c r="I71" s="1030"/>
      <c r="J71" s="1030"/>
      <c r="K71" s="1030"/>
      <c r="L71" s="1030"/>
      <c r="M71" s="1030"/>
      <c r="N71" s="628"/>
      <c r="O71" s="628"/>
    </row>
    <row r="72" spans="1:22" ht="15" x14ac:dyDescent="0.25">
      <c r="A72" s="1030"/>
      <c r="B72" s="1030"/>
      <c r="C72" s="1030"/>
      <c r="D72" s="1030"/>
      <c r="E72" s="1030"/>
      <c r="F72" s="1030"/>
      <c r="G72" s="1030"/>
      <c r="H72" s="1030"/>
      <c r="I72" s="1030"/>
      <c r="J72" s="1030"/>
      <c r="K72" s="1030"/>
      <c r="L72" s="1030"/>
      <c r="M72" s="1030"/>
      <c r="N72" s="628"/>
      <c r="O72" s="628"/>
      <c r="P72" s="628"/>
      <c r="Q72" s="628"/>
      <c r="R72" s="391"/>
      <c r="S72" s="391"/>
      <c r="T72" s="391"/>
      <c r="U72" s="391"/>
      <c r="V72" s="391"/>
    </row>
    <row r="73" spans="1:22" s="672" customFormat="1" x14ac:dyDescent="0.2">
      <c r="A73" s="666"/>
      <c r="B73" s="669"/>
      <c r="C73" s="670"/>
      <c r="D73" s="669"/>
      <c r="E73" s="671"/>
      <c r="F73" s="670"/>
      <c r="G73" s="669"/>
      <c r="H73" s="628"/>
      <c r="I73" s="628"/>
      <c r="J73" s="628"/>
      <c r="K73" s="628"/>
      <c r="L73" s="628"/>
      <c r="M73" s="628"/>
    </row>
    <row r="74" spans="1:22" s="672" customFormat="1" x14ac:dyDescent="0.2">
      <c r="A74" s="1018" t="s">
        <v>367</v>
      </c>
      <c r="B74" s="1018"/>
      <c r="C74" s="1018"/>
      <c r="D74" s="1018"/>
      <c r="E74" s="1018"/>
      <c r="F74" s="1018"/>
      <c r="G74" s="1018"/>
      <c r="H74" s="1018"/>
      <c r="I74" s="1018"/>
      <c r="J74" s="1018"/>
      <c r="K74" s="1018"/>
      <c r="L74" s="1018"/>
      <c r="M74" s="1018"/>
    </row>
    <row r="75" spans="1:22" s="672" customFormat="1" x14ac:dyDescent="0.2">
      <c r="A75" s="1018"/>
      <c r="B75" s="1018"/>
      <c r="C75" s="1018"/>
      <c r="D75" s="1018"/>
      <c r="E75" s="1018"/>
      <c r="F75" s="1018"/>
      <c r="G75" s="1018"/>
      <c r="H75" s="1018"/>
      <c r="I75" s="1018"/>
      <c r="J75" s="1018"/>
      <c r="K75" s="1018"/>
      <c r="L75" s="1018"/>
      <c r="M75" s="1018"/>
    </row>
    <row r="76" spans="1:22" s="672" customFormat="1" x14ac:dyDescent="0.2">
      <c r="A76" s="1018"/>
      <c r="B76" s="1018"/>
      <c r="C76" s="1018"/>
      <c r="D76" s="1018"/>
      <c r="E76" s="1018"/>
      <c r="F76" s="1018"/>
      <c r="G76" s="1018"/>
      <c r="H76" s="1018"/>
      <c r="I76" s="1018"/>
      <c r="J76" s="1018"/>
      <c r="K76" s="1018"/>
      <c r="L76" s="1018"/>
      <c r="M76" s="1018"/>
    </row>
    <row r="78" spans="1:22" x14ac:dyDescent="0.2">
      <c r="C78" s="667" t="s">
        <v>361</v>
      </c>
      <c r="D78" s="1020" t="s">
        <v>362</v>
      </c>
      <c r="E78" s="1021"/>
      <c r="F78" s="1022"/>
      <c r="G78" s="1019" t="s">
        <v>366</v>
      </c>
      <c r="H78" s="1019"/>
    </row>
    <row r="79" spans="1:22" x14ac:dyDescent="0.2">
      <c r="C79" s="667" t="s">
        <v>363</v>
      </c>
      <c r="D79" s="1020" t="s">
        <v>364</v>
      </c>
      <c r="E79" s="1021"/>
      <c r="F79" s="1022"/>
      <c r="G79" s="1019" t="s">
        <v>365</v>
      </c>
      <c r="H79" s="1019"/>
    </row>
    <row r="80" spans="1:22" x14ac:dyDescent="0.2">
      <c r="C80" s="668"/>
      <c r="D80" s="668"/>
      <c r="E80" s="668"/>
      <c r="F80" s="668"/>
      <c r="G80" s="668"/>
    </row>
  </sheetData>
  <mergeCells count="41">
    <mergeCell ref="A42:K44"/>
    <mergeCell ref="A34:M36"/>
    <mergeCell ref="S47:V47"/>
    <mergeCell ref="T65:V66"/>
    <mergeCell ref="T67:V68"/>
    <mergeCell ref="T54:V59"/>
    <mergeCell ref="T61:V63"/>
    <mergeCell ref="T49:V52"/>
    <mergeCell ref="A46:M47"/>
    <mergeCell ref="E66:F66"/>
    <mergeCell ref="E65:F65"/>
    <mergeCell ref="H54:H55"/>
    <mergeCell ref="H51:H53"/>
    <mergeCell ref="B50:H50"/>
    <mergeCell ref="H56:H58"/>
    <mergeCell ref="H59:H60"/>
    <mergeCell ref="J4:K4"/>
    <mergeCell ref="A19:M21"/>
    <mergeCell ref="A22:M24"/>
    <mergeCell ref="A26:M28"/>
    <mergeCell ref="A30:M32"/>
    <mergeCell ref="H61:H63"/>
    <mergeCell ref="H64:H66"/>
    <mergeCell ref="A68:M70"/>
    <mergeCell ref="A71:M72"/>
    <mergeCell ref="B54:D55"/>
    <mergeCell ref="E54:F55"/>
    <mergeCell ref="G54:G55"/>
    <mergeCell ref="E61:F62"/>
    <mergeCell ref="B56:D58"/>
    <mergeCell ref="B59:D60"/>
    <mergeCell ref="B61:D63"/>
    <mergeCell ref="E56:F58"/>
    <mergeCell ref="G56:G58"/>
    <mergeCell ref="G64:G66"/>
    <mergeCell ref="B64:D66"/>
    <mergeCell ref="A74:M76"/>
    <mergeCell ref="G78:H78"/>
    <mergeCell ref="D79:F79"/>
    <mergeCell ref="G79:H79"/>
    <mergeCell ref="D78:F78"/>
  </mergeCells>
  <phoneticPr fontId="47"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O25"/>
  <sheetViews>
    <sheetView zoomScale="90" zoomScaleNormal="90" workbookViewId="0">
      <selection activeCell="C24" sqref="C24"/>
    </sheetView>
  </sheetViews>
  <sheetFormatPr baseColWidth="10" defaultRowHeight="15" x14ac:dyDescent="0.25"/>
  <cols>
    <col min="1" max="1" width="38.140625" style="465" bestFit="1" customWidth="1"/>
    <col min="2" max="2" width="12.7109375" style="465" bestFit="1" customWidth="1"/>
    <col min="3" max="13" width="13.85546875" style="465" bestFit="1" customWidth="1"/>
    <col min="14" max="14" width="14.85546875" style="465" bestFit="1" customWidth="1"/>
    <col min="15" max="15" width="13.85546875" style="465" bestFit="1" customWidth="1"/>
    <col min="16" max="16384" width="11.42578125" style="465"/>
  </cols>
  <sheetData>
    <row r="2" spans="1:15" ht="15.75" x14ac:dyDescent="0.25">
      <c r="A2" s="1082" t="s">
        <v>257</v>
      </c>
      <c r="B2" s="1082"/>
      <c r="C2" s="1082"/>
      <c r="D2" s="1082"/>
    </row>
    <row r="4" spans="1:15" x14ac:dyDescent="0.25">
      <c r="A4" s="466" t="s">
        <v>265</v>
      </c>
      <c r="B4" s="467" t="s">
        <v>240</v>
      </c>
      <c r="C4" s="467" t="s">
        <v>241</v>
      </c>
      <c r="D4" s="467" t="s">
        <v>242</v>
      </c>
      <c r="E4" s="467" t="s">
        <v>243</v>
      </c>
      <c r="F4" s="467" t="s">
        <v>244</v>
      </c>
      <c r="G4" s="467" t="s">
        <v>245</v>
      </c>
      <c r="H4" s="467" t="s">
        <v>246</v>
      </c>
      <c r="I4" s="467" t="s">
        <v>247</v>
      </c>
      <c r="J4" s="467" t="s">
        <v>248</v>
      </c>
      <c r="K4" s="467" t="s">
        <v>249</v>
      </c>
      <c r="L4" s="467" t="s">
        <v>250</v>
      </c>
      <c r="M4" s="467" t="s">
        <v>251</v>
      </c>
    </row>
    <row r="5" spans="1:15" x14ac:dyDescent="0.25">
      <c r="A5" s="468" t="s">
        <v>258</v>
      </c>
      <c r="B5" s="469"/>
      <c r="C5" s="469"/>
      <c r="D5" s="469">
        <f>+'B) Reajuste Tarifas y Ocupación'!$I$28</f>
        <v>59</v>
      </c>
      <c r="E5" s="469">
        <f>+'B) Reajuste Tarifas y Ocupación'!$I$28</f>
        <v>59</v>
      </c>
      <c r="F5" s="469">
        <f>+'B) Reajuste Tarifas y Ocupación'!$I$28</f>
        <v>59</v>
      </c>
      <c r="G5" s="469">
        <f>+'B) Reajuste Tarifas y Ocupación'!$I$28</f>
        <v>59</v>
      </c>
      <c r="H5" s="469">
        <f>+'B) Reajuste Tarifas y Ocupación'!$I$28</f>
        <v>59</v>
      </c>
      <c r="I5" s="469">
        <f>+'B) Reajuste Tarifas y Ocupación'!$I$28</f>
        <v>59</v>
      </c>
      <c r="J5" s="469">
        <f>+'B) Reajuste Tarifas y Ocupación'!$I$28</f>
        <v>59</v>
      </c>
      <c r="K5" s="469">
        <f>+'B) Reajuste Tarifas y Ocupación'!$I$28</f>
        <v>59</v>
      </c>
      <c r="L5" s="469">
        <f>+'B) Reajuste Tarifas y Ocupación'!$I$28</f>
        <v>59</v>
      </c>
      <c r="M5" s="469">
        <f>+'B) Reajuste Tarifas y Ocupación'!$I$28</f>
        <v>59</v>
      </c>
    </row>
    <row r="6" spans="1:15" x14ac:dyDescent="0.25">
      <c r="A6" s="468" t="s">
        <v>259</v>
      </c>
      <c r="B6" s="469">
        <f>+COUNTA('F) Remuneraciones'!$C$11:$C$25)</f>
        <v>11</v>
      </c>
      <c r="C6" s="469">
        <f>+COUNTA('F) Remuneraciones'!$C$11:$C$25)</f>
        <v>11</v>
      </c>
      <c r="D6" s="469">
        <f>+COUNTA('F) Remuneraciones'!$C$11:$C$25)</f>
        <v>11</v>
      </c>
      <c r="E6" s="469">
        <f>+COUNTA('F) Remuneraciones'!$C$11:$C$25)</f>
        <v>11</v>
      </c>
      <c r="F6" s="469">
        <f>+COUNTA('F) Remuneraciones'!$C$11:$C$25)</f>
        <v>11</v>
      </c>
      <c r="G6" s="469">
        <f>+COUNTA('F) Remuneraciones'!$C$11:$C$25)</f>
        <v>11</v>
      </c>
      <c r="H6" s="469">
        <f>+COUNTA('F) Remuneraciones'!$C$11:$C$25)</f>
        <v>11</v>
      </c>
      <c r="I6" s="469">
        <f>+COUNTA('F) Remuneraciones'!$C$11:$C$25)</f>
        <v>11</v>
      </c>
      <c r="J6" s="469">
        <f>+COUNTA('F) Remuneraciones'!$C$11:$C$25)</f>
        <v>11</v>
      </c>
      <c r="K6" s="469">
        <f>+COUNTA('F) Remuneraciones'!$C$11:$C$25)</f>
        <v>11</v>
      </c>
      <c r="L6" s="469">
        <f>+COUNTA('F) Remuneraciones'!$C$11:$C$25)</f>
        <v>11</v>
      </c>
      <c r="M6" s="469">
        <f>+COUNTA('F) Remuneraciones'!$C$11:$C$25)</f>
        <v>11</v>
      </c>
    </row>
    <row r="7" spans="1:15" x14ac:dyDescent="0.25">
      <c r="A7" s="468"/>
      <c r="B7" s="470"/>
      <c r="C7" s="470"/>
      <c r="D7" s="470"/>
      <c r="E7" s="470"/>
      <c r="F7" s="470"/>
      <c r="G7" s="470"/>
      <c r="H7" s="470"/>
      <c r="I7" s="470"/>
      <c r="J7" s="470"/>
      <c r="K7" s="470"/>
      <c r="L7" s="470"/>
      <c r="M7" s="470"/>
    </row>
    <row r="8" spans="1:15" ht="30" x14ac:dyDescent="0.25">
      <c r="A8" s="471" t="str">
        <f>+'A) Resumen Ingresos y Egresos'!A20</f>
        <v>Jardín Infantil Mar y Cielo</v>
      </c>
      <c r="B8" s="467" t="s">
        <v>240</v>
      </c>
      <c r="C8" s="467" t="s">
        <v>241</v>
      </c>
      <c r="D8" s="467" t="s">
        <v>242</v>
      </c>
      <c r="E8" s="467" t="s">
        <v>243</v>
      </c>
      <c r="F8" s="467" t="s">
        <v>244</v>
      </c>
      <c r="G8" s="467" t="s">
        <v>245</v>
      </c>
      <c r="H8" s="467" t="s">
        <v>246</v>
      </c>
      <c r="I8" s="467" t="s">
        <v>247</v>
      </c>
      <c r="J8" s="467" t="s">
        <v>248</v>
      </c>
      <c r="K8" s="467" t="s">
        <v>249</v>
      </c>
      <c r="L8" s="467" t="s">
        <v>250</v>
      </c>
      <c r="M8" s="467" t="s">
        <v>251</v>
      </c>
      <c r="N8" s="467" t="s">
        <v>260</v>
      </c>
    </row>
    <row r="9" spans="1:15" x14ac:dyDescent="0.25">
      <c r="A9" s="472" t="s">
        <v>252</v>
      </c>
      <c r="B9" s="473">
        <f>+'A) Resumen Ingresos y Egresos'!P29</f>
        <v>0</v>
      </c>
      <c r="C9" s="473">
        <f>+'A) Resumen Ingresos y Egresos'!N29*0.7</f>
        <v>5115600</v>
      </c>
      <c r="D9" s="473">
        <f>+'A) Resumen Ingresos y Egresos'!N29*0.3+'A) Resumen Ingresos y Egresos'!O29*0.1</f>
        <v>9500400</v>
      </c>
      <c r="E9" s="473">
        <f>+'A) Resumen Ingresos y Egresos'!$O$29*0.1</f>
        <v>7308000</v>
      </c>
      <c r="F9" s="473">
        <f>+'A) Resumen Ingresos y Egresos'!$O$29*0.1</f>
        <v>7308000</v>
      </c>
      <c r="G9" s="473">
        <f>+'A) Resumen Ingresos y Egresos'!$O$29*0.1</f>
        <v>7308000</v>
      </c>
      <c r="H9" s="473">
        <f>+'A) Resumen Ingresos y Egresos'!$O$29*0.1</f>
        <v>7308000</v>
      </c>
      <c r="I9" s="473">
        <f>+'A) Resumen Ingresos y Egresos'!$O$29*0.1</f>
        <v>7308000</v>
      </c>
      <c r="J9" s="473">
        <f>+'A) Resumen Ingresos y Egresos'!$O$29*0.1</f>
        <v>7308000</v>
      </c>
      <c r="K9" s="473">
        <f>+'A) Resumen Ingresos y Egresos'!$O$29*0.1</f>
        <v>7308000</v>
      </c>
      <c r="L9" s="473">
        <f>+'A) Resumen Ingresos y Egresos'!$O$29*0.1</f>
        <v>7308000</v>
      </c>
      <c r="M9" s="473">
        <f>+'A) Resumen Ingresos y Egresos'!$O$29*0.1</f>
        <v>7308000</v>
      </c>
      <c r="N9" s="474">
        <f>SUM(B9:M9)</f>
        <v>80388000</v>
      </c>
    </row>
    <row r="10" spans="1:15" x14ac:dyDescent="0.25">
      <c r="A10" s="472" t="s">
        <v>253</v>
      </c>
      <c r="B10" s="473">
        <f>SUM('F) Remuneraciones'!$H$11:$H$25)/12</f>
        <v>4578869.333333333</v>
      </c>
      <c r="C10" s="473">
        <f>SUM('F) Remuneraciones'!$H$11:$H$25)/12</f>
        <v>4578869.333333333</v>
      </c>
      <c r="D10" s="473">
        <f>SUM('F) Remuneraciones'!$H$11:$H$25)/12</f>
        <v>4578869.333333333</v>
      </c>
      <c r="E10" s="473">
        <f>SUM('F) Remuneraciones'!$H$11:$H$25)/12</f>
        <v>4578869.333333333</v>
      </c>
      <c r="F10" s="473">
        <f>SUM('F) Remuneraciones'!$H$11:$H$25)/12</f>
        <v>4578869.333333333</v>
      </c>
      <c r="G10" s="473">
        <f>SUM('F) Remuneraciones'!$H$11:$H$25)/12</f>
        <v>4578869.333333333</v>
      </c>
      <c r="H10" s="473">
        <f>SUM('F) Remuneraciones'!$H$11:$H$25)/12</f>
        <v>4578869.333333333</v>
      </c>
      <c r="I10" s="473">
        <f>SUM('F) Remuneraciones'!$H$11:$H$25)/12</f>
        <v>4578869.333333333</v>
      </c>
      <c r="J10" s="473">
        <f>SUM('F) Remuneraciones'!$H$11:$H$25)/12</f>
        <v>4578869.333333333</v>
      </c>
      <c r="K10" s="473">
        <f>SUM('F) Remuneraciones'!$H$11:$H$25)/12</f>
        <v>4578869.333333333</v>
      </c>
      <c r="L10" s="473">
        <f>SUM('F) Remuneraciones'!$H$11:$H$25)/12</f>
        <v>4578869.333333333</v>
      </c>
      <c r="M10" s="473">
        <f>SUM('F) Remuneraciones'!$H$11:$H$25)/12</f>
        <v>4578869.333333333</v>
      </c>
      <c r="N10" s="474">
        <f t="shared" ref="N10:N12" si="0">SUM(B10:M10)</f>
        <v>54946432.000000007</v>
      </c>
    </row>
    <row r="11" spans="1:15" x14ac:dyDescent="0.25">
      <c r="A11" s="472" t="s">
        <v>255</v>
      </c>
      <c r="B11" s="473">
        <f>SUM('F) Remuneraciones'!I11:I25)*0.5</f>
        <v>802081.5</v>
      </c>
      <c r="C11" s="473">
        <v>0</v>
      </c>
      <c r="D11" s="473">
        <v>0</v>
      </c>
      <c r="E11" s="473">
        <v>0</v>
      </c>
      <c r="F11" s="473">
        <v>0</v>
      </c>
      <c r="G11" s="473">
        <v>0</v>
      </c>
      <c r="H11" s="473">
        <v>0</v>
      </c>
      <c r="I11" s="473">
        <v>0</v>
      </c>
      <c r="J11" s="473">
        <f>SUM('F) Remuneraciones'!J11:J25)*0.5</f>
        <v>299947.5</v>
      </c>
      <c r="K11" s="473">
        <v>0</v>
      </c>
      <c r="L11" s="473">
        <v>0</v>
      </c>
      <c r="M11" s="473">
        <f>+B11+J11</f>
        <v>1102029</v>
      </c>
      <c r="N11" s="474">
        <f t="shared" si="0"/>
        <v>2204058</v>
      </c>
    </row>
    <row r="12" spans="1:15" x14ac:dyDescent="0.25">
      <c r="A12" s="472" t="s">
        <v>254</v>
      </c>
      <c r="B12" s="473">
        <f>(+'C) Costos Directos'!$H$75-'C) Costos Directos'!$D$14)/12</f>
        <v>2391252.0750000007</v>
      </c>
      <c r="C12" s="473">
        <f>(+'C) Costos Directos'!$H$75-'C) Costos Directos'!$D$14)/12</f>
        <v>2391252.0750000007</v>
      </c>
      <c r="D12" s="473">
        <f>(+'C) Costos Directos'!$H$75-'C) Costos Directos'!$D$14)/12</f>
        <v>2391252.0750000007</v>
      </c>
      <c r="E12" s="473">
        <f>(+'C) Costos Directos'!$H$75-'C) Costos Directos'!$D$14)/12</f>
        <v>2391252.0750000007</v>
      </c>
      <c r="F12" s="473">
        <f>(+'C) Costos Directos'!$H$75-'C) Costos Directos'!$D$14)/12</f>
        <v>2391252.0750000007</v>
      </c>
      <c r="G12" s="473">
        <f>(+'C) Costos Directos'!$H$75-'C) Costos Directos'!$D$14)/12</f>
        <v>2391252.0750000007</v>
      </c>
      <c r="H12" s="473">
        <f>(+'C) Costos Directos'!$H$75-'C) Costos Directos'!$D$14)/12</f>
        <v>2391252.0750000007</v>
      </c>
      <c r="I12" s="473">
        <f>(+'C) Costos Directos'!$H$75-'C) Costos Directos'!$D$14)/12</f>
        <v>2391252.0750000007</v>
      </c>
      <c r="J12" s="473">
        <f>(+'C) Costos Directos'!$H$75-'C) Costos Directos'!$D$14)/12</f>
        <v>2391252.0750000007</v>
      </c>
      <c r="K12" s="473">
        <f>(+'C) Costos Directos'!$H$75-'C) Costos Directos'!$D$14)/12</f>
        <v>2391252.0750000007</v>
      </c>
      <c r="L12" s="473">
        <f>(+'C) Costos Directos'!$H$75-'C) Costos Directos'!$D$14)/12</f>
        <v>2391252.0750000007</v>
      </c>
      <c r="M12" s="473">
        <f>(+'C) Costos Directos'!$H$75-'C) Costos Directos'!$D$14)/12</f>
        <v>2391252.0750000007</v>
      </c>
      <c r="N12" s="474">
        <f t="shared" si="0"/>
        <v>28695024.900000002</v>
      </c>
      <c r="O12" s="473"/>
    </row>
    <row r="13" spans="1:15" x14ac:dyDescent="0.25">
      <c r="A13" s="475" t="s">
        <v>261</v>
      </c>
      <c r="B13" s="476">
        <f t="shared" ref="B13:M13" si="1">+B9-B10-B11-B12</f>
        <v>-7772202.9083333332</v>
      </c>
      <c r="C13" s="476">
        <f t="shared" si="1"/>
        <v>-1854521.4083333337</v>
      </c>
      <c r="D13" s="476">
        <f t="shared" si="1"/>
        <v>2530278.5916666663</v>
      </c>
      <c r="E13" s="476">
        <f t="shared" si="1"/>
        <v>337878.59166666633</v>
      </c>
      <c r="F13" s="476">
        <f t="shared" si="1"/>
        <v>337878.59166666633</v>
      </c>
      <c r="G13" s="476">
        <f t="shared" si="1"/>
        <v>337878.59166666633</v>
      </c>
      <c r="H13" s="476">
        <f t="shared" si="1"/>
        <v>337878.59166666633</v>
      </c>
      <c r="I13" s="476">
        <f t="shared" si="1"/>
        <v>337878.59166666633</v>
      </c>
      <c r="J13" s="476">
        <f t="shared" si="1"/>
        <v>37931.091666666325</v>
      </c>
      <c r="K13" s="476">
        <f t="shared" si="1"/>
        <v>337878.59166666633</v>
      </c>
      <c r="L13" s="476">
        <f t="shared" si="1"/>
        <v>337878.59166666633</v>
      </c>
      <c r="M13" s="476">
        <f t="shared" si="1"/>
        <v>-764150.40833333367</v>
      </c>
      <c r="N13" s="476">
        <f>+N9-N10-N11-N12</f>
        <v>-5457514.9000000097</v>
      </c>
      <c r="O13" s="473"/>
    </row>
    <row r="16" spans="1:15" x14ac:dyDescent="0.25">
      <c r="A16" s="466" t="s">
        <v>265</v>
      </c>
      <c r="B16" s="467" t="s">
        <v>240</v>
      </c>
      <c r="C16" s="467" t="s">
        <v>241</v>
      </c>
      <c r="D16" s="467" t="s">
        <v>242</v>
      </c>
      <c r="E16" s="467" t="s">
        <v>243</v>
      </c>
      <c r="F16" s="467" t="s">
        <v>244</v>
      </c>
      <c r="G16" s="467" t="s">
        <v>245</v>
      </c>
      <c r="H16" s="467" t="s">
        <v>246</v>
      </c>
      <c r="I16" s="467" t="s">
        <v>247</v>
      </c>
      <c r="J16" s="467" t="s">
        <v>248</v>
      </c>
      <c r="K16" s="467" t="s">
        <v>249</v>
      </c>
      <c r="L16" s="467" t="s">
        <v>250</v>
      </c>
      <c r="M16" s="467" t="s">
        <v>251</v>
      </c>
    </row>
    <row r="17" spans="1:14" x14ac:dyDescent="0.25">
      <c r="A17" s="468" t="s">
        <v>258</v>
      </c>
      <c r="B17" s="469"/>
      <c r="C17" s="469"/>
      <c r="D17" s="469">
        <f>+'B) Reajuste Tarifas y Ocupación'!$I$31</f>
        <v>11</v>
      </c>
      <c r="E17" s="469">
        <f>+'B) Reajuste Tarifas y Ocupación'!$I$31</f>
        <v>11</v>
      </c>
      <c r="F17" s="469">
        <f>+'B) Reajuste Tarifas y Ocupación'!$I$31</f>
        <v>11</v>
      </c>
      <c r="G17" s="469">
        <f>+'B) Reajuste Tarifas y Ocupación'!$I$31</f>
        <v>11</v>
      </c>
      <c r="H17" s="469">
        <f>+'B) Reajuste Tarifas y Ocupación'!$I$31</f>
        <v>11</v>
      </c>
      <c r="I17" s="469">
        <f>+'B) Reajuste Tarifas y Ocupación'!$I$31</f>
        <v>11</v>
      </c>
      <c r="J17" s="469">
        <f>+'B) Reajuste Tarifas y Ocupación'!$I$31</f>
        <v>11</v>
      </c>
      <c r="K17" s="469">
        <f>+'B) Reajuste Tarifas y Ocupación'!$I$31</f>
        <v>11</v>
      </c>
      <c r="L17" s="469">
        <f>+'B) Reajuste Tarifas y Ocupación'!$I$31</f>
        <v>11</v>
      </c>
      <c r="M17" s="469">
        <f>+'B) Reajuste Tarifas y Ocupación'!$I$31</f>
        <v>11</v>
      </c>
    </row>
    <row r="18" spans="1:14" x14ac:dyDescent="0.25">
      <c r="A18" s="468" t="s">
        <v>259</v>
      </c>
      <c r="B18" s="469">
        <f>+COUNTA('F) Remuneraciones'!$C$26:$C$40)</f>
        <v>5</v>
      </c>
      <c r="C18" s="469">
        <f>+COUNTA('F) Remuneraciones'!$C$26:$C$40)</f>
        <v>5</v>
      </c>
      <c r="D18" s="469">
        <f>+COUNTA('F) Remuneraciones'!$C$26:$C$40)</f>
        <v>5</v>
      </c>
      <c r="E18" s="469">
        <f>+COUNTA('F) Remuneraciones'!$C$26:$C$40)</f>
        <v>5</v>
      </c>
      <c r="F18" s="469">
        <f>+COUNTA('F) Remuneraciones'!$C$26:$C$40)</f>
        <v>5</v>
      </c>
      <c r="G18" s="469">
        <f>+COUNTA('F) Remuneraciones'!$C$26:$C$40)</f>
        <v>5</v>
      </c>
      <c r="H18" s="469">
        <f>+COUNTA('F) Remuneraciones'!$C$26:$C$40)</f>
        <v>5</v>
      </c>
      <c r="I18" s="469">
        <f>+COUNTA('F) Remuneraciones'!$C$26:$C$40)</f>
        <v>5</v>
      </c>
      <c r="J18" s="469">
        <f>+COUNTA('F) Remuneraciones'!$C$26:$C$40)</f>
        <v>5</v>
      </c>
      <c r="K18" s="469">
        <f>+COUNTA('F) Remuneraciones'!$C$26:$C$40)</f>
        <v>5</v>
      </c>
      <c r="L18" s="469">
        <f>+COUNTA('F) Remuneraciones'!$C$26:$C$40)</f>
        <v>5</v>
      </c>
      <c r="M18" s="469">
        <f>+COUNTA('F) Remuneraciones'!$C$26:$C$40)</f>
        <v>5</v>
      </c>
    </row>
    <row r="19" spans="1:14" x14ac:dyDescent="0.25">
      <c r="A19" s="468"/>
      <c r="B19" s="470"/>
      <c r="C19" s="470"/>
      <c r="D19" s="470"/>
      <c r="E19" s="470"/>
      <c r="F19" s="470"/>
      <c r="G19" s="470"/>
      <c r="H19" s="470"/>
      <c r="I19" s="470"/>
      <c r="J19" s="470"/>
      <c r="K19" s="470"/>
      <c r="L19" s="470"/>
      <c r="M19" s="470"/>
    </row>
    <row r="20" spans="1:14" ht="30" x14ac:dyDescent="0.25">
      <c r="A20" s="471" t="str">
        <f>+'A) Resumen Ingresos y Egresos'!A30</f>
        <v>Sala Cuna Mar y Cielo Diurna</v>
      </c>
      <c r="B20" s="467" t="s">
        <v>240</v>
      </c>
      <c r="C20" s="467" t="s">
        <v>241</v>
      </c>
      <c r="D20" s="467" t="s">
        <v>242</v>
      </c>
      <c r="E20" s="467" t="s">
        <v>243</v>
      </c>
      <c r="F20" s="467" t="s">
        <v>244</v>
      </c>
      <c r="G20" s="467" t="s">
        <v>245</v>
      </c>
      <c r="H20" s="467" t="s">
        <v>246</v>
      </c>
      <c r="I20" s="467" t="s">
        <v>247</v>
      </c>
      <c r="J20" s="467" t="s">
        <v>248</v>
      </c>
      <c r="K20" s="467" t="s">
        <v>249</v>
      </c>
      <c r="L20" s="467" t="s">
        <v>250</v>
      </c>
      <c r="M20" s="467" t="s">
        <v>251</v>
      </c>
      <c r="N20" s="467" t="s">
        <v>260</v>
      </c>
    </row>
    <row r="21" spans="1:14" x14ac:dyDescent="0.25">
      <c r="A21" s="472" t="s">
        <v>252</v>
      </c>
      <c r="B21" s="473">
        <f>(+'A) Resumen Ingresos y Egresos'!$N$39+'A) Resumen Ingresos y Egresos'!$O$39)/12</f>
        <v>3670300</v>
      </c>
      <c r="C21" s="473">
        <f>(+'A) Resumen Ingresos y Egresos'!$N$39+'A) Resumen Ingresos y Egresos'!$O$39)/12</f>
        <v>3670300</v>
      </c>
      <c r="D21" s="473">
        <f>(+'A) Resumen Ingresos y Egresos'!$N$39+'A) Resumen Ingresos y Egresos'!$O$39)/12</f>
        <v>3670300</v>
      </c>
      <c r="E21" s="473">
        <f>(+'A) Resumen Ingresos y Egresos'!$N$39+'A) Resumen Ingresos y Egresos'!$O$39)/12</f>
        <v>3670300</v>
      </c>
      <c r="F21" s="473">
        <f>(+'A) Resumen Ingresos y Egresos'!$N$39+'A) Resumen Ingresos y Egresos'!$O$39)/12</f>
        <v>3670300</v>
      </c>
      <c r="G21" s="473">
        <f>(+'A) Resumen Ingresos y Egresos'!$N$39+'A) Resumen Ingresos y Egresos'!$O$39)/12</f>
        <v>3670300</v>
      </c>
      <c r="H21" s="473">
        <f>(+'A) Resumen Ingresos y Egresos'!$N$39+'A) Resumen Ingresos y Egresos'!$O$39)/12</f>
        <v>3670300</v>
      </c>
      <c r="I21" s="473">
        <f>(+'A) Resumen Ingresos y Egresos'!$N$39+'A) Resumen Ingresos y Egresos'!$O$39)/12</f>
        <v>3670300</v>
      </c>
      <c r="J21" s="473">
        <f>(+'A) Resumen Ingresos y Egresos'!$N$39+'A) Resumen Ingresos y Egresos'!$O$39)/12</f>
        <v>3670300</v>
      </c>
      <c r="K21" s="473">
        <f>(+'A) Resumen Ingresos y Egresos'!$N$39+'A) Resumen Ingresos y Egresos'!$O$39)/12</f>
        <v>3670300</v>
      </c>
      <c r="L21" s="473">
        <f>(+'A) Resumen Ingresos y Egresos'!$N$39+'A) Resumen Ingresos y Egresos'!$O$39)/12</f>
        <v>3670300</v>
      </c>
      <c r="M21" s="473">
        <f>(+'A) Resumen Ingresos y Egresos'!$N$39+'A) Resumen Ingresos y Egresos'!$O$39)/12</f>
        <v>3670300</v>
      </c>
      <c r="N21" s="474">
        <f>SUM(B21:M21)</f>
        <v>44043600</v>
      </c>
    </row>
    <row r="22" spans="1:14" x14ac:dyDescent="0.25">
      <c r="A22" s="472" t="s">
        <v>253</v>
      </c>
      <c r="B22" s="473">
        <f>SUM('F) Remuneraciones'!$H$26:$H$40)/12</f>
        <v>2649388.4444444445</v>
      </c>
      <c r="C22" s="473">
        <f>SUM('F) Remuneraciones'!$H$26:$H$40)/12</f>
        <v>2649388.4444444445</v>
      </c>
      <c r="D22" s="473">
        <f>SUM('F) Remuneraciones'!$H$26:$H$40)/12</f>
        <v>2649388.4444444445</v>
      </c>
      <c r="E22" s="473">
        <f>SUM('F) Remuneraciones'!$H$26:$H$40)/12</f>
        <v>2649388.4444444445</v>
      </c>
      <c r="F22" s="473">
        <f>SUM('F) Remuneraciones'!$H$26:$H$40)/12</f>
        <v>2649388.4444444445</v>
      </c>
      <c r="G22" s="473">
        <f>SUM('F) Remuneraciones'!$H$26:$H$40)/12</f>
        <v>2649388.4444444445</v>
      </c>
      <c r="H22" s="473">
        <f>SUM('F) Remuneraciones'!$H$26:$H$40)/12</f>
        <v>2649388.4444444445</v>
      </c>
      <c r="I22" s="473">
        <f>SUM('F) Remuneraciones'!$H$26:$H$40)/12</f>
        <v>2649388.4444444445</v>
      </c>
      <c r="J22" s="473">
        <f>SUM('F) Remuneraciones'!$H$26:$H$40)/12</f>
        <v>2649388.4444444445</v>
      </c>
      <c r="K22" s="473">
        <f>SUM('F) Remuneraciones'!$H$26:$H$40)/12</f>
        <v>2649388.4444444445</v>
      </c>
      <c r="L22" s="473">
        <f>SUM('F) Remuneraciones'!$H$26:$H$40)/12</f>
        <v>2649388.4444444445</v>
      </c>
      <c r="M22" s="473">
        <f>SUM('F) Remuneraciones'!$H$26:$H$40)/12</f>
        <v>2649388.4444444445</v>
      </c>
      <c r="N22" s="474">
        <f t="shared" ref="N22:N24" si="2">SUM(B22:M22)</f>
        <v>31792661.333333332</v>
      </c>
    </row>
    <row r="23" spans="1:14" x14ac:dyDescent="0.25">
      <c r="A23" s="472" t="s">
        <v>255</v>
      </c>
      <c r="B23" s="473">
        <f>SUM('F) Remuneraciones'!I26:I40)*0.5</f>
        <v>462259.5</v>
      </c>
      <c r="C23" s="473">
        <v>0</v>
      </c>
      <c r="D23" s="473">
        <v>0</v>
      </c>
      <c r="E23" s="473">
        <v>0</v>
      </c>
      <c r="F23" s="473">
        <v>0</v>
      </c>
      <c r="G23" s="473">
        <v>0</v>
      </c>
      <c r="H23" s="473">
        <v>0</v>
      </c>
      <c r="I23" s="473">
        <v>0</v>
      </c>
      <c r="J23" s="473">
        <f>SUM('F) Remuneraciones'!J26:J40)*0.5</f>
        <v>233292.5</v>
      </c>
      <c r="K23" s="473">
        <v>0</v>
      </c>
      <c r="L23" s="473">
        <v>0</v>
      </c>
      <c r="M23" s="473">
        <f>+B23+J23</f>
        <v>695552</v>
      </c>
      <c r="N23" s="474">
        <f t="shared" si="2"/>
        <v>1391104</v>
      </c>
    </row>
    <row r="24" spans="1:14" x14ac:dyDescent="0.25">
      <c r="A24" s="472" t="s">
        <v>254</v>
      </c>
      <c r="B24" s="473">
        <f>(+'C) Costos Directos'!$H$141-'C) Costos Directos'!$D$80)/12</f>
        <v>658916.6666666664</v>
      </c>
      <c r="C24" s="473">
        <f>(+'C) Costos Directos'!$H$141-'C) Costos Directos'!$D$80)/12</f>
        <v>658916.6666666664</v>
      </c>
      <c r="D24" s="473">
        <f>(+'C) Costos Directos'!$H$141-'C) Costos Directos'!$D$80)/12</f>
        <v>658916.6666666664</v>
      </c>
      <c r="E24" s="473">
        <f>(+'C) Costos Directos'!$H$141-'C) Costos Directos'!$D$80)/12</f>
        <v>658916.6666666664</v>
      </c>
      <c r="F24" s="473">
        <f>(+'C) Costos Directos'!$H$141-'C) Costos Directos'!$D$80)/12</f>
        <v>658916.6666666664</v>
      </c>
      <c r="G24" s="473">
        <f>(+'C) Costos Directos'!$H$141-'C) Costos Directos'!$D$80)/12</f>
        <v>658916.6666666664</v>
      </c>
      <c r="H24" s="473">
        <f>(+'C) Costos Directos'!$H$141-'C) Costos Directos'!$D$80)/12</f>
        <v>658916.6666666664</v>
      </c>
      <c r="I24" s="473">
        <f>(+'C) Costos Directos'!$H$141-'C) Costos Directos'!$D$80)/12</f>
        <v>658916.6666666664</v>
      </c>
      <c r="J24" s="473">
        <f>(+'C) Costos Directos'!$H$141-'C) Costos Directos'!$D$80)/12</f>
        <v>658916.6666666664</v>
      </c>
      <c r="K24" s="473">
        <f>(+'C) Costos Directos'!$H$141-'C) Costos Directos'!$D$80)/12</f>
        <v>658916.6666666664</v>
      </c>
      <c r="L24" s="473">
        <f>(+'C) Costos Directos'!$H$141-'C) Costos Directos'!$D$80)/12</f>
        <v>658916.6666666664</v>
      </c>
      <c r="M24" s="473">
        <f>(+'C) Costos Directos'!$H$141-'C) Costos Directos'!$D$80)/12</f>
        <v>658916.6666666664</v>
      </c>
      <c r="N24" s="474">
        <f t="shared" si="2"/>
        <v>7906999.9999999953</v>
      </c>
    </row>
    <row r="25" spans="1:14" x14ac:dyDescent="0.25">
      <c r="A25" s="475" t="s">
        <v>261</v>
      </c>
      <c r="B25" s="476">
        <f t="shared" ref="B25:M25" si="3">+B21-B22-B23-B24</f>
        <v>-100264.61111111089</v>
      </c>
      <c r="C25" s="476">
        <f t="shared" si="3"/>
        <v>361994.88888888911</v>
      </c>
      <c r="D25" s="476">
        <f t="shared" si="3"/>
        <v>361994.88888888911</v>
      </c>
      <c r="E25" s="476">
        <f t="shared" si="3"/>
        <v>361994.88888888911</v>
      </c>
      <c r="F25" s="476">
        <f t="shared" si="3"/>
        <v>361994.88888888911</v>
      </c>
      <c r="G25" s="476">
        <f t="shared" si="3"/>
        <v>361994.88888888911</v>
      </c>
      <c r="H25" s="476">
        <f t="shared" si="3"/>
        <v>361994.88888888911</v>
      </c>
      <c r="I25" s="476">
        <f t="shared" si="3"/>
        <v>361994.88888888911</v>
      </c>
      <c r="J25" s="476">
        <f t="shared" si="3"/>
        <v>128702.38888888911</v>
      </c>
      <c r="K25" s="476">
        <f t="shared" si="3"/>
        <v>361994.88888888911</v>
      </c>
      <c r="L25" s="476">
        <f t="shared" si="3"/>
        <v>361994.88888888911</v>
      </c>
      <c r="M25" s="476">
        <f t="shared" si="3"/>
        <v>-333557.11111111089</v>
      </c>
      <c r="N25" s="476">
        <f>+N21-N22-N23-N24</f>
        <v>2952834.6666666726</v>
      </c>
    </row>
  </sheetData>
  <sheetProtection algorithmName="SHA-512" hashValue="BjUjDpUQZ/T7gM0LlLPZtWT8zQyVOpEdmKOLy0Fb/4le3PRhSOxZ8mTsl1LogPRw/1BosVH07TB9MtzYiibKNg==" saltValue="lpQUnfHZy2HyVh08uFGGhg==" spinCount="100000" sheet="1" objects="1" scenarios="1"/>
  <mergeCells count="1">
    <mergeCell ref="A2:D2"/>
  </mergeCells>
  <pageMargins left="0.7" right="0.7" top="0.75" bottom="0.75" header="0.3" footer="0.3"/>
  <pageSetup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FF"/>
  </sheetPr>
  <dimension ref="B1:S56"/>
  <sheetViews>
    <sheetView showGridLines="0" zoomScale="80" zoomScaleNormal="80" workbookViewId="0">
      <selection activeCell="N15" sqref="N15"/>
    </sheetView>
  </sheetViews>
  <sheetFormatPr baseColWidth="10" defaultColWidth="11.42578125" defaultRowHeight="12.75" x14ac:dyDescent="0.2"/>
  <cols>
    <col min="1" max="16384" width="11.42578125" style="1"/>
  </cols>
  <sheetData>
    <row r="1" spans="2:11" x14ac:dyDescent="0.2">
      <c r="H1" s="44"/>
    </row>
    <row r="2" spans="2:11" x14ac:dyDescent="0.2">
      <c r="H2" s="44" t="s">
        <v>85</v>
      </c>
    </row>
    <row r="5" spans="2:11" x14ac:dyDescent="0.2">
      <c r="B5" s="776" t="s">
        <v>159</v>
      </c>
      <c r="C5" s="776"/>
      <c r="D5" s="776"/>
      <c r="E5" s="776"/>
      <c r="F5" s="776"/>
    </row>
    <row r="7" spans="2:11" x14ac:dyDescent="0.2">
      <c r="C7" s="189" t="s">
        <v>144</v>
      </c>
      <c r="D7" s="189"/>
      <c r="E7" s="189"/>
      <c r="F7" s="189"/>
      <c r="G7" s="189"/>
      <c r="H7" s="189"/>
      <c r="I7" s="189"/>
      <c r="J7" s="189"/>
      <c r="K7" s="189"/>
    </row>
    <row r="9" spans="2:11" x14ac:dyDescent="0.2">
      <c r="C9" s="189" t="s">
        <v>145</v>
      </c>
      <c r="D9" s="189"/>
      <c r="E9" s="189"/>
      <c r="F9" s="189"/>
      <c r="G9" s="189"/>
      <c r="H9" s="189"/>
      <c r="I9" s="188"/>
      <c r="J9" s="188"/>
      <c r="K9" s="188"/>
    </row>
    <row r="11" spans="2:11" x14ac:dyDescent="0.2">
      <c r="B11" s="771" t="s">
        <v>160</v>
      </c>
      <c r="C11" s="771"/>
      <c r="D11" s="771"/>
      <c r="E11" s="771"/>
      <c r="F11" s="771"/>
    </row>
    <row r="13" spans="2:11" x14ac:dyDescent="0.2">
      <c r="C13" s="190" t="s">
        <v>146</v>
      </c>
      <c r="D13" s="190"/>
      <c r="E13" s="190"/>
      <c r="F13" s="190"/>
      <c r="G13" s="190"/>
      <c r="H13" s="190"/>
    </row>
    <row r="15" spans="2:11" x14ac:dyDescent="0.2">
      <c r="C15" s="190" t="s">
        <v>147</v>
      </c>
      <c r="D15" s="190"/>
      <c r="E15" s="190"/>
      <c r="F15" s="190"/>
      <c r="G15" s="190"/>
      <c r="H15" s="190"/>
      <c r="I15" s="188"/>
      <c r="J15" s="188"/>
      <c r="K15" s="188"/>
    </row>
    <row r="19" spans="2:16" x14ac:dyDescent="0.2">
      <c r="B19" s="771" t="s">
        <v>161</v>
      </c>
      <c r="C19" s="771"/>
      <c r="D19" s="771"/>
      <c r="E19" s="771"/>
      <c r="F19" s="771"/>
    </row>
    <row r="21" spans="2:16" x14ac:dyDescent="0.2">
      <c r="C21" s="190" t="s">
        <v>149</v>
      </c>
      <c r="D21" s="190"/>
      <c r="E21" s="190"/>
      <c r="F21" s="191"/>
      <c r="G21" s="191"/>
      <c r="H21" s="191"/>
    </row>
    <row r="22" spans="2:16" x14ac:dyDescent="0.2">
      <c r="C22" s="772"/>
      <c r="D22" s="772"/>
      <c r="E22" s="772"/>
      <c r="F22" s="772"/>
      <c r="G22" s="772"/>
      <c r="H22" s="772"/>
      <c r="I22" s="772"/>
      <c r="J22" s="772"/>
      <c r="K22" s="772"/>
    </row>
    <row r="24" spans="2:16" x14ac:dyDescent="0.2">
      <c r="B24" s="771" t="s">
        <v>162</v>
      </c>
      <c r="C24" s="771"/>
      <c r="D24" s="771"/>
      <c r="E24" s="771"/>
      <c r="F24" s="771"/>
    </row>
    <row r="26" spans="2:16" x14ac:dyDescent="0.2">
      <c r="C26" s="192" t="s">
        <v>150</v>
      </c>
      <c r="D26" s="192"/>
      <c r="E26" s="192"/>
      <c r="F26" s="192"/>
      <c r="G26" s="192"/>
      <c r="H26" s="192"/>
      <c r="I26" s="192"/>
      <c r="J26" s="192"/>
    </row>
    <row r="27" spans="2:16" ht="12.75" customHeight="1" x14ac:dyDescent="0.2">
      <c r="C27" s="773" t="s">
        <v>151</v>
      </c>
      <c r="D27" s="773"/>
      <c r="E27" s="773"/>
      <c r="F27" s="773"/>
      <c r="G27" s="773"/>
      <c r="H27" s="773"/>
      <c r="I27" s="773"/>
      <c r="J27" s="773"/>
      <c r="K27" s="773"/>
      <c r="L27" s="773"/>
      <c r="M27" s="773"/>
    </row>
    <row r="28" spans="2:16" ht="12.75" customHeight="1" x14ac:dyDescent="0.2">
      <c r="C28" s="773"/>
      <c r="D28" s="773"/>
      <c r="E28" s="773"/>
      <c r="F28" s="773"/>
      <c r="G28" s="773"/>
      <c r="H28" s="773"/>
      <c r="I28" s="773"/>
      <c r="J28" s="773"/>
      <c r="K28" s="773"/>
      <c r="L28" s="773"/>
      <c r="M28" s="773"/>
    </row>
    <row r="29" spans="2:16" ht="12.75" customHeight="1" x14ac:dyDescent="0.2">
      <c r="C29" s="192" t="s">
        <v>152</v>
      </c>
      <c r="D29" s="192"/>
      <c r="E29" s="192"/>
      <c r="F29" s="192"/>
      <c r="G29" s="192"/>
      <c r="H29" s="192"/>
      <c r="I29" s="192"/>
      <c r="J29" s="192"/>
      <c r="K29" s="192"/>
      <c r="L29" s="192"/>
      <c r="M29" s="192"/>
      <c r="N29" s="191"/>
    </row>
    <row r="30" spans="2:16" ht="12.75" customHeight="1" x14ac:dyDescent="0.2">
      <c r="C30" s="192"/>
      <c r="D30" s="192"/>
      <c r="E30" s="192"/>
      <c r="F30" s="192"/>
      <c r="G30" s="192"/>
      <c r="H30" s="192"/>
      <c r="I30" s="192"/>
      <c r="J30" s="192"/>
      <c r="K30" s="192"/>
      <c r="L30" s="192"/>
      <c r="M30" s="192"/>
      <c r="N30" s="191"/>
    </row>
    <row r="31" spans="2:16" ht="12.75" customHeight="1" x14ac:dyDescent="0.2">
      <c r="C31" s="196" t="s">
        <v>153</v>
      </c>
      <c r="D31" s="193"/>
      <c r="E31" s="193"/>
      <c r="F31" s="195"/>
      <c r="G31" s="193"/>
      <c r="H31" s="193"/>
      <c r="I31" s="193"/>
      <c r="J31" s="193"/>
      <c r="K31" s="193"/>
      <c r="L31" s="193"/>
      <c r="M31" s="193"/>
      <c r="N31" s="191"/>
      <c r="O31" s="191"/>
      <c r="P31" s="191"/>
    </row>
    <row r="32" spans="2:16" ht="12.75" customHeight="1" x14ac:dyDescent="0.2">
      <c r="C32" s="194"/>
      <c r="D32" s="194"/>
      <c r="E32" s="194"/>
      <c r="F32" s="194"/>
      <c r="G32" s="194"/>
      <c r="H32" s="194"/>
      <c r="I32" s="193"/>
      <c r="J32" s="193"/>
      <c r="K32" s="193"/>
      <c r="L32" s="193"/>
      <c r="M32" s="193"/>
      <c r="N32" s="191"/>
    </row>
    <row r="33" spans="2:19" ht="12.75" customHeight="1" x14ac:dyDescent="0.2">
      <c r="C33" s="774" t="s">
        <v>154</v>
      </c>
      <c r="D33" s="774"/>
      <c r="E33" s="774"/>
      <c r="F33" s="774"/>
      <c r="G33" s="774"/>
      <c r="H33" s="774"/>
      <c r="I33" s="774"/>
      <c r="J33" s="774"/>
      <c r="K33" s="774"/>
      <c r="L33" s="774"/>
      <c r="M33" s="774"/>
      <c r="N33" s="191"/>
    </row>
    <row r="34" spans="2:19" ht="12.75" customHeight="1" x14ac:dyDescent="0.2">
      <c r="C34" s="154"/>
      <c r="D34" s="154"/>
      <c r="E34" s="154"/>
      <c r="F34" s="154"/>
      <c r="G34" s="154"/>
      <c r="H34" s="154"/>
      <c r="I34" s="192"/>
      <c r="J34" s="192"/>
      <c r="K34" s="192"/>
      <c r="L34" s="192"/>
      <c r="M34" s="192"/>
      <c r="N34" s="191"/>
    </row>
    <row r="35" spans="2:19" ht="12.75" customHeight="1" x14ac:dyDescent="0.2">
      <c r="C35" s="193" t="s">
        <v>155</v>
      </c>
      <c r="D35" s="193"/>
      <c r="E35" s="193"/>
      <c r="F35" s="193"/>
      <c r="G35" s="193"/>
      <c r="H35" s="193"/>
      <c r="I35" s="193"/>
      <c r="J35" s="193"/>
      <c r="K35" s="193"/>
      <c r="L35" s="193"/>
      <c r="M35" s="193"/>
      <c r="N35" s="191"/>
    </row>
    <row r="36" spans="2:19" ht="12.75" customHeight="1" x14ac:dyDescent="0.2">
      <c r="C36" s="194"/>
      <c r="D36" s="194"/>
      <c r="E36" s="194"/>
      <c r="F36" s="194"/>
      <c r="G36" s="194"/>
      <c r="H36" s="194"/>
      <c r="I36" s="193"/>
      <c r="J36" s="193"/>
      <c r="K36" s="193"/>
      <c r="L36" s="193"/>
      <c r="M36" s="193"/>
      <c r="N36" s="191"/>
    </row>
    <row r="37" spans="2:19" ht="12.75" customHeight="1" x14ac:dyDescent="0.2">
      <c r="C37" s="117"/>
      <c r="D37" s="117"/>
      <c r="E37" s="117"/>
      <c r="F37" s="117"/>
      <c r="G37" s="117"/>
      <c r="H37" s="117"/>
      <c r="I37" s="117"/>
      <c r="J37" s="117"/>
      <c r="K37" s="117"/>
      <c r="L37" s="117"/>
      <c r="M37" s="117"/>
    </row>
    <row r="38" spans="2:19" ht="12.75" customHeight="1" x14ac:dyDescent="0.2">
      <c r="C38" s="117"/>
      <c r="D38" s="117"/>
      <c r="E38" s="117"/>
      <c r="F38" s="117"/>
      <c r="G38" s="117"/>
      <c r="H38" s="117"/>
      <c r="I38" s="117"/>
      <c r="J38" s="117"/>
      <c r="K38" s="117"/>
      <c r="L38" s="117"/>
      <c r="M38" s="117"/>
    </row>
    <row r="39" spans="2:19" ht="12.75" customHeight="1" x14ac:dyDescent="0.2">
      <c r="B39" s="196" t="s">
        <v>163</v>
      </c>
      <c r="C39" s="192"/>
      <c r="D39" s="117"/>
      <c r="E39" s="117"/>
      <c r="F39" s="117"/>
      <c r="G39" s="117"/>
      <c r="H39" s="117"/>
      <c r="I39" s="117"/>
      <c r="J39" s="117"/>
      <c r="K39" s="117"/>
      <c r="L39" s="117"/>
      <c r="M39" s="117"/>
    </row>
    <row r="40" spans="2:19" x14ac:dyDescent="0.2">
      <c r="O40" s="772"/>
      <c r="P40" s="772"/>
      <c r="Q40" s="772"/>
      <c r="R40" s="772"/>
      <c r="S40" s="772"/>
    </row>
    <row r="41" spans="2:19" x14ac:dyDescent="0.2">
      <c r="C41" s="775" t="s">
        <v>156</v>
      </c>
      <c r="D41" s="775"/>
      <c r="E41" s="775"/>
      <c r="F41" s="775"/>
    </row>
    <row r="42" spans="2:19" x14ac:dyDescent="0.2">
      <c r="C42" s="772"/>
      <c r="D42" s="772"/>
      <c r="E42" s="772"/>
      <c r="F42" s="772"/>
      <c r="G42" s="772"/>
      <c r="H42" s="772"/>
      <c r="I42" s="772"/>
      <c r="J42" s="772"/>
    </row>
    <row r="44" spans="2:19" x14ac:dyDescent="0.2">
      <c r="B44" s="771" t="s">
        <v>164</v>
      </c>
      <c r="C44" s="771"/>
      <c r="D44" s="771"/>
      <c r="E44" s="771"/>
      <c r="F44" s="771"/>
    </row>
    <row r="46" spans="2:19" x14ac:dyDescent="0.2">
      <c r="C46" s="197" t="s">
        <v>157</v>
      </c>
      <c r="D46" s="197"/>
      <c r="E46" s="197"/>
      <c r="F46" s="197"/>
      <c r="G46" s="197"/>
      <c r="H46" s="197"/>
      <c r="I46" s="197"/>
      <c r="J46" s="197"/>
      <c r="K46" s="198"/>
      <c r="L46" s="198"/>
      <c r="M46" s="198"/>
    </row>
    <row r="50" spans="2:13" x14ac:dyDescent="0.2">
      <c r="B50" s="771" t="s">
        <v>165</v>
      </c>
      <c r="C50" s="771"/>
      <c r="D50" s="771"/>
      <c r="E50" s="771"/>
      <c r="F50" s="771"/>
    </row>
    <row r="52" spans="2:13" x14ac:dyDescent="0.2">
      <c r="C52" s="192" t="s">
        <v>158</v>
      </c>
      <c r="D52" s="192"/>
      <c r="E52" s="192"/>
      <c r="F52" s="192"/>
      <c r="G52" s="191"/>
      <c r="H52" s="191"/>
      <c r="I52" s="191"/>
      <c r="J52" s="191"/>
      <c r="K52" s="191"/>
      <c r="L52" s="191"/>
      <c r="M52" s="191"/>
    </row>
    <row r="54" spans="2:13" x14ac:dyDescent="0.2">
      <c r="B54" s="191" t="s">
        <v>166</v>
      </c>
      <c r="C54" s="191"/>
    </row>
    <row r="56" spans="2:13" x14ac:dyDescent="0.2">
      <c r="B56" s="770" t="s">
        <v>239</v>
      </c>
      <c r="C56" s="770"/>
    </row>
  </sheetData>
  <sheetProtection algorithmName="SHA-512" hashValue="7lErKoWAf40mBimEgtD2d6g8z9Mdq1N2T9M4WVWD8t0f7ePRskTjIYlJNsJXFFl81tiFCfEV4lQLFYUmavDRcA==" saltValue="TdYjV6QL0Amqbf84eNrwgw==" spinCount="100000" sheet="1" objects="1" scenarios="1"/>
  <mergeCells count="13">
    <mergeCell ref="B11:F11"/>
    <mergeCell ref="O40:S40"/>
    <mergeCell ref="B19:F19"/>
    <mergeCell ref="B24:F24"/>
    <mergeCell ref="B5:F5"/>
    <mergeCell ref="C22:K22"/>
    <mergeCell ref="B56:C56"/>
    <mergeCell ref="B50:F50"/>
    <mergeCell ref="C42:J42"/>
    <mergeCell ref="B44:F44"/>
    <mergeCell ref="C27:M28"/>
    <mergeCell ref="C33:M33"/>
    <mergeCell ref="C41:F41"/>
  </mergeCells>
  <hyperlinks>
    <hyperlink ref="B5:F5" location="'A) Resumen Ingresos y Egresos'!Área_de_impresión" display="A) Resumen Ingresos y Egresos"/>
    <hyperlink ref="B11:F11" location="'B) Reajuste Tarifas y Ocupación'!A1" display="B) Reajuste Tarifas y Ocupación"/>
    <hyperlink ref="C7:F7" location="'A) Resumen Ingresos y Egresos'!A6" display="TABLA 1: RESUMEN DE INGRESOS Y EGRESOS DE CENTROS DE BENEFICIOS"/>
    <hyperlink ref="C9:F9" location="'A) Resumen Ingresos y Egresos'!A22" display="TABLA 2: DETALLE DE INGRESOS POR PRESTACIÓN Y SEGMENTO"/>
    <hyperlink ref="C13:F13" location="'B) Reajuste Tarifas y Ocupación'!A8" display="TABLA 3: REAJUSTE DE TARIFAS POR PRESTACIÓN Y SEGMENTO"/>
    <hyperlink ref="C15:H15" location="'B) Reajuste Tarifas y Ocupación'!A32" display="TABLA 4: METAS DE OCUPACIÓN POR PRESTACIÓN Y SEGMENTO"/>
    <hyperlink ref="B19:F19" location="'C) Costos Directos'!Área_de_impresión" display="C) Costos Directos"/>
    <hyperlink ref="C21:E21" location="'C) Costos Directos'!Área_de_impresión" display="TABLA 5: COSTOS DIRECTOS DE CENTROS DE BENEFICIOS"/>
    <hyperlink ref="C21:H21" location="'C) Costos Directos'!Área_de_impresión" display="TABLA 5: COSTOS DIRECTOS DE CENTROS DE BENEFICIOS"/>
    <hyperlink ref="C21" location="'C) Costos Directos'!A8" display="TABLA 5: COSTOS DIRECTOS DE CENTROS DE BENEFICIOS"/>
    <hyperlink ref="B24:F24" location="'D) Costos Indirectos'!A1" display="D) Costos Indirectos"/>
    <hyperlink ref="C26:J26" location="'D) Costos Indirectos'!A9" display="TABLA 6: REMUNERACIONES DEL PERSONAL LEY 18.712 ADMINISTRACION CENTRAL Y APOYO ADMINISTRATIVO ASISTENCIA EDUCACIONAL"/>
    <hyperlink ref="C27:M28" location="'D) Costos Indirectos'!M9" display="TABLA 7: DISTRIBUCION COSTOS REMUNERACIONES ADMINISTRACION CENTRAL Y APOYO ADMINISTRATIVO A. EDUCACIONAL"/>
    <hyperlink ref="C29:N29" location="'D) Costos Indirectos'!U9" display="TABLA 8: COSTOS DE OPERACION ADMINISTRACIÓN CENTRAL Y  APOYO ADMINISTRATIVO ASISTENCIA EDUCACIONAL"/>
    <hyperlink ref="C31:M31" location="'D) Costos Indirectos'!Z9" display="TABLA 9: RESUMEN DISTRIBUCION COSTOS REMUNERACIONES ADMINISTRACION CENTRAL Y APOYO ADMINISTRATIVO A. EDUCACIONAL"/>
    <hyperlink ref="C33:M33" location="'D) Costos Indirectos'!AG9" display="TABLA 10: RESUMEN DISTRIBUCION COSTOS OPERACIÓN ADMINISTRACION CENTRAL  Y APOYO ADMINISTRATIVO A. EDUCACIONAL"/>
    <hyperlink ref="C35:N35" location="'D) Costos Indirectos'!AN9" display="'D) Costos Indirectos'!AN9"/>
    <hyperlink ref="B39:C39" location="'E) Resumen Tarifado '!A1" display="E) Resumen Tarifado"/>
    <hyperlink ref="B44:F44" location="'F) Remuneraciones'!A1" display="F) Remuneraciones"/>
    <hyperlink ref="B50:F50" location="'G) Comparación Mercado'!A1" display="G) Comparación Mercado"/>
    <hyperlink ref="B54:C54" location="'H) Detalle Datos'!A1" display="H) Detalle Gastos"/>
    <hyperlink ref="C41:F41" location="'E) Resumen Tarifado '!A6" display="TABLA 12: RESUMEN DE TARIFADO"/>
    <hyperlink ref="C46:M46" location="'F) Remuneraciones'!B7" display="TABLA 13: REMUNERACIONES DEL PERSONAL LEY 18.712 DE CENTROS DE BENEFICIOS"/>
    <hyperlink ref="C52:M52" location="'G) Comparación Mercado'!A12" display="TABLA 14: COMPARACIÓN TARIFAS CON PRECIOS DE MERCADO"/>
    <hyperlink ref="B56" location="'I) Proyección Mensual.'!A2" display="I) Proyección Mensua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M40"/>
  <sheetViews>
    <sheetView showGridLines="0" topLeftCell="D1" zoomScale="90" zoomScaleNormal="90" workbookViewId="0">
      <selection activeCell="J31" sqref="J31"/>
    </sheetView>
  </sheetViews>
  <sheetFormatPr baseColWidth="10" defaultColWidth="11.42578125" defaultRowHeight="12.75" x14ac:dyDescent="0.2"/>
  <cols>
    <col min="1" max="1" width="37.140625" style="4" customWidth="1"/>
    <col min="2" max="2" width="21.42578125" style="4" customWidth="1"/>
    <col min="3" max="3" width="20.85546875" style="4" bestFit="1" customWidth="1"/>
    <col min="4" max="4" width="19.28515625" style="4" customWidth="1"/>
    <col min="5" max="6" width="18.85546875" style="4" customWidth="1"/>
    <col min="7" max="7" width="18" style="4" customWidth="1"/>
    <col min="8" max="8" width="22.140625" style="4" bestFit="1" customWidth="1"/>
    <col min="9" max="9" width="18.140625" style="4" bestFit="1" customWidth="1"/>
    <col min="10" max="10" width="18.7109375" style="4" bestFit="1" customWidth="1"/>
    <col min="11" max="11" width="18.7109375" style="4" customWidth="1"/>
    <col min="12" max="12" width="16.42578125" style="4" bestFit="1" customWidth="1"/>
    <col min="13" max="13" width="17.42578125" style="4" customWidth="1"/>
    <col min="14" max="14" width="17.28515625" style="4" customWidth="1"/>
    <col min="15" max="15" width="16.85546875" style="4" customWidth="1"/>
    <col min="16" max="16" width="14.85546875" style="4" customWidth="1"/>
    <col min="17" max="17" width="16.42578125" style="4" bestFit="1" customWidth="1"/>
    <col min="18" max="18" width="15.85546875" style="4" customWidth="1"/>
    <col min="19" max="16384" width="11.42578125" style="4"/>
  </cols>
  <sheetData>
    <row r="1" spans="1:247" s="6" customFormat="1" x14ac:dyDescent="0.2">
      <c r="A1" s="5"/>
      <c r="C1" s="7"/>
      <c r="D1" s="7"/>
      <c r="E1" s="44" t="s">
        <v>198</v>
      </c>
      <c r="F1" s="44"/>
      <c r="G1" s="7"/>
      <c r="H1" s="7"/>
      <c r="IL1" s="4"/>
      <c r="IM1" s="4"/>
    </row>
    <row r="2" spans="1:247" s="6" customFormat="1" x14ac:dyDescent="0.2">
      <c r="A2" s="8"/>
      <c r="C2" s="7"/>
      <c r="D2" s="7"/>
      <c r="E2" s="44" t="s">
        <v>191</v>
      </c>
      <c r="F2" s="44"/>
      <c r="G2" s="7"/>
      <c r="H2" s="7"/>
      <c r="L2" s="7"/>
      <c r="M2" s="7"/>
      <c r="IL2" s="4"/>
      <c r="IM2" s="4"/>
    </row>
    <row r="3" spans="1:247" s="6" customFormat="1" x14ac:dyDescent="0.2">
      <c r="A3" s="4"/>
      <c r="IL3" s="4"/>
      <c r="IM3" s="4"/>
    </row>
    <row r="4" spans="1:247" s="6" customFormat="1" ht="18.75" customHeight="1" x14ac:dyDescent="0.2">
      <c r="A4" s="22"/>
      <c r="B4" s="23"/>
      <c r="C4" s="795" t="s">
        <v>0</v>
      </c>
      <c r="D4" s="795"/>
      <c r="E4" s="796" t="s">
        <v>268</v>
      </c>
      <c r="F4" s="797"/>
      <c r="G4" s="798"/>
      <c r="L4" s="3"/>
      <c r="IC4" s="4"/>
      <c r="ID4" s="4"/>
      <c r="IE4" s="4"/>
      <c r="IF4" s="4"/>
      <c r="IG4" s="4"/>
      <c r="IH4" s="4"/>
    </row>
    <row r="5" spans="1:247" s="6" customFormat="1" x14ac:dyDescent="0.2">
      <c r="A5" s="4"/>
      <c r="B5" s="4"/>
      <c r="C5" s="4"/>
      <c r="D5" s="4"/>
      <c r="E5" s="4"/>
      <c r="F5" s="4"/>
      <c r="G5" s="9"/>
      <c r="H5" s="708"/>
      <c r="I5" s="7"/>
      <c r="J5" s="7"/>
      <c r="K5" s="7"/>
      <c r="L5" s="3"/>
      <c r="IC5" s="4"/>
      <c r="ID5" s="4"/>
      <c r="IE5" s="4"/>
      <c r="IF5" s="4"/>
      <c r="IG5" s="4"/>
      <c r="IH5" s="4"/>
    </row>
    <row r="6" spans="1:247" s="6" customFormat="1" ht="15.75" x14ac:dyDescent="0.2">
      <c r="A6" s="815" t="s">
        <v>144</v>
      </c>
      <c r="B6" s="815"/>
      <c r="C6" s="815"/>
      <c r="D6" s="815"/>
      <c r="E6" s="4"/>
      <c r="F6" s="4"/>
      <c r="G6" s="9"/>
      <c r="H6" s="708"/>
      <c r="I6" s="7"/>
      <c r="J6" s="7"/>
      <c r="K6" s="7"/>
      <c r="L6" s="3"/>
      <c r="IC6" s="4"/>
      <c r="ID6" s="4"/>
      <c r="IE6" s="4"/>
      <c r="IF6" s="4"/>
      <c r="IG6" s="4"/>
      <c r="IH6" s="4"/>
    </row>
    <row r="7" spans="1:247" ht="13.5" thickBot="1" x14ac:dyDescent="0.25">
      <c r="B7" s="47"/>
      <c r="C7" s="47"/>
      <c r="E7" s="47"/>
      <c r="F7" s="47"/>
      <c r="G7" s="47"/>
      <c r="H7" s="47"/>
      <c r="I7" s="47"/>
      <c r="M7" s="48"/>
    </row>
    <row r="8" spans="1:247" ht="39" customHeight="1" x14ac:dyDescent="0.2">
      <c r="A8" s="262" t="s">
        <v>115</v>
      </c>
      <c r="B8" s="719" t="str">
        <f>+N18</f>
        <v>Ingreso por Matrícula</v>
      </c>
      <c r="C8" s="719" t="str">
        <f>+O18</f>
        <v>Ingreso por Mensualidad</v>
      </c>
      <c r="D8" s="719" t="s">
        <v>126</v>
      </c>
      <c r="E8" s="720" t="s">
        <v>83</v>
      </c>
      <c r="F8" s="713" t="s">
        <v>80</v>
      </c>
      <c r="G8" s="713" t="s">
        <v>81</v>
      </c>
      <c r="H8" s="713" t="s">
        <v>108</v>
      </c>
      <c r="I8" s="714" t="s">
        <v>114</v>
      </c>
      <c r="J8" s="675"/>
      <c r="L8" s="57" t="s">
        <v>113</v>
      </c>
      <c r="N8" s="80"/>
    </row>
    <row r="9" spans="1:247" x14ac:dyDescent="0.2">
      <c r="A9" s="263" t="str">
        <f>+'B) Reajuste Tarifas y Ocupación'!A12</f>
        <v>Jardín Infantil Mar y Cielo</v>
      </c>
      <c r="B9" s="721">
        <f>+N29</f>
        <v>7308000</v>
      </c>
      <c r="C9" s="721">
        <f>+O29</f>
        <v>73080000</v>
      </c>
      <c r="D9" s="721">
        <f>+P29</f>
        <v>0</v>
      </c>
      <c r="E9" s="722">
        <f>+B9+D9+C9</f>
        <v>80388000</v>
      </c>
      <c r="F9" s="715">
        <f>+'C) Costos Directos'!H75</f>
        <v>85845514.900000006</v>
      </c>
      <c r="G9" s="715">
        <f>+'D) Costos Indirectos'!$AP$15*(F9/$F$11)</f>
        <v>14034589.515957275</v>
      </c>
      <c r="H9" s="716">
        <f>+F9+G9</f>
        <v>99880104.415957287</v>
      </c>
      <c r="I9" s="717">
        <f>E9-H9</f>
        <v>-19492104.415957287</v>
      </c>
      <c r="J9" s="674"/>
      <c r="L9" s="75">
        <f>+IFERROR(G9/$G$11,0)</f>
        <v>0.67628825062621511</v>
      </c>
      <c r="N9" s="81"/>
    </row>
    <row r="10" spans="1:247" x14ac:dyDescent="0.2">
      <c r="A10" s="263" t="str">
        <f>+'B) Reajuste Tarifas y Ocupación'!A15</f>
        <v>Sala Cuna Mar y Cielo Diurna</v>
      </c>
      <c r="B10" s="721">
        <f>+N39</f>
        <v>0</v>
      </c>
      <c r="C10" s="721">
        <f>+O39</f>
        <v>44043600</v>
      </c>
      <c r="D10" s="721">
        <f>+P39</f>
        <v>0</v>
      </c>
      <c r="E10" s="722">
        <f>+B10+D10+C10</f>
        <v>44043600</v>
      </c>
      <c r="F10" s="715">
        <f>+'C) Costos Directos'!H141</f>
        <v>41090765.333333328</v>
      </c>
      <c r="G10" s="715">
        <f>+'D) Costos Indirectos'!$AP$15*(F10/$F$11)</f>
        <v>6717788.6348709008</v>
      </c>
      <c r="H10" s="716">
        <f>+F10+G10</f>
        <v>47808553.96820423</v>
      </c>
      <c r="I10" s="717">
        <f>E10-H10</f>
        <v>-3764953.9682042301</v>
      </c>
      <c r="J10" s="674"/>
      <c r="L10" s="75">
        <f>+IFERROR(G10/$G$11,0)</f>
        <v>0.32371174937378494</v>
      </c>
      <c r="N10" s="81"/>
    </row>
    <row r="11" spans="1:247" s="6" customFormat="1" ht="15.75" thickBot="1" x14ac:dyDescent="0.25">
      <c r="A11" s="264" t="s">
        <v>1</v>
      </c>
      <c r="B11" s="718">
        <f>SUM(B9:B10)</f>
        <v>7308000</v>
      </c>
      <c r="C11" s="718">
        <f>SUM(C9:C10)</f>
        <v>117123600</v>
      </c>
      <c r="D11" s="718">
        <f>SUM(D9:D10)</f>
        <v>0</v>
      </c>
      <c r="E11" s="718">
        <f>SUM(E9:E10)</f>
        <v>124431600</v>
      </c>
      <c r="F11" s="718">
        <f>SUM(F9:F10)</f>
        <v>126936280.23333333</v>
      </c>
      <c r="G11" s="718">
        <f t="shared" ref="G11:I11" si="0">SUM(G9:G10)</f>
        <v>20752378.150828175</v>
      </c>
      <c r="H11" s="718">
        <f t="shared" si="0"/>
        <v>147688658.38416153</v>
      </c>
      <c r="I11" s="718">
        <f t="shared" si="0"/>
        <v>-23257058.384161517</v>
      </c>
      <c r="J11" s="676"/>
      <c r="L11" s="76">
        <f>SUM(L9:L10)</f>
        <v>1</v>
      </c>
      <c r="N11" s="48"/>
      <c r="O11" s="235"/>
      <c r="IB11" s="4"/>
      <c r="IC11" s="4"/>
      <c r="ID11" s="4"/>
      <c r="IE11" s="4"/>
      <c r="IF11" s="4"/>
      <c r="IG11" s="4"/>
      <c r="IH11" s="4"/>
    </row>
    <row r="12" spans="1:247" s="6" customFormat="1" ht="15.75" customHeight="1" x14ac:dyDescent="0.2">
      <c r="A12" s="11"/>
      <c r="B12" s="11"/>
      <c r="C12" s="12"/>
      <c r="D12" s="12"/>
      <c r="E12" s="12"/>
      <c r="F12" s="12"/>
      <c r="G12" s="12"/>
      <c r="H12" s="12"/>
      <c r="I12" s="712"/>
      <c r="J12" s="12"/>
      <c r="K12" s="12"/>
      <c r="L12" s="12"/>
      <c r="M12" s="12"/>
      <c r="N12" s="12"/>
      <c r="IB12" s="4"/>
      <c r="IC12" s="4"/>
      <c r="ID12" s="4"/>
      <c r="IE12" s="4"/>
      <c r="IF12" s="4"/>
      <c r="IG12" s="4"/>
      <c r="IH12" s="4"/>
    </row>
    <row r="13" spans="1:247" s="6" customFormat="1" ht="15.75" customHeight="1" x14ac:dyDescent="0.2">
      <c r="A13" s="11"/>
      <c r="B13" s="11"/>
      <c r="C13" s="11"/>
      <c r="D13" s="12"/>
      <c r="E13" s="12"/>
      <c r="F13" s="12"/>
      <c r="G13" s="12"/>
      <c r="H13" s="12"/>
      <c r="I13" s="12"/>
      <c r="J13" s="12"/>
      <c r="K13" s="12"/>
      <c r="L13" s="12"/>
      <c r="M13" s="12"/>
      <c r="N13" s="12"/>
      <c r="O13" s="236"/>
      <c r="IB13" s="4"/>
      <c r="IC13" s="4"/>
      <c r="ID13" s="4"/>
      <c r="IE13" s="4"/>
      <c r="IF13" s="4"/>
      <c r="IG13" s="4"/>
      <c r="IH13" s="4"/>
    </row>
    <row r="14" spans="1:247" s="6" customFormat="1" ht="15.75" customHeight="1" x14ac:dyDescent="0.2">
      <c r="A14" s="11"/>
      <c r="B14" s="11"/>
      <c r="C14" s="11"/>
      <c r="D14" s="12"/>
      <c r="E14" s="12"/>
      <c r="F14" s="12"/>
      <c r="G14" s="12"/>
      <c r="H14" s="12"/>
      <c r="I14" s="12"/>
      <c r="J14" s="12"/>
      <c r="K14" s="12"/>
      <c r="L14" s="12"/>
      <c r="M14" s="12"/>
      <c r="N14" s="12"/>
      <c r="IB14" s="4"/>
      <c r="IC14" s="4"/>
      <c r="ID14" s="4"/>
      <c r="IE14" s="4"/>
      <c r="IF14" s="4"/>
      <c r="IG14" s="4"/>
      <c r="IH14" s="4"/>
    </row>
    <row r="15" spans="1:247" s="6" customFormat="1" ht="15.75" customHeight="1" x14ac:dyDescent="0.2">
      <c r="A15" s="11"/>
      <c r="B15" s="11"/>
      <c r="C15" s="11"/>
      <c r="D15" s="12"/>
      <c r="E15" s="12"/>
      <c r="F15" s="12"/>
      <c r="G15" s="12"/>
      <c r="H15" s="12"/>
      <c r="I15" s="12"/>
      <c r="J15" s="12"/>
      <c r="K15" s="12"/>
      <c r="L15" s="12"/>
      <c r="M15" s="12"/>
      <c r="N15" s="12"/>
      <c r="IB15" s="4"/>
      <c r="IC15" s="4"/>
      <c r="ID15" s="4"/>
      <c r="IE15" s="4"/>
      <c r="IF15" s="4"/>
      <c r="IG15" s="4"/>
      <c r="IH15" s="4"/>
    </row>
    <row r="16" spans="1:247" s="6" customFormat="1" ht="15.75" customHeight="1" x14ac:dyDescent="0.2">
      <c r="A16" s="815" t="s">
        <v>145</v>
      </c>
      <c r="B16" s="815"/>
      <c r="C16" s="815"/>
      <c r="D16" s="815"/>
      <c r="E16" s="12"/>
      <c r="F16" s="12"/>
      <c r="G16" s="12"/>
      <c r="H16" s="12"/>
      <c r="I16" s="12"/>
      <c r="J16" s="12"/>
      <c r="K16" s="12"/>
      <c r="L16" s="12"/>
      <c r="M16" s="12"/>
      <c r="N16" s="12"/>
      <c r="IB16" s="4"/>
      <c r="IC16" s="4"/>
      <c r="ID16" s="4"/>
      <c r="IE16" s="4"/>
      <c r="IF16" s="4"/>
      <c r="IG16" s="4"/>
      <c r="IH16" s="4"/>
    </row>
    <row r="17" spans="1:247" s="14" customFormat="1" ht="13.5" thickBot="1" x14ac:dyDescent="0.25">
      <c r="B17" s="47"/>
      <c r="C17" s="47"/>
      <c r="D17" s="47"/>
      <c r="E17" s="47"/>
      <c r="F17" s="47"/>
      <c r="G17" s="47"/>
      <c r="H17" s="47"/>
      <c r="I17" s="13"/>
      <c r="J17" s="13"/>
      <c r="K17" s="13"/>
      <c r="L17" s="3"/>
      <c r="M17" s="3"/>
      <c r="O17" s="15"/>
      <c r="P17" s="15"/>
      <c r="IL17" s="10"/>
      <c r="IM17" s="10"/>
    </row>
    <row r="18" spans="1:247" s="16" customFormat="1" ht="15.75" customHeight="1" x14ac:dyDescent="0.2">
      <c r="A18" s="816" t="s">
        <v>115</v>
      </c>
      <c r="B18" s="818" t="s">
        <v>5</v>
      </c>
      <c r="C18" s="799" t="s">
        <v>2</v>
      </c>
      <c r="D18" s="801" t="s">
        <v>230</v>
      </c>
      <c r="E18" s="802"/>
      <c r="F18" s="802"/>
      <c r="G18" s="802"/>
      <c r="H18" s="803"/>
      <c r="I18" s="804" t="s">
        <v>231</v>
      </c>
      <c r="J18" s="805"/>
      <c r="K18" s="805"/>
      <c r="L18" s="805"/>
      <c r="M18" s="806"/>
      <c r="N18" s="809" t="s">
        <v>90</v>
      </c>
      <c r="O18" s="811" t="s">
        <v>91</v>
      </c>
      <c r="P18" s="807" t="s">
        <v>126</v>
      </c>
      <c r="Q18" s="813" t="s">
        <v>107</v>
      </c>
    </row>
    <row r="19" spans="1:247" s="16" customFormat="1" ht="39" thickBot="1" x14ac:dyDescent="0.25">
      <c r="A19" s="817"/>
      <c r="B19" s="819"/>
      <c r="C19" s="800"/>
      <c r="D19" s="240" t="s">
        <v>87</v>
      </c>
      <c r="E19" s="239" t="s">
        <v>135</v>
      </c>
      <c r="F19" s="239" t="s">
        <v>136</v>
      </c>
      <c r="G19" s="239" t="s">
        <v>88</v>
      </c>
      <c r="H19" s="241" t="s">
        <v>89</v>
      </c>
      <c r="I19" s="240" t="s">
        <v>87</v>
      </c>
      <c r="J19" s="239" t="s">
        <v>135</v>
      </c>
      <c r="K19" s="239" t="s">
        <v>136</v>
      </c>
      <c r="L19" s="239" t="s">
        <v>88</v>
      </c>
      <c r="M19" s="241" t="s">
        <v>89</v>
      </c>
      <c r="N19" s="810"/>
      <c r="O19" s="812"/>
      <c r="P19" s="808"/>
      <c r="Q19" s="814"/>
    </row>
    <row r="20" spans="1:247" ht="12.75" customHeight="1" x14ac:dyDescent="0.2">
      <c r="A20" s="787" t="str">
        <f>+'B) Reajuste Tarifas y Ocupación'!A12</f>
        <v>Jardín Infantil Mar y Cielo</v>
      </c>
      <c r="B20" s="782" t="str">
        <f>+'B) Reajuste Tarifas y Ocupación'!B12</f>
        <v>Media jornada</v>
      </c>
      <c r="C20" s="454" t="s">
        <v>238</v>
      </c>
      <c r="D20" s="249">
        <f t="shared" ref="D20:F21" si="1">+I20</f>
        <v>63800</v>
      </c>
      <c r="E20" s="244">
        <f t="shared" si="1"/>
        <v>76500</v>
      </c>
      <c r="F20" s="244">
        <f t="shared" si="1"/>
        <v>76500</v>
      </c>
      <c r="G20" s="244">
        <f t="shared" ref="G20:H21" si="2">+L20</f>
        <v>100000</v>
      </c>
      <c r="H20" s="250">
        <f t="shared" si="2"/>
        <v>118100</v>
      </c>
      <c r="I20" s="249">
        <f>+'B) Reajuste Tarifas y Ocupación'!M12</f>
        <v>63800</v>
      </c>
      <c r="J20" s="244">
        <f>+'B) Reajuste Tarifas y Ocupación'!N12</f>
        <v>76500</v>
      </c>
      <c r="K20" s="244">
        <f>+'B) Reajuste Tarifas y Ocupación'!O12</f>
        <v>76500</v>
      </c>
      <c r="L20" s="244">
        <f>+'B) Reajuste Tarifas y Ocupación'!P12</f>
        <v>100000</v>
      </c>
      <c r="M20" s="250">
        <f>+'B) Reajuste Tarifas y Ocupación'!Q12</f>
        <v>118100</v>
      </c>
      <c r="N20" s="255"/>
      <c r="O20" s="245"/>
      <c r="P20" s="258">
        <f>+'B) Reajuste Tarifas y Ocupación'!C12</f>
        <v>60300</v>
      </c>
      <c r="Q20" s="777"/>
    </row>
    <row r="21" spans="1:247" x14ac:dyDescent="0.2">
      <c r="A21" s="788"/>
      <c r="B21" s="783"/>
      <c r="C21" s="238" t="s">
        <v>7</v>
      </c>
      <c r="D21" s="251">
        <f t="shared" si="1"/>
        <v>16</v>
      </c>
      <c r="E21" s="243">
        <f t="shared" si="1"/>
        <v>0</v>
      </c>
      <c r="F21" s="243">
        <f t="shared" si="1"/>
        <v>0</v>
      </c>
      <c r="G21" s="243">
        <f t="shared" si="2"/>
        <v>0</v>
      </c>
      <c r="H21" s="252">
        <f t="shared" si="2"/>
        <v>0</v>
      </c>
      <c r="I21" s="251">
        <f>+'B) Reajuste Tarifas y Ocupación'!C26</f>
        <v>16</v>
      </c>
      <c r="J21" s="243">
        <f>+'B) Reajuste Tarifas y Ocupación'!D26</f>
        <v>0</v>
      </c>
      <c r="K21" s="243">
        <f>+'B) Reajuste Tarifas y Ocupación'!E26</f>
        <v>0</v>
      </c>
      <c r="L21" s="243">
        <f>+'B) Reajuste Tarifas y Ocupación'!F26</f>
        <v>0</v>
      </c>
      <c r="M21" s="252">
        <f>+'B) Reajuste Tarifas y Ocupación'!G26</f>
        <v>0</v>
      </c>
      <c r="N21" s="256"/>
      <c r="O21" s="242"/>
      <c r="P21" s="259">
        <v>0</v>
      </c>
      <c r="Q21" s="778"/>
    </row>
    <row r="22" spans="1:247" ht="13.5" thickBot="1" x14ac:dyDescent="0.25">
      <c r="A22" s="788"/>
      <c r="B22" s="784"/>
      <c r="C22" s="246" t="s">
        <v>9</v>
      </c>
      <c r="D22" s="253">
        <f>D21*D20</f>
        <v>1020800</v>
      </c>
      <c r="E22" s="247">
        <f>E21*E20</f>
        <v>0</v>
      </c>
      <c r="F22" s="247">
        <f t="shared" ref="F22" si="3">F21*F20</f>
        <v>0</v>
      </c>
      <c r="G22" s="247">
        <f t="shared" ref="G22:H22" si="4">G21*G20</f>
        <v>0</v>
      </c>
      <c r="H22" s="254">
        <f t="shared" si="4"/>
        <v>0</v>
      </c>
      <c r="I22" s="294">
        <f>I21*I20*10</f>
        <v>10208000</v>
      </c>
      <c r="J22" s="295">
        <f t="shared" ref="J22:M22" si="5">J21*J20*10</f>
        <v>0</v>
      </c>
      <c r="K22" s="295">
        <f t="shared" ref="K22" si="6">K21*K20*10</f>
        <v>0</v>
      </c>
      <c r="L22" s="295">
        <f t="shared" si="5"/>
        <v>0</v>
      </c>
      <c r="M22" s="296">
        <f t="shared" si="5"/>
        <v>0</v>
      </c>
      <c r="N22" s="257">
        <f>SUM(D22:H22)</f>
        <v>1020800</v>
      </c>
      <c r="O22" s="248">
        <f>SUM(I22:M22)</f>
        <v>10208000</v>
      </c>
      <c r="P22" s="260">
        <f>P21*P20</f>
        <v>0</v>
      </c>
      <c r="Q22" s="261">
        <f>N22+O22+P22</f>
        <v>11228800</v>
      </c>
    </row>
    <row r="23" spans="1:247" ht="12.75" customHeight="1" x14ac:dyDescent="0.2">
      <c r="A23" s="788"/>
      <c r="B23" s="782" t="str">
        <f>+'B) Reajuste Tarifas y Ocupación'!B13</f>
        <v xml:space="preserve">Doble jornada </v>
      </c>
      <c r="C23" s="454" t="s">
        <v>238</v>
      </c>
      <c r="D23" s="249">
        <f t="shared" ref="D23:D24" si="7">+I23</f>
        <v>95000</v>
      </c>
      <c r="E23" s="244">
        <f t="shared" ref="E23:E24" si="8">+J23</f>
        <v>114000</v>
      </c>
      <c r="F23" s="244">
        <f t="shared" ref="F23:F24" si="9">+K23</f>
        <v>114000</v>
      </c>
      <c r="G23" s="244">
        <f t="shared" ref="G23:G24" si="10">+L23</f>
        <v>142500</v>
      </c>
      <c r="H23" s="293">
        <f t="shared" ref="H23:H24" si="11">+M23</f>
        <v>167100</v>
      </c>
      <c r="I23" s="249">
        <f>+'B) Reajuste Tarifas y Ocupación'!M13</f>
        <v>95000</v>
      </c>
      <c r="J23" s="244">
        <f>+'B) Reajuste Tarifas y Ocupación'!N13</f>
        <v>114000</v>
      </c>
      <c r="K23" s="244">
        <f>+'B) Reajuste Tarifas y Ocupación'!O13</f>
        <v>114000</v>
      </c>
      <c r="L23" s="244">
        <f>+'B) Reajuste Tarifas y Ocupación'!P13</f>
        <v>142500</v>
      </c>
      <c r="M23" s="250">
        <f>+'B) Reajuste Tarifas y Ocupación'!Q13</f>
        <v>167100</v>
      </c>
      <c r="N23" s="255"/>
      <c r="O23" s="245"/>
      <c r="P23" s="258">
        <f>+'B) Reajuste Tarifas y Ocupación'!C13</f>
        <v>89800</v>
      </c>
      <c r="Q23" s="777"/>
    </row>
    <row r="24" spans="1:247" x14ac:dyDescent="0.2">
      <c r="A24" s="788"/>
      <c r="B24" s="783"/>
      <c r="C24" s="238" t="s">
        <v>7</v>
      </c>
      <c r="D24" s="251">
        <f t="shared" si="7"/>
        <v>3</v>
      </c>
      <c r="E24" s="243">
        <f t="shared" si="8"/>
        <v>0</v>
      </c>
      <c r="F24" s="243">
        <f t="shared" si="9"/>
        <v>0</v>
      </c>
      <c r="G24" s="243">
        <f t="shared" si="10"/>
        <v>0</v>
      </c>
      <c r="H24" s="297">
        <f t="shared" si="11"/>
        <v>0</v>
      </c>
      <c r="I24" s="251">
        <f>+'B) Reajuste Tarifas y Ocupación'!C27</f>
        <v>3</v>
      </c>
      <c r="J24" s="243">
        <f>+'B) Reajuste Tarifas y Ocupación'!D27</f>
        <v>0</v>
      </c>
      <c r="K24" s="243">
        <f>+'B) Reajuste Tarifas y Ocupación'!E27</f>
        <v>0</v>
      </c>
      <c r="L24" s="243">
        <f>+'B) Reajuste Tarifas y Ocupación'!F27</f>
        <v>0</v>
      </c>
      <c r="M24" s="252">
        <f>+'B) Reajuste Tarifas y Ocupación'!G27</f>
        <v>0</v>
      </c>
      <c r="N24" s="256"/>
      <c r="O24" s="242"/>
      <c r="P24" s="259">
        <v>0</v>
      </c>
      <c r="Q24" s="778"/>
    </row>
    <row r="25" spans="1:247" ht="13.5" thickBot="1" x14ac:dyDescent="0.25">
      <c r="A25" s="788"/>
      <c r="B25" s="784"/>
      <c r="C25" s="246" t="s">
        <v>9</v>
      </c>
      <c r="D25" s="253">
        <f>D24*D23</f>
        <v>285000</v>
      </c>
      <c r="E25" s="247">
        <f>E24*E23</f>
        <v>0</v>
      </c>
      <c r="F25" s="247">
        <f t="shared" ref="F25:H25" si="12">F24*F23</f>
        <v>0</v>
      </c>
      <c r="G25" s="247">
        <f t="shared" si="12"/>
        <v>0</v>
      </c>
      <c r="H25" s="260">
        <f t="shared" si="12"/>
        <v>0</v>
      </c>
      <c r="I25" s="253">
        <f>I24*I23*10</f>
        <v>2850000</v>
      </c>
      <c r="J25" s="247">
        <f t="shared" ref="J25:M25" si="13">J24*J23*10</f>
        <v>0</v>
      </c>
      <c r="K25" s="247">
        <f t="shared" si="13"/>
        <v>0</v>
      </c>
      <c r="L25" s="247">
        <f t="shared" si="13"/>
        <v>0</v>
      </c>
      <c r="M25" s="254">
        <f t="shared" si="13"/>
        <v>0</v>
      </c>
      <c r="N25" s="257">
        <f>SUM(D25:H25)</f>
        <v>285000</v>
      </c>
      <c r="O25" s="248">
        <f>SUM(I25:M25)</f>
        <v>2850000</v>
      </c>
      <c r="P25" s="260">
        <f>P24*P23</f>
        <v>0</v>
      </c>
      <c r="Q25" s="261">
        <f>N25+O25+P25</f>
        <v>3135000</v>
      </c>
    </row>
    <row r="26" spans="1:247" x14ac:dyDescent="0.2">
      <c r="A26" s="788"/>
      <c r="B26" s="782" t="str">
        <f>+'B) Reajuste Tarifas y Ocupación'!B14</f>
        <v>Jornada completa</v>
      </c>
      <c r="C26" s="454" t="s">
        <v>238</v>
      </c>
      <c r="D26" s="249">
        <f t="shared" ref="D26:F27" si="14">+I26</f>
        <v>148200</v>
      </c>
      <c r="E26" s="244">
        <f t="shared" si="14"/>
        <v>177900</v>
      </c>
      <c r="F26" s="244">
        <f t="shared" si="14"/>
        <v>177900</v>
      </c>
      <c r="G26" s="244">
        <f t="shared" ref="G26:H27" si="15">+L26</f>
        <v>185300</v>
      </c>
      <c r="H26" s="250">
        <f t="shared" si="15"/>
        <v>192700</v>
      </c>
      <c r="I26" s="298">
        <f>+'B) Reajuste Tarifas y Ocupación'!M14</f>
        <v>148200</v>
      </c>
      <c r="J26" s="299">
        <f>+'B) Reajuste Tarifas y Ocupación'!N14</f>
        <v>177900</v>
      </c>
      <c r="K26" s="299">
        <f>+'B) Reajuste Tarifas y Ocupación'!O14</f>
        <v>177900</v>
      </c>
      <c r="L26" s="299">
        <f>+'B) Reajuste Tarifas y Ocupación'!P14</f>
        <v>185300</v>
      </c>
      <c r="M26" s="300">
        <f>+'B) Reajuste Tarifas y Ocupación'!Q14</f>
        <v>192700</v>
      </c>
      <c r="N26" s="255"/>
      <c r="O26" s="245"/>
      <c r="P26" s="258">
        <f>+'B) Reajuste Tarifas y Ocupación'!C14</f>
        <v>140200</v>
      </c>
      <c r="Q26" s="777"/>
    </row>
    <row r="27" spans="1:247" x14ac:dyDescent="0.2">
      <c r="A27" s="788"/>
      <c r="B27" s="783"/>
      <c r="C27" s="238" t="s">
        <v>7</v>
      </c>
      <c r="D27" s="251">
        <f t="shared" si="14"/>
        <v>38</v>
      </c>
      <c r="E27" s="243">
        <f t="shared" si="14"/>
        <v>0</v>
      </c>
      <c r="F27" s="243">
        <f t="shared" si="14"/>
        <v>1</v>
      </c>
      <c r="G27" s="243">
        <f t="shared" si="15"/>
        <v>0</v>
      </c>
      <c r="H27" s="252">
        <f t="shared" si="15"/>
        <v>1</v>
      </c>
      <c r="I27" s="251">
        <f>+'B) Reajuste Tarifas y Ocupación'!C28</f>
        <v>38</v>
      </c>
      <c r="J27" s="243">
        <f>+'B) Reajuste Tarifas y Ocupación'!D28</f>
        <v>0</v>
      </c>
      <c r="K27" s="243">
        <f>+'B) Reajuste Tarifas y Ocupación'!E28</f>
        <v>1</v>
      </c>
      <c r="L27" s="243">
        <f>+'B) Reajuste Tarifas y Ocupación'!F28</f>
        <v>0</v>
      </c>
      <c r="M27" s="252">
        <f>+'B) Reajuste Tarifas y Ocupación'!G28</f>
        <v>1</v>
      </c>
      <c r="N27" s="256"/>
      <c r="O27" s="242"/>
      <c r="P27" s="259">
        <v>0</v>
      </c>
      <c r="Q27" s="778"/>
      <c r="R27" s="677" t="s">
        <v>417</v>
      </c>
    </row>
    <row r="28" spans="1:247" ht="13.5" thickBot="1" x14ac:dyDescent="0.25">
      <c r="A28" s="788"/>
      <c r="B28" s="783"/>
      <c r="C28" s="518" t="s">
        <v>9</v>
      </c>
      <c r="D28" s="519">
        <f t="shared" ref="D28:H28" si="16">D27*D26</f>
        <v>5631600</v>
      </c>
      <c r="E28" s="520">
        <f t="shared" si="16"/>
        <v>0</v>
      </c>
      <c r="F28" s="520">
        <f t="shared" ref="F28" si="17">F27*F26</f>
        <v>177900</v>
      </c>
      <c r="G28" s="520">
        <f t="shared" si="16"/>
        <v>0</v>
      </c>
      <c r="H28" s="521">
        <f t="shared" si="16"/>
        <v>192700</v>
      </c>
      <c r="I28" s="519">
        <f t="shared" ref="I28:M28" si="18">I27*I26*10</f>
        <v>56316000</v>
      </c>
      <c r="J28" s="520">
        <f t="shared" si="18"/>
        <v>0</v>
      </c>
      <c r="K28" s="520">
        <f t="shared" ref="K28" si="19">K27*K26*10</f>
        <v>1779000</v>
      </c>
      <c r="L28" s="520">
        <f t="shared" si="18"/>
        <v>0</v>
      </c>
      <c r="M28" s="521">
        <f t="shared" si="18"/>
        <v>1927000</v>
      </c>
      <c r="N28" s="522">
        <f>SUM(D28:H28)</f>
        <v>6002200</v>
      </c>
      <c r="O28" s="523">
        <f>SUM(I28:M28)</f>
        <v>60022000</v>
      </c>
      <c r="P28" s="524">
        <f>P27*P26</f>
        <v>0</v>
      </c>
      <c r="Q28" s="525">
        <f>N28+O28+P28</f>
        <v>66024200</v>
      </c>
    </row>
    <row r="29" spans="1:247" s="10" customFormat="1" ht="15.75" thickBot="1" x14ac:dyDescent="0.25">
      <c r="A29" s="789"/>
      <c r="B29" s="785" t="s">
        <v>10</v>
      </c>
      <c r="C29" s="786"/>
      <c r="D29" s="309">
        <f>+D22+D25+D28</f>
        <v>6937400</v>
      </c>
      <c r="E29" s="309">
        <f t="shared" ref="E29:Q29" si="20">+E22+E25+E28</f>
        <v>0</v>
      </c>
      <c r="F29" s="309">
        <f t="shared" si="20"/>
        <v>177900</v>
      </c>
      <c r="G29" s="309">
        <f t="shared" si="20"/>
        <v>0</v>
      </c>
      <c r="H29" s="309">
        <f t="shared" si="20"/>
        <v>192700</v>
      </c>
      <c r="I29" s="309">
        <f t="shared" si="20"/>
        <v>69374000</v>
      </c>
      <c r="J29" s="309">
        <f t="shared" si="20"/>
        <v>0</v>
      </c>
      <c r="K29" s="309">
        <f t="shared" si="20"/>
        <v>1779000</v>
      </c>
      <c r="L29" s="309">
        <f t="shared" si="20"/>
        <v>0</v>
      </c>
      <c r="M29" s="309">
        <f t="shared" si="20"/>
        <v>1927000</v>
      </c>
      <c r="N29" s="309">
        <f>+N22+N25+N28</f>
        <v>7308000</v>
      </c>
      <c r="O29" s="309">
        <f t="shared" si="20"/>
        <v>73080000</v>
      </c>
      <c r="P29" s="309">
        <f t="shared" si="20"/>
        <v>0</v>
      </c>
      <c r="Q29" s="312">
        <f t="shared" si="20"/>
        <v>80388000</v>
      </c>
    </row>
    <row r="30" spans="1:247" s="455" customFormat="1" ht="12.75" customHeight="1" x14ac:dyDescent="0.2">
      <c r="A30" s="792" t="str">
        <f>+'B) Reajuste Tarifas y Ocupación'!A15</f>
        <v>Sala Cuna Mar y Cielo Diurna</v>
      </c>
      <c r="B30" s="779" t="str">
        <f>+'[1]B) Reajuste Tarifas y Ocupación'!B15</f>
        <v>Diurna</v>
      </c>
      <c r="C30" s="454" t="s">
        <v>238</v>
      </c>
      <c r="D30" s="723"/>
      <c r="E30" s="724">
        <f t="shared" ref="E30:H31" si="21">+J30</f>
        <v>393300</v>
      </c>
      <c r="F30" s="724">
        <f t="shared" si="21"/>
        <v>393300</v>
      </c>
      <c r="G30" s="724">
        <f t="shared" si="21"/>
        <v>409600</v>
      </c>
      <c r="H30" s="725">
        <f>+M30</f>
        <v>491600</v>
      </c>
      <c r="I30" s="726">
        <f>+'B) Reajuste Tarifas y Ocupación'!M15</f>
        <v>327700</v>
      </c>
      <c r="J30" s="724">
        <f>+'B) Reajuste Tarifas y Ocupación'!N15</f>
        <v>393300</v>
      </c>
      <c r="K30" s="724">
        <f>+'B) Reajuste Tarifas y Ocupación'!O15</f>
        <v>393300</v>
      </c>
      <c r="L30" s="724">
        <f>+'B) Reajuste Tarifas y Ocupación'!P15</f>
        <v>409600</v>
      </c>
      <c r="M30" s="727">
        <f>+'B) Reajuste Tarifas y Ocupación'!Q15</f>
        <v>491600</v>
      </c>
      <c r="N30" s="728"/>
      <c r="O30" s="729"/>
      <c r="P30" s="729"/>
      <c r="Q30" s="777"/>
    </row>
    <row r="31" spans="1:247" s="455" customFormat="1" ht="12.75" customHeight="1" x14ac:dyDescent="0.2">
      <c r="A31" s="793"/>
      <c r="B31" s="780"/>
      <c r="C31" s="730" t="s">
        <v>7</v>
      </c>
      <c r="D31" s="731"/>
      <c r="E31" s="732">
        <v>0</v>
      </c>
      <c r="F31" s="732">
        <f t="shared" si="21"/>
        <v>0</v>
      </c>
      <c r="G31" s="732">
        <f t="shared" si="21"/>
        <v>0</v>
      </c>
      <c r="H31" s="733">
        <f t="shared" si="21"/>
        <v>0</v>
      </c>
      <c r="I31" s="734">
        <f>+'B) Reajuste Tarifas y Ocupación'!C29</f>
        <v>10</v>
      </c>
      <c r="J31" s="732">
        <f>+'B) Reajuste Tarifas y Ocupación'!D29</f>
        <v>1</v>
      </c>
      <c r="K31" s="732">
        <f>+'B) Reajuste Tarifas y Ocupación'!E29</f>
        <v>0</v>
      </c>
      <c r="L31" s="732">
        <f>+'B) Reajuste Tarifas y Ocupación'!F29</f>
        <v>0</v>
      </c>
      <c r="M31" s="735">
        <f>+'B) Reajuste Tarifas y Ocupación'!G29</f>
        <v>0</v>
      </c>
      <c r="N31" s="256"/>
      <c r="O31" s="736"/>
      <c r="P31" s="736"/>
      <c r="Q31" s="778"/>
    </row>
    <row r="32" spans="1:247" s="455" customFormat="1" ht="13.5" customHeight="1" thickBot="1" x14ac:dyDescent="0.25">
      <c r="A32" s="793"/>
      <c r="B32" s="781"/>
      <c r="C32" s="246" t="s">
        <v>9</v>
      </c>
      <c r="D32" s="253">
        <f>D31*D30</f>
        <v>0</v>
      </c>
      <c r="E32" s="247">
        <f>E31*E30</f>
        <v>0</v>
      </c>
      <c r="F32" s="247">
        <f>F31*F30</f>
        <v>0</v>
      </c>
      <c r="G32" s="247">
        <f>G31*G30</f>
        <v>0</v>
      </c>
      <c r="H32" s="260">
        <f>H31*H30</f>
        <v>0</v>
      </c>
      <c r="I32" s="253">
        <f>I31*I30*12</f>
        <v>39324000</v>
      </c>
      <c r="J32" s="247">
        <f>J31*J30*12</f>
        <v>4719600</v>
      </c>
      <c r="K32" s="247">
        <f>K31*K30*12</f>
        <v>0</v>
      </c>
      <c r="L32" s="247">
        <f>L31*L30*12</f>
        <v>0</v>
      </c>
      <c r="M32" s="254">
        <f>M31*M30*12</f>
        <v>0</v>
      </c>
      <c r="N32" s="257">
        <f>SUM(D32:H32)</f>
        <v>0</v>
      </c>
      <c r="O32" s="248">
        <f>SUM(I32:M32)</f>
        <v>44043600</v>
      </c>
      <c r="P32" s="260">
        <f>P31*P30</f>
        <v>0</v>
      </c>
      <c r="Q32" s="261">
        <f>N32+O32+P32</f>
        <v>44043600</v>
      </c>
    </row>
    <row r="33" spans="1:17" s="455" customFormat="1" ht="12.75" customHeight="1" x14ac:dyDescent="0.2">
      <c r="A33" s="793"/>
      <c r="B33" s="779" t="str">
        <f>+'[1]B) Reajuste Tarifas y Ocupación'!B16</f>
        <v>Nocturna</v>
      </c>
      <c r="C33" s="454" t="s">
        <v>238</v>
      </c>
      <c r="D33" s="731"/>
      <c r="E33" s="737"/>
      <c r="F33" s="737"/>
      <c r="G33" s="737"/>
      <c r="H33" s="738"/>
      <c r="I33" s="739"/>
      <c r="J33" s="740"/>
      <c r="K33" s="740"/>
      <c r="L33" s="740"/>
      <c r="M33" s="741"/>
      <c r="N33" s="728"/>
      <c r="O33" s="729"/>
      <c r="P33" s="729"/>
      <c r="Q33" s="777"/>
    </row>
    <row r="34" spans="1:17" s="455" customFormat="1" ht="12.75" customHeight="1" x14ac:dyDescent="0.2">
      <c r="A34" s="793"/>
      <c r="B34" s="780"/>
      <c r="C34" s="730" t="s">
        <v>7</v>
      </c>
      <c r="D34" s="731"/>
      <c r="E34" s="742"/>
      <c r="F34" s="742"/>
      <c r="G34" s="742"/>
      <c r="H34" s="743"/>
      <c r="I34" s="744"/>
      <c r="J34" s="742"/>
      <c r="K34" s="742"/>
      <c r="L34" s="742"/>
      <c r="M34" s="745"/>
      <c r="N34" s="256"/>
      <c r="O34" s="736"/>
      <c r="P34" s="736"/>
      <c r="Q34" s="778"/>
    </row>
    <row r="35" spans="1:17" s="455" customFormat="1" ht="13.5" customHeight="1" thickBot="1" x14ac:dyDescent="0.25">
      <c r="A35" s="793"/>
      <c r="B35" s="781"/>
      <c r="C35" s="246" t="s">
        <v>9</v>
      </c>
      <c r="D35" s="253">
        <f>D34*D33</f>
        <v>0</v>
      </c>
      <c r="E35" s="247">
        <f>E34*E33</f>
        <v>0</v>
      </c>
      <c r="F35" s="247">
        <f>F34*F33</f>
        <v>0</v>
      </c>
      <c r="G35" s="247">
        <f>G34*G33</f>
        <v>0</v>
      </c>
      <c r="H35" s="260">
        <f>H34*H33</f>
        <v>0</v>
      </c>
      <c r="I35" s="294">
        <f>I34*I33*12</f>
        <v>0</v>
      </c>
      <c r="J35" s="295">
        <f>J34*J33*12</f>
        <v>0</v>
      </c>
      <c r="K35" s="295">
        <f>K34*K33*12</f>
        <v>0</v>
      </c>
      <c r="L35" s="295">
        <f>L34*L33*12</f>
        <v>0</v>
      </c>
      <c r="M35" s="296">
        <f>M34*M33*12</f>
        <v>0</v>
      </c>
      <c r="N35" s="257">
        <f>SUM(D35:H35)</f>
        <v>0</v>
      </c>
      <c r="O35" s="248">
        <f>SUM(I35:M35)</f>
        <v>0</v>
      </c>
      <c r="P35" s="260">
        <f>P34*P33</f>
        <v>0</v>
      </c>
      <c r="Q35" s="261">
        <f>N35+O35+P35</f>
        <v>0</v>
      </c>
    </row>
    <row r="36" spans="1:17" s="455" customFormat="1" ht="12.75" customHeight="1" x14ac:dyDescent="0.2">
      <c r="A36" s="793"/>
      <c r="B36" s="779" t="str">
        <f>+'[1]B) Reajuste Tarifas y Ocupación'!B17</f>
        <v>Media Jornada</v>
      </c>
      <c r="C36" s="454" t="s">
        <v>238</v>
      </c>
      <c r="D36" s="723"/>
      <c r="E36" s="724">
        <f t="shared" ref="E36:E37" si="22">+J36</f>
        <v>0</v>
      </c>
      <c r="F36" s="724">
        <f t="shared" ref="F36:F37" si="23">+K36</f>
        <v>0</v>
      </c>
      <c r="G36" s="724">
        <f t="shared" ref="G36:G37" si="24">+L36</f>
        <v>0</v>
      </c>
      <c r="H36" s="725">
        <f>+M36</f>
        <v>0</v>
      </c>
      <c r="I36" s="726">
        <f>+'B) Reajuste Tarifas y Ocupación'!M21</f>
        <v>0</v>
      </c>
      <c r="J36" s="724">
        <f>+'B) Reajuste Tarifas y Ocupación'!N21</f>
        <v>0</v>
      </c>
      <c r="K36" s="724">
        <f>+'B) Reajuste Tarifas y Ocupación'!O21</f>
        <v>0</v>
      </c>
      <c r="L36" s="724">
        <f>+'B) Reajuste Tarifas y Ocupación'!P21</f>
        <v>0</v>
      </c>
      <c r="M36" s="727">
        <f>+'B) Reajuste Tarifas y Ocupación'!Q21</f>
        <v>0</v>
      </c>
      <c r="N36" s="728"/>
      <c r="O36" s="729"/>
      <c r="P36" s="729"/>
      <c r="Q36" s="777"/>
    </row>
    <row r="37" spans="1:17" s="455" customFormat="1" ht="12.75" customHeight="1" x14ac:dyDescent="0.2">
      <c r="A37" s="793"/>
      <c r="B37" s="780"/>
      <c r="C37" s="730" t="s">
        <v>7</v>
      </c>
      <c r="D37" s="731"/>
      <c r="E37" s="732">
        <f t="shared" si="22"/>
        <v>0</v>
      </c>
      <c r="F37" s="732">
        <f t="shared" si="23"/>
        <v>0</v>
      </c>
      <c r="G37" s="732">
        <f t="shared" si="24"/>
        <v>0</v>
      </c>
      <c r="H37" s="733">
        <f t="shared" ref="H37" si="25">+M37</f>
        <v>0</v>
      </c>
      <c r="I37" s="734">
        <f>+'B) Reajuste Tarifas y Ocupación'!C31</f>
        <v>0</v>
      </c>
      <c r="J37" s="732">
        <f>+'B) Reajuste Tarifas y Ocupación'!D31</f>
        <v>0</v>
      </c>
      <c r="K37" s="732">
        <f>+'B) Reajuste Tarifas y Ocupación'!E31</f>
        <v>0</v>
      </c>
      <c r="L37" s="732">
        <f>+'B) Reajuste Tarifas y Ocupación'!F31</f>
        <v>0</v>
      </c>
      <c r="M37" s="735">
        <f>+'B) Reajuste Tarifas y Ocupación'!G31</f>
        <v>0</v>
      </c>
      <c r="N37" s="256"/>
      <c r="O37" s="736"/>
      <c r="P37" s="736"/>
      <c r="Q37" s="778"/>
    </row>
    <row r="38" spans="1:17" s="455" customFormat="1" ht="13.5" customHeight="1" thickBot="1" x14ac:dyDescent="0.25">
      <c r="A38" s="793"/>
      <c r="B38" s="781"/>
      <c r="C38" s="246" t="s">
        <v>9</v>
      </c>
      <c r="D38" s="253">
        <f>D37*D36</f>
        <v>0</v>
      </c>
      <c r="E38" s="247">
        <f>E37*E36</f>
        <v>0</v>
      </c>
      <c r="F38" s="247">
        <f>F37*F36</f>
        <v>0</v>
      </c>
      <c r="G38" s="247">
        <f>G37*G36</f>
        <v>0</v>
      </c>
      <c r="H38" s="260">
        <f>H37*H36</f>
        <v>0</v>
      </c>
      <c r="I38" s="253">
        <f>I37*I36*12</f>
        <v>0</v>
      </c>
      <c r="J38" s="247">
        <f>J37*J36*12</f>
        <v>0</v>
      </c>
      <c r="K38" s="247">
        <f>K37*K36*12</f>
        <v>0</v>
      </c>
      <c r="L38" s="247">
        <f>L37*L36*12</f>
        <v>0</v>
      </c>
      <c r="M38" s="254">
        <f>M37*M36*12</f>
        <v>0</v>
      </c>
      <c r="N38" s="257">
        <f>SUM(D38:H38)</f>
        <v>0</v>
      </c>
      <c r="O38" s="248">
        <f>SUM(I38:M38)</f>
        <v>0</v>
      </c>
      <c r="P38" s="260">
        <f>P37*P36</f>
        <v>0</v>
      </c>
      <c r="Q38" s="261">
        <f>N38+O38+P38</f>
        <v>0</v>
      </c>
    </row>
    <row r="39" spans="1:17" s="455" customFormat="1" ht="15.75" customHeight="1" thickBot="1" x14ac:dyDescent="0.25">
      <c r="A39" s="794"/>
      <c r="B39" s="786" t="s">
        <v>10</v>
      </c>
      <c r="C39" s="786"/>
      <c r="D39" s="301">
        <f>+D32+D38+D35</f>
        <v>0</v>
      </c>
      <c r="E39" s="302">
        <f t="shared" ref="E39:P39" si="26">+E32+E38+E35</f>
        <v>0</v>
      </c>
      <c r="F39" s="302">
        <f>+F32+F38+F35</f>
        <v>0</v>
      </c>
      <c r="G39" s="302">
        <f t="shared" si="26"/>
        <v>0</v>
      </c>
      <c r="H39" s="303">
        <f t="shared" si="26"/>
        <v>0</v>
      </c>
      <c r="I39" s="301">
        <f>+I32+I38+I35</f>
        <v>39324000</v>
      </c>
      <c r="J39" s="302">
        <f>+J32+J38+J35</f>
        <v>4719600</v>
      </c>
      <c r="K39" s="302">
        <f t="shared" si="26"/>
        <v>0</v>
      </c>
      <c r="L39" s="302">
        <f t="shared" si="26"/>
        <v>0</v>
      </c>
      <c r="M39" s="304">
        <f>+M32+M38+M35</f>
        <v>0</v>
      </c>
      <c r="N39" s="305">
        <f t="shared" si="26"/>
        <v>0</v>
      </c>
      <c r="O39" s="306">
        <f t="shared" si="26"/>
        <v>44043600</v>
      </c>
      <c r="P39" s="307">
        <f t="shared" si="26"/>
        <v>0</v>
      </c>
      <c r="Q39" s="308">
        <f>+Q32+Q38+Q35</f>
        <v>44043600</v>
      </c>
    </row>
    <row r="40" spans="1:17" ht="15" customHeight="1" thickBot="1" x14ac:dyDescent="0.25">
      <c r="A40" s="790" t="s">
        <v>8</v>
      </c>
      <c r="B40" s="791"/>
      <c r="C40" s="791"/>
      <c r="D40" s="309">
        <f>+D29+D39</f>
        <v>6937400</v>
      </c>
      <c r="E40" s="310">
        <f>+E29+E39</f>
        <v>0</v>
      </c>
      <c r="F40" s="310">
        <f>+F29+F39</f>
        <v>177900</v>
      </c>
      <c r="G40" s="310">
        <f>+G29+G39</f>
        <v>0</v>
      </c>
      <c r="H40" s="412">
        <f>+H29+H39</f>
        <v>192700</v>
      </c>
      <c r="I40" s="309">
        <f t="shared" ref="I40:M40" si="27">+I29+I39</f>
        <v>108698000</v>
      </c>
      <c r="J40" s="310">
        <f t="shared" si="27"/>
        <v>4719600</v>
      </c>
      <c r="K40" s="310">
        <f t="shared" si="27"/>
        <v>1779000</v>
      </c>
      <c r="L40" s="310">
        <f t="shared" si="27"/>
        <v>0</v>
      </c>
      <c r="M40" s="311">
        <f t="shared" si="27"/>
        <v>1927000</v>
      </c>
      <c r="N40" s="309">
        <f t="shared" ref="N40" si="28">+N29+N39</f>
        <v>7308000</v>
      </c>
      <c r="O40" s="310">
        <f>+O29+O39</f>
        <v>117123600</v>
      </c>
      <c r="P40" s="311">
        <f>+P29+P39</f>
        <v>0</v>
      </c>
      <c r="Q40" s="312">
        <f>+Q29+Q39</f>
        <v>124431600</v>
      </c>
    </row>
  </sheetData>
  <sheetProtection algorithmName="SHA-512" hashValue="72k9g/AwnFL5ycY0lg5LFyP6pIkwLmwjlcoN96Sd4CFlcKH4G/BfHgrnYN7c03VKpwyWp2SHnYglKq3H+mk2WA==" saltValue="YaPubflM/R2wzi6u2XEThA==" spinCount="100000" sheet="1" objects="1" scenarios="1"/>
  <mergeCells count="30">
    <mergeCell ref="Q26:Q27"/>
    <mergeCell ref="C4:D4"/>
    <mergeCell ref="E4:G4"/>
    <mergeCell ref="C18:C19"/>
    <mergeCell ref="D18:H18"/>
    <mergeCell ref="I18:M18"/>
    <mergeCell ref="Q23:Q24"/>
    <mergeCell ref="P18:P19"/>
    <mergeCell ref="N18:N19"/>
    <mergeCell ref="O18:O19"/>
    <mergeCell ref="Q18:Q19"/>
    <mergeCell ref="Q20:Q21"/>
    <mergeCell ref="A6:D6"/>
    <mergeCell ref="A16:D16"/>
    <mergeCell ref="A18:A19"/>
    <mergeCell ref="B18:B19"/>
    <mergeCell ref="B23:B25"/>
    <mergeCell ref="B29:C29"/>
    <mergeCell ref="A20:A29"/>
    <mergeCell ref="B20:B22"/>
    <mergeCell ref="A40:C40"/>
    <mergeCell ref="B26:B28"/>
    <mergeCell ref="A30:A39"/>
    <mergeCell ref="B30:B32"/>
    <mergeCell ref="B39:C39"/>
    <mergeCell ref="Q30:Q31"/>
    <mergeCell ref="B33:B35"/>
    <mergeCell ref="Q33:Q34"/>
    <mergeCell ref="B36:B38"/>
    <mergeCell ref="Q36:Q37"/>
  </mergeCells>
  <conditionalFormatting sqref="C12:N12 E16:N16 B9:I11 D13:N15">
    <cfRule type="cellIs" dxfId="8" priority="7" stopIfTrue="1" operator="lessThan">
      <formula>0</formula>
    </cfRule>
  </conditionalFormatting>
  <pageMargins left="0.19652777777777777" right="0.19652777777777777" top="0.27500000000000002" bottom="0.19652777777777777" header="0.19652777777777777" footer="0.51180555555555551"/>
  <pageSetup firstPageNumber="0" fitToHeight="14" orientation="landscape" horizontalDpi="300" verticalDpi="300" r:id="rId1"/>
  <headerFooter alignWithMargins="0">
    <oddHeader>&amp;LSEPT - 2004&amp;CDIRECTIVA D.B.S.A.ORDINARIA&amp;R02-BS/0307/02Pag &amp;P de &amp;N</oddHeader>
  </headerFooter>
  <ignoredErrors>
    <ignoredError sqref="D21:H21 D20:H20 J20 D26:Q26 I22:P22 J21:O21 L20:Q20 Q21 D28:P28 D27:O27 Q27" unlockedFormula="1"/>
    <ignoredError sqref="F22:H22" formula="1" unlockedFormula="1"/>
    <ignoredError sqref="D22:E2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IV31"/>
  <sheetViews>
    <sheetView showGridLines="0" zoomScale="80" zoomScaleNormal="80" workbookViewId="0">
      <selection activeCell="H28" sqref="H28"/>
    </sheetView>
  </sheetViews>
  <sheetFormatPr baseColWidth="10" defaultColWidth="11.42578125" defaultRowHeight="12.75" x14ac:dyDescent="0.2"/>
  <cols>
    <col min="1" max="1" width="56.42578125" style="45" customWidth="1"/>
    <col min="2" max="2" width="33.85546875" style="29" customWidth="1"/>
    <col min="3" max="3" width="12.28515625" style="45" customWidth="1"/>
    <col min="4" max="4" width="13.7109375" style="45" bestFit="1" customWidth="1"/>
    <col min="5" max="5" width="15.42578125" style="45" bestFit="1" customWidth="1"/>
    <col min="6" max="6" width="14.42578125" style="45" customWidth="1"/>
    <col min="7" max="7" width="14.85546875" style="45" customWidth="1"/>
    <col min="8" max="8" width="11.85546875" style="45" bestFit="1" customWidth="1"/>
    <col min="9" max="9" width="14.42578125" style="45" bestFit="1" customWidth="1"/>
    <col min="10" max="10" width="15.140625" style="45" customWidth="1"/>
    <col min="11" max="12" width="11.85546875" style="45" customWidth="1"/>
    <col min="13" max="13" width="14" style="45" customWidth="1"/>
    <col min="14" max="14" width="14.42578125" style="45" customWidth="1"/>
    <col min="15" max="15" width="15.28515625" style="45" customWidth="1"/>
    <col min="16" max="17" width="11.85546875" style="45" customWidth="1"/>
    <col min="18" max="18" width="11.85546875" style="29" customWidth="1"/>
    <col min="19" max="19" width="32.7109375" style="45" customWidth="1"/>
    <col min="20" max="20" width="33" style="29" bestFit="1" customWidth="1"/>
    <col min="21" max="21" width="13.85546875" style="45" customWidth="1"/>
    <col min="22" max="22" width="14.42578125" style="45" bestFit="1" customWidth="1"/>
    <col min="23" max="23" width="14.42578125" style="45" customWidth="1"/>
    <col min="24" max="24" width="12.85546875" style="45" bestFit="1" customWidth="1"/>
    <col min="25" max="16384" width="11.42578125" style="45"/>
  </cols>
  <sheetData>
    <row r="1" spans="1:256" s="6" customFormat="1" x14ac:dyDescent="0.2">
      <c r="A1" s="5"/>
      <c r="C1" s="7"/>
      <c r="D1" s="7"/>
      <c r="E1" s="7"/>
      <c r="F1" s="44" t="s">
        <v>199</v>
      </c>
      <c r="G1" s="7"/>
      <c r="R1" s="14"/>
      <c r="S1" s="5"/>
      <c r="IU1" s="4"/>
      <c r="IV1" s="4"/>
    </row>
    <row r="2" spans="1:256" s="6" customFormat="1" x14ac:dyDescent="0.2">
      <c r="A2" s="8"/>
      <c r="C2" s="7"/>
      <c r="D2" s="7"/>
      <c r="E2" s="7"/>
      <c r="F2" s="44" t="s">
        <v>192</v>
      </c>
      <c r="G2" s="7"/>
      <c r="R2" s="14"/>
      <c r="S2" s="8"/>
      <c r="V2" s="7"/>
      <c r="W2" s="7"/>
      <c r="X2" s="7"/>
      <c r="IU2" s="4"/>
      <c r="IV2" s="4"/>
    </row>
    <row r="3" spans="1:256" s="6" customFormat="1" x14ac:dyDescent="0.2">
      <c r="A3" s="4"/>
      <c r="R3" s="14"/>
      <c r="S3" s="4"/>
      <c r="IU3" s="4"/>
      <c r="IV3" s="4"/>
    </row>
    <row r="4" spans="1:256" s="6" customFormat="1" ht="13.5" thickBot="1" x14ac:dyDescent="0.25">
      <c r="A4" s="22"/>
      <c r="B4" s="23"/>
      <c r="C4" s="7"/>
      <c r="D4" s="7"/>
      <c r="E4" s="7"/>
      <c r="F4" s="7"/>
      <c r="G4" s="7"/>
      <c r="H4" s="7"/>
      <c r="I4" s="7"/>
      <c r="J4" s="7"/>
      <c r="K4" s="7"/>
      <c r="L4" s="7"/>
      <c r="M4" s="7"/>
      <c r="N4" s="7"/>
      <c r="O4" s="7"/>
      <c r="P4" s="7"/>
      <c r="Q4" s="7"/>
      <c r="R4" s="47"/>
      <c r="S4" s="22"/>
      <c r="T4" s="23"/>
      <c r="U4" s="7"/>
      <c r="V4" s="7"/>
      <c r="W4" s="7"/>
      <c r="X4" s="7"/>
      <c r="Y4" s="7"/>
      <c r="IL4" s="4"/>
      <c r="IM4" s="4"/>
      <c r="IN4" s="4"/>
      <c r="IO4" s="4"/>
      <c r="IP4" s="4"/>
      <c r="IQ4" s="4"/>
    </row>
    <row r="5" spans="1:256" s="6" customFormat="1" ht="18" customHeight="1" thickBot="1" x14ac:dyDescent="0.25">
      <c r="A5" s="22"/>
      <c r="B5" s="23"/>
      <c r="C5" s="795" t="s">
        <v>0</v>
      </c>
      <c r="D5" s="855"/>
      <c r="E5" s="708"/>
      <c r="F5" s="826" t="s">
        <v>268</v>
      </c>
      <c r="G5" s="827"/>
      <c r="R5" s="14"/>
      <c r="S5" s="22"/>
      <c r="T5" s="23"/>
      <c r="V5" s="3"/>
      <c r="W5" s="3"/>
      <c r="IL5" s="4"/>
      <c r="IM5" s="4"/>
      <c r="IN5" s="4"/>
      <c r="IO5" s="4"/>
      <c r="IP5" s="4"/>
      <c r="IQ5" s="4"/>
    </row>
    <row r="6" spans="1:256" s="6" customFormat="1" ht="18" customHeight="1" x14ac:dyDescent="0.2">
      <c r="A6" s="22"/>
      <c r="B6" s="23"/>
      <c r="C6" s="708"/>
      <c r="D6" s="708"/>
      <c r="E6" s="708"/>
      <c r="F6" s="710"/>
      <c r="G6" s="710"/>
      <c r="R6" s="14"/>
      <c r="S6" s="22"/>
      <c r="T6" s="23"/>
      <c r="V6" s="3"/>
      <c r="W6" s="3"/>
      <c r="IL6" s="4"/>
      <c r="IM6" s="4"/>
      <c r="IN6" s="4"/>
      <c r="IO6" s="4"/>
      <c r="IP6" s="4"/>
      <c r="IQ6" s="4"/>
    </row>
    <row r="7" spans="1:256" s="6" customFormat="1" ht="18" customHeight="1" x14ac:dyDescent="0.2">
      <c r="A7" s="22"/>
      <c r="B7" s="23"/>
      <c r="C7" s="708"/>
      <c r="D7" s="708"/>
      <c r="E7" s="708"/>
      <c r="F7" s="710"/>
      <c r="G7" s="710"/>
      <c r="R7" s="14"/>
      <c r="S7" s="22"/>
      <c r="T7" s="23"/>
      <c r="V7" s="51"/>
      <c r="W7" s="51"/>
      <c r="IL7" s="4"/>
      <c r="IM7" s="4"/>
      <c r="IN7" s="4"/>
      <c r="IO7" s="4"/>
      <c r="IP7" s="4"/>
      <c r="IQ7" s="4"/>
    </row>
    <row r="8" spans="1:256" s="14" customFormat="1" ht="15.75" x14ac:dyDescent="0.2">
      <c r="A8" s="836" t="s">
        <v>146</v>
      </c>
      <c r="B8" s="836"/>
      <c r="C8" s="836"/>
      <c r="D8" s="836"/>
      <c r="E8" s="706"/>
      <c r="F8" s="710"/>
      <c r="G8" s="710"/>
      <c r="IL8" s="10"/>
      <c r="IM8" s="10"/>
      <c r="IN8" s="10"/>
      <c r="IO8" s="10"/>
      <c r="IP8" s="10"/>
      <c r="IQ8" s="10"/>
    </row>
    <row r="9" spans="1:256" ht="13.5" customHeight="1" thickBot="1" x14ac:dyDescent="0.25"/>
    <row r="10" spans="1:256" ht="15.75" customHeight="1" thickBot="1" x14ac:dyDescent="0.25">
      <c r="A10" s="837" t="s">
        <v>134</v>
      </c>
      <c r="B10" s="831" t="s">
        <v>5</v>
      </c>
      <c r="C10" s="833" t="s">
        <v>210</v>
      </c>
      <c r="D10" s="834"/>
      <c r="E10" s="834"/>
      <c r="F10" s="834"/>
      <c r="G10" s="835"/>
      <c r="H10" s="849" t="s">
        <v>109</v>
      </c>
      <c r="I10" s="850"/>
      <c r="J10" s="850"/>
      <c r="K10" s="850"/>
      <c r="L10" s="851"/>
      <c r="M10" s="846" t="s">
        <v>228</v>
      </c>
      <c r="N10" s="847"/>
      <c r="O10" s="847"/>
      <c r="P10" s="847"/>
      <c r="Q10" s="848"/>
      <c r="R10" s="17"/>
    </row>
    <row r="11" spans="1:256" ht="79.5" customHeight="1" thickBot="1" x14ac:dyDescent="0.25">
      <c r="A11" s="838"/>
      <c r="B11" s="832"/>
      <c r="C11" s="324" t="s">
        <v>87</v>
      </c>
      <c r="D11" s="325" t="s">
        <v>135</v>
      </c>
      <c r="E11" s="325" t="s">
        <v>136</v>
      </c>
      <c r="F11" s="325" t="s">
        <v>88</v>
      </c>
      <c r="G11" s="503" t="s">
        <v>89</v>
      </c>
      <c r="H11" s="707" t="s">
        <v>87</v>
      </c>
      <c r="I11" s="511" t="s">
        <v>135</v>
      </c>
      <c r="J11" s="511" t="s">
        <v>136</v>
      </c>
      <c r="K11" s="332" t="s">
        <v>88</v>
      </c>
      <c r="L11" s="333" t="s">
        <v>89</v>
      </c>
      <c r="M11" s="506" t="s">
        <v>87</v>
      </c>
      <c r="N11" s="325" t="s">
        <v>135</v>
      </c>
      <c r="O11" s="325" t="s">
        <v>136</v>
      </c>
      <c r="P11" s="325" t="s">
        <v>88</v>
      </c>
      <c r="Q11" s="326" t="s">
        <v>89</v>
      </c>
      <c r="R11" s="17"/>
    </row>
    <row r="12" spans="1:256" ht="13.5" customHeight="1" x14ac:dyDescent="0.2">
      <c r="A12" s="852" t="s">
        <v>206</v>
      </c>
      <c r="B12" s="320" t="s">
        <v>127</v>
      </c>
      <c r="C12" s="327">
        <v>60300</v>
      </c>
      <c r="D12" s="323">
        <v>72300</v>
      </c>
      <c r="E12" s="323">
        <v>72300</v>
      </c>
      <c r="F12" s="323">
        <v>94600</v>
      </c>
      <c r="G12" s="504">
        <v>111700</v>
      </c>
      <c r="H12" s="512">
        <v>5.7000000000000002E-2</v>
      </c>
      <c r="I12" s="500">
        <f>+H12</f>
        <v>5.7000000000000002E-2</v>
      </c>
      <c r="J12" s="500">
        <f>+H12</f>
        <v>5.7000000000000002E-2</v>
      </c>
      <c r="K12" s="500">
        <f>+H12</f>
        <v>5.7000000000000002E-2</v>
      </c>
      <c r="L12" s="611">
        <f>+H12</f>
        <v>5.7000000000000002E-2</v>
      </c>
      <c r="M12" s="507">
        <f>CEILING(C12*(1+H12),100)</f>
        <v>63800</v>
      </c>
      <c r="N12" s="334">
        <f>+CEILING(C12*(1.2)*(1+I12),100)</f>
        <v>76500</v>
      </c>
      <c r="O12" s="334">
        <f>+CEILING(C12*(1.2)*(1+J12),100)</f>
        <v>76500</v>
      </c>
      <c r="P12" s="334">
        <f t="shared" ref="P12:Q14" si="0">+CEILING(F12*(1+K12),100)</f>
        <v>100000</v>
      </c>
      <c r="Q12" s="335">
        <f t="shared" si="0"/>
        <v>118100</v>
      </c>
      <c r="R12" s="68"/>
    </row>
    <row r="13" spans="1:256" ht="13.5" customHeight="1" x14ac:dyDescent="0.2">
      <c r="A13" s="853"/>
      <c r="B13" s="321" t="s">
        <v>207</v>
      </c>
      <c r="C13" s="327">
        <v>89800</v>
      </c>
      <c r="D13" s="323">
        <v>107800</v>
      </c>
      <c r="E13" s="323">
        <v>107800</v>
      </c>
      <c r="F13" s="323">
        <v>134800</v>
      </c>
      <c r="G13" s="504">
        <v>158000</v>
      </c>
      <c r="H13" s="328">
        <v>5.7000000000000002E-2</v>
      </c>
      <c r="I13" s="329">
        <f>+H13</f>
        <v>5.7000000000000002E-2</v>
      </c>
      <c r="J13" s="329">
        <f>+H13</f>
        <v>5.7000000000000002E-2</v>
      </c>
      <c r="K13" s="329">
        <f>+H13</f>
        <v>5.7000000000000002E-2</v>
      </c>
      <c r="L13" s="513">
        <f t="shared" ref="L13:L17" si="1">+H13</f>
        <v>5.7000000000000002E-2</v>
      </c>
      <c r="M13" s="507">
        <f>CEILING(C13*(1+H13),100)</f>
        <v>95000</v>
      </c>
      <c r="N13" s="334">
        <f t="shared" ref="N13:N14" si="2">+CEILING(C13*(1.2)*(1+I13),100)</f>
        <v>114000</v>
      </c>
      <c r="O13" s="334">
        <f>+CEILING(C13*(1.2)*(1+J13),100)</f>
        <v>114000</v>
      </c>
      <c r="P13" s="334">
        <f t="shared" si="0"/>
        <v>142500</v>
      </c>
      <c r="Q13" s="335">
        <f t="shared" si="0"/>
        <v>167100</v>
      </c>
      <c r="R13" s="68"/>
    </row>
    <row r="14" spans="1:256" ht="13.5" customHeight="1" thickBot="1" x14ac:dyDescent="0.25">
      <c r="A14" s="854"/>
      <c r="B14" s="322" t="s">
        <v>208</v>
      </c>
      <c r="C14" s="496">
        <v>140200</v>
      </c>
      <c r="D14" s="497">
        <v>168300</v>
      </c>
      <c r="E14" s="497">
        <v>168300</v>
      </c>
      <c r="F14" s="497">
        <v>175300</v>
      </c>
      <c r="G14" s="505">
        <v>182300</v>
      </c>
      <c r="H14" s="330">
        <v>5.7000000000000002E-2</v>
      </c>
      <c r="I14" s="331">
        <f>+H14</f>
        <v>5.7000000000000002E-2</v>
      </c>
      <c r="J14" s="331">
        <f>+H14</f>
        <v>5.7000000000000002E-2</v>
      </c>
      <c r="K14" s="331">
        <f>+H14</f>
        <v>5.7000000000000002E-2</v>
      </c>
      <c r="L14" s="514">
        <f t="shared" si="1"/>
        <v>5.7000000000000002E-2</v>
      </c>
      <c r="M14" s="508">
        <f>CEILING(C14*(1+H14),100)</f>
        <v>148200</v>
      </c>
      <c r="N14" s="498">
        <f t="shared" si="2"/>
        <v>177900</v>
      </c>
      <c r="O14" s="498">
        <f>+CEILING(C14*(1.2)*(1+J14),100)</f>
        <v>177900</v>
      </c>
      <c r="P14" s="498">
        <f t="shared" si="0"/>
        <v>185300</v>
      </c>
      <c r="Q14" s="499">
        <f t="shared" si="0"/>
        <v>192700</v>
      </c>
    </row>
    <row r="15" spans="1:256" s="749" customFormat="1" ht="12.75" customHeight="1" x14ac:dyDescent="0.2">
      <c r="A15" s="843" t="s">
        <v>256</v>
      </c>
      <c r="B15" s="746" t="s">
        <v>222</v>
      </c>
      <c r="C15" s="747">
        <v>310000</v>
      </c>
      <c r="D15" s="501">
        <f>+C15*1.2</f>
        <v>372000</v>
      </c>
      <c r="E15" s="501">
        <f>+C15*1.2</f>
        <v>372000</v>
      </c>
      <c r="F15" s="501">
        <f>+C15*1.25</f>
        <v>387500</v>
      </c>
      <c r="G15" s="748">
        <f>+C15*1.5</f>
        <v>465000</v>
      </c>
      <c r="H15" s="512">
        <v>5.7000000000000002E-2</v>
      </c>
      <c r="I15" s="500">
        <f t="shared" ref="I15:I17" si="3">+H15</f>
        <v>5.7000000000000002E-2</v>
      </c>
      <c r="J15" s="500">
        <f t="shared" ref="J15:J17" si="4">+H15</f>
        <v>5.7000000000000002E-2</v>
      </c>
      <c r="K15" s="500">
        <f t="shared" ref="K15:K17" si="5">+H15</f>
        <v>5.7000000000000002E-2</v>
      </c>
      <c r="L15" s="611">
        <f t="shared" si="1"/>
        <v>5.7000000000000002E-2</v>
      </c>
      <c r="M15" s="509">
        <f>CEILING(C15*(1+H15),100)</f>
        <v>327700</v>
      </c>
      <c r="N15" s="501">
        <f t="shared" ref="N15" si="6">+CEILING(C15*(1.2)*(1+I15),100)</f>
        <v>393300</v>
      </c>
      <c r="O15" s="501">
        <f>+CEILING(C15*(1.2)*(1+J15),100)</f>
        <v>393300</v>
      </c>
      <c r="P15" s="501">
        <f t="shared" ref="P15" si="7">+CEILING(F15*(1+K15),100)</f>
        <v>409600</v>
      </c>
      <c r="Q15" s="502">
        <f>+CEILING(G15*(1+L15),100)</f>
        <v>491600</v>
      </c>
    </row>
    <row r="16" spans="1:256" s="749" customFormat="1" x14ac:dyDescent="0.2">
      <c r="A16" s="844"/>
      <c r="B16" s="750" t="s">
        <v>223</v>
      </c>
      <c r="C16" s="751"/>
      <c r="D16" s="752"/>
      <c r="E16" s="752"/>
      <c r="F16" s="752"/>
      <c r="G16" s="753"/>
      <c r="H16" s="751"/>
      <c r="I16" s="752"/>
      <c r="J16" s="752"/>
      <c r="K16" s="752"/>
      <c r="L16" s="754"/>
      <c r="M16" s="755"/>
      <c r="N16" s="752"/>
      <c r="O16" s="752"/>
      <c r="P16" s="752"/>
      <c r="Q16" s="754"/>
    </row>
    <row r="17" spans="1:18" s="749" customFormat="1" ht="13.5" thickBot="1" x14ac:dyDescent="0.25">
      <c r="A17" s="845"/>
      <c r="B17" s="756" t="s">
        <v>224</v>
      </c>
      <c r="C17" s="515">
        <v>186000</v>
      </c>
      <c r="D17" s="516">
        <v>223200</v>
      </c>
      <c r="E17" s="516">
        <v>223200</v>
      </c>
      <c r="F17" s="516">
        <v>279000</v>
      </c>
      <c r="G17" s="517">
        <v>372000</v>
      </c>
      <c r="H17" s="330">
        <v>5.7000000000000002E-2</v>
      </c>
      <c r="I17" s="331">
        <f t="shared" si="3"/>
        <v>5.7000000000000002E-2</v>
      </c>
      <c r="J17" s="331">
        <f t="shared" si="4"/>
        <v>5.7000000000000002E-2</v>
      </c>
      <c r="K17" s="331">
        <f t="shared" si="5"/>
        <v>5.7000000000000002E-2</v>
      </c>
      <c r="L17" s="514">
        <f t="shared" si="1"/>
        <v>5.7000000000000002E-2</v>
      </c>
      <c r="M17" s="510">
        <f>CEILING(C17*(1+H17),100)</f>
        <v>196700</v>
      </c>
      <c r="N17" s="336">
        <f>+CEILING(D17*(1.2)*(1+I17),100)</f>
        <v>283200</v>
      </c>
      <c r="O17" s="336">
        <f>+CEILING(E17*(1.2)*(1+J17),100)</f>
        <v>283200</v>
      </c>
      <c r="P17" s="336">
        <f>+CEILING(F17*(1+K17),100)</f>
        <v>295000</v>
      </c>
      <c r="Q17" s="337">
        <f>+CEILING(G17*(1+L17),100)</f>
        <v>393300</v>
      </c>
    </row>
    <row r="18" spans="1:18" ht="12.75" customHeight="1" x14ac:dyDescent="0.2">
      <c r="B18" s="45"/>
      <c r="R18" s="45"/>
    </row>
    <row r="21" spans="1:18" x14ac:dyDescent="0.2">
      <c r="D21" s="137"/>
    </row>
    <row r="22" spans="1:18" ht="15.75" x14ac:dyDescent="0.2">
      <c r="A22" s="836" t="s">
        <v>147</v>
      </c>
      <c r="B22" s="836"/>
      <c r="C22" s="836"/>
      <c r="D22" s="836"/>
      <c r="E22" s="836"/>
      <c r="F22" s="836"/>
      <c r="G22" s="14"/>
      <c r="H22" s="14"/>
    </row>
    <row r="23" spans="1:18" ht="13.5" thickBot="1" x14ac:dyDescent="0.25"/>
    <row r="24" spans="1:18" ht="16.5" thickBot="1" x14ac:dyDescent="0.25">
      <c r="A24" s="841" t="s">
        <v>134</v>
      </c>
      <c r="B24" s="839" t="s">
        <v>5</v>
      </c>
      <c r="C24" s="828" t="s">
        <v>229</v>
      </c>
      <c r="D24" s="829"/>
      <c r="E24" s="829"/>
      <c r="F24" s="829"/>
      <c r="G24" s="829"/>
      <c r="H24" s="830"/>
    </row>
    <row r="25" spans="1:18" ht="80.25" customHeight="1" thickBot="1" x14ac:dyDescent="0.25">
      <c r="A25" s="842"/>
      <c r="B25" s="840"/>
      <c r="C25" s="483" t="s">
        <v>87</v>
      </c>
      <c r="D25" s="79" t="s">
        <v>135</v>
      </c>
      <c r="E25" s="79" t="s">
        <v>136</v>
      </c>
      <c r="F25" s="79" t="s">
        <v>88</v>
      </c>
      <c r="G25" s="488" t="s">
        <v>89</v>
      </c>
      <c r="H25" s="709" t="s">
        <v>133</v>
      </c>
    </row>
    <row r="26" spans="1:18" ht="20.100000000000001" customHeight="1" x14ac:dyDescent="0.2">
      <c r="A26" s="823" t="str">
        <f>+A12</f>
        <v>Jardín Infantil Mar y Cielo</v>
      </c>
      <c r="B26" s="478" t="str">
        <f>+B12</f>
        <v>Media jornada</v>
      </c>
      <c r="C26" s="484">
        <v>16</v>
      </c>
      <c r="D26" s="392">
        <v>0</v>
      </c>
      <c r="E26" s="392">
        <v>0</v>
      </c>
      <c r="F26" s="392">
        <v>0</v>
      </c>
      <c r="G26" s="489">
        <v>0</v>
      </c>
      <c r="H26" s="493">
        <f>SUM(C26:G26)</f>
        <v>16</v>
      </c>
    </row>
    <row r="27" spans="1:18" ht="20.100000000000001" customHeight="1" thickBot="1" x14ac:dyDescent="0.25">
      <c r="A27" s="824"/>
      <c r="B27" s="479" t="str">
        <f>+B13</f>
        <v xml:space="preserve">Doble jornada </v>
      </c>
      <c r="C27" s="485">
        <v>3</v>
      </c>
      <c r="D27" s="237">
        <v>0</v>
      </c>
      <c r="E27" s="237">
        <v>0</v>
      </c>
      <c r="F27" s="237">
        <v>0</v>
      </c>
      <c r="G27" s="490">
        <v>0</v>
      </c>
      <c r="H27" s="494">
        <f>SUM(C27:G27)</f>
        <v>3</v>
      </c>
    </row>
    <row r="28" spans="1:18" ht="20.100000000000001" customHeight="1" thickBot="1" x14ac:dyDescent="0.25">
      <c r="A28" s="825"/>
      <c r="B28" s="480" t="str">
        <f>+B14</f>
        <v>Jornada completa</v>
      </c>
      <c r="C28" s="486">
        <v>38</v>
      </c>
      <c r="D28" s="477">
        <v>0</v>
      </c>
      <c r="E28" s="477">
        <v>1</v>
      </c>
      <c r="F28" s="477">
        <v>0</v>
      </c>
      <c r="G28" s="491">
        <v>1</v>
      </c>
      <c r="H28" s="495">
        <f t="shared" ref="H28" si="8">SUM(C28:G28)</f>
        <v>40</v>
      </c>
      <c r="I28" s="482">
        <f>SUM(H26:H28)</f>
        <v>59</v>
      </c>
      <c r="J28" s="682" t="s">
        <v>374</v>
      </c>
    </row>
    <row r="29" spans="1:18" s="749" customFormat="1" ht="19.5" customHeight="1" x14ac:dyDescent="0.2">
      <c r="A29" s="820" t="str">
        <f>+A15</f>
        <v>Sala Cuna Mar y Cielo Diurna</v>
      </c>
      <c r="B29" s="478" t="str">
        <f t="shared" ref="B29:B31" si="9">+B15</f>
        <v>Diurna</v>
      </c>
      <c r="C29" s="484">
        <v>10</v>
      </c>
      <c r="D29" s="392">
        <v>1</v>
      </c>
      <c r="E29" s="392">
        <v>0</v>
      </c>
      <c r="F29" s="392">
        <v>0</v>
      </c>
      <c r="G29" s="489">
        <v>0</v>
      </c>
      <c r="H29" s="493">
        <f>SUM(C29:G29)</f>
        <v>11</v>
      </c>
    </row>
    <row r="30" spans="1:18" s="749" customFormat="1" ht="19.5" customHeight="1" thickBot="1" x14ac:dyDescent="0.25">
      <c r="A30" s="821"/>
      <c r="B30" s="479" t="str">
        <f t="shared" si="9"/>
        <v>Nocturna</v>
      </c>
      <c r="C30" s="757"/>
      <c r="D30" s="758"/>
      <c r="E30" s="758"/>
      <c r="F30" s="758"/>
      <c r="G30" s="759"/>
      <c r="H30" s="760"/>
    </row>
    <row r="31" spans="1:18" s="749" customFormat="1" ht="19.5" customHeight="1" thickBot="1" x14ac:dyDescent="0.25">
      <c r="A31" s="822"/>
      <c r="B31" s="481" t="str">
        <f t="shared" si="9"/>
        <v>Media Jornada</v>
      </c>
      <c r="C31" s="487">
        <v>0</v>
      </c>
      <c r="D31" s="136">
        <v>0</v>
      </c>
      <c r="E31" s="136">
        <v>0</v>
      </c>
      <c r="F31" s="136">
        <v>0</v>
      </c>
      <c r="G31" s="492">
        <v>0</v>
      </c>
      <c r="H31" s="761">
        <f>SUM(C31:G31)</f>
        <v>0</v>
      </c>
      <c r="I31" s="482">
        <f>SUM(H29:H31)</f>
        <v>11</v>
      </c>
      <c r="J31" s="762" t="s">
        <v>382</v>
      </c>
    </row>
  </sheetData>
  <sheetProtection algorithmName="SHA-512" hashValue="qfOxrW988BoRALmh/alhX/UilQlHpGddTJKutTNNXTiFN246VC8iY3F+BpaWASVe/HofA5I9eSANtbKi9uRpcw==" saltValue="2UKAIED/WKVfldEQKkEKsQ==" spinCount="100000" sheet="1" objects="1" scenarios="1"/>
  <mergeCells count="16">
    <mergeCell ref="M10:Q10"/>
    <mergeCell ref="A22:F22"/>
    <mergeCell ref="H10:L10"/>
    <mergeCell ref="A12:A14"/>
    <mergeCell ref="C5:D5"/>
    <mergeCell ref="A29:A31"/>
    <mergeCell ref="A26:A28"/>
    <mergeCell ref="F5:G5"/>
    <mergeCell ref="C24:H24"/>
    <mergeCell ref="B10:B11"/>
    <mergeCell ref="C10:G10"/>
    <mergeCell ref="A8:D8"/>
    <mergeCell ref="A10:A11"/>
    <mergeCell ref="B24:B25"/>
    <mergeCell ref="A24:A25"/>
    <mergeCell ref="A15:A17"/>
  </mergeCells>
  <pageMargins left="0.7" right="0.7" top="0.75" bottom="0.75" header="0.3" footer="0.3"/>
  <pageSetup paperSize="9" orientation="portrait" r:id="rId1"/>
  <ignoredErrors>
    <ignoredError sqref="K12:L1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R154"/>
  <sheetViews>
    <sheetView showGridLines="0" topLeftCell="A103" zoomScale="80" zoomScaleNormal="80" workbookViewId="0">
      <selection activeCell="H134" sqref="H134"/>
    </sheetView>
  </sheetViews>
  <sheetFormatPr baseColWidth="10" defaultColWidth="11.42578125" defaultRowHeight="12.75" x14ac:dyDescent="0.2"/>
  <cols>
    <col min="1" max="1" width="30.28515625" style="10" customWidth="1"/>
    <col min="2" max="2" width="21.140625" style="4" customWidth="1"/>
    <col min="3" max="3" width="57.42578125" style="4" bestFit="1" customWidth="1"/>
    <col min="4" max="4" width="17" style="4" customWidth="1"/>
    <col min="5" max="5" width="14.28515625" style="4" customWidth="1"/>
    <col min="6" max="6" width="14.42578125" style="24" customWidth="1"/>
    <col min="7" max="7" width="15.28515625" style="6" bestFit="1" customWidth="1"/>
    <col min="8" max="8" width="23" style="6" customWidth="1"/>
    <col min="9" max="9" width="20.7109375" style="4" hidden="1" customWidth="1"/>
    <col min="10" max="10" width="13.85546875" style="4" bestFit="1" customWidth="1"/>
    <col min="11" max="11" width="16.28515625" style="4" customWidth="1"/>
    <col min="12" max="12" width="11.42578125" style="4"/>
    <col min="13" max="13" width="97.85546875" style="4" customWidth="1"/>
    <col min="14" max="14" width="12.85546875" style="4" bestFit="1" customWidth="1"/>
    <col min="15" max="15" width="15.140625" style="4" customWidth="1"/>
    <col min="16" max="16" width="14.7109375" style="4" customWidth="1"/>
    <col min="17" max="18" width="11.42578125" style="677"/>
    <col min="19" max="16384" width="11.42578125" style="4"/>
  </cols>
  <sheetData>
    <row r="1" spans="1:16" x14ac:dyDescent="0.2">
      <c r="C1" s="44"/>
      <c r="D1" s="44" t="s">
        <v>200</v>
      </c>
      <c r="E1" s="44"/>
      <c r="F1" s="44"/>
      <c r="G1" s="44"/>
      <c r="H1" s="44"/>
    </row>
    <row r="2" spans="1:16" x14ac:dyDescent="0.2">
      <c r="C2" s="44"/>
      <c r="D2" s="44" t="s">
        <v>209</v>
      </c>
      <c r="E2" s="44"/>
      <c r="F2" s="44"/>
      <c r="G2" s="44"/>
      <c r="H2" s="44"/>
    </row>
    <row r="3" spans="1:16" x14ac:dyDescent="0.2">
      <c r="C3" s="44"/>
      <c r="E3" s="44"/>
      <c r="F3" s="44"/>
      <c r="G3" s="44"/>
      <c r="H3" s="44"/>
    </row>
    <row r="4" spans="1:16" ht="15.75" x14ac:dyDescent="0.2">
      <c r="C4" s="766" t="s">
        <v>0</v>
      </c>
      <c r="D4" s="875" t="s">
        <v>148</v>
      </c>
      <c r="E4" s="876"/>
      <c r="F4" s="44"/>
      <c r="G4" s="44"/>
      <c r="H4" s="44"/>
    </row>
    <row r="5" spans="1:16" x14ac:dyDescent="0.2">
      <c r="B5" s="44"/>
      <c r="C5" s="769"/>
      <c r="D5" s="44"/>
      <c r="E5" s="44"/>
      <c r="F5" s="44"/>
      <c r="G5" s="44"/>
      <c r="H5" s="44"/>
    </row>
    <row r="6" spans="1:16" x14ac:dyDescent="0.2">
      <c r="B6" s="44"/>
      <c r="C6" s="769"/>
      <c r="D6" s="44"/>
      <c r="E6" s="44"/>
      <c r="F6" s="44"/>
      <c r="G6" s="44"/>
      <c r="H6" s="44"/>
    </row>
    <row r="7" spans="1:16" x14ac:dyDescent="0.2">
      <c r="C7" s="6"/>
      <c r="J7" s="677" t="s">
        <v>373</v>
      </c>
    </row>
    <row r="8" spans="1:16" ht="15.75" x14ac:dyDescent="0.2">
      <c r="A8" s="836" t="s">
        <v>149</v>
      </c>
      <c r="B8" s="836"/>
      <c r="C8" s="836"/>
      <c r="D8" s="769"/>
      <c r="G8" s="4"/>
    </row>
    <row r="10" spans="1:16" x14ac:dyDescent="0.2">
      <c r="A10" s="879" t="s">
        <v>115</v>
      </c>
      <c r="B10" s="877" t="s">
        <v>76</v>
      </c>
      <c r="C10" s="883" t="s">
        <v>77</v>
      </c>
      <c r="D10" s="881" t="s">
        <v>78</v>
      </c>
      <c r="E10" s="880" t="s">
        <v>79</v>
      </c>
      <c r="F10" s="880"/>
      <c r="G10" s="880"/>
      <c r="H10" s="882" t="s">
        <v>237</v>
      </c>
      <c r="I10" s="864" t="s">
        <v>75</v>
      </c>
      <c r="M10" s="856" t="s">
        <v>227</v>
      </c>
      <c r="N10" s="858" t="s">
        <v>220</v>
      </c>
      <c r="O10" s="858" t="s">
        <v>225</v>
      </c>
      <c r="P10" s="858" t="s">
        <v>226</v>
      </c>
    </row>
    <row r="11" spans="1:16" ht="25.5" x14ac:dyDescent="0.2">
      <c r="A11" s="868"/>
      <c r="B11" s="878"/>
      <c r="C11" s="872"/>
      <c r="D11" s="881"/>
      <c r="E11" s="225" t="s">
        <v>67</v>
      </c>
      <c r="F11" s="226" t="s">
        <v>68</v>
      </c>
      <c r="G11" s="768" t="s">
        <v>6</v>
      </c>
      <c r="H11" s="863"/>
      <c r="I11" s="865"/>
      <c r="M11" s="857"/>
      <c r="N11" s="859"/>
      <c r="O11" s="859"/>
      <c r="P11" s="859"/>
    </row>
    <row r="12" spans="1:16" x14ac:dyDescent="0.2">
      <c r="A12" s="866" t="str">
        <f>+'B) Reajuste Tarifas y Ocupación'!A12</f>
        <v>Jardín Infantil Mar y Cielo</v>
      </c>
      <c r="B12" s="457"/>
      <c r="C12" s="211" t="s">
        <v>11</v>
      </c>
      <c r="D12" s="220">
        <f>SUM(D13,D18)</f>
        <v>61905194.899999999</v>
      </c>
      <c r="E12" s="221"/>
      <c r="F12" s="221"/>
      <c r="G12" s="227">
        <f>SUM(G13,G18)</f>
        <v>18647680</v>
      </c>
      <c r="H12" s="218">
        <f>SUM(H13,H18)</f>
        <v>80552874.900000006</v>
      </c>
      <c r="I12" s="416"/>
      <c r="M12" s="526" t="s">
        <v>11</v>
      </c>
      <c r="N12" s="527"/>
      <c r="O12" s="527"/>
      <c r="P12" s="527"/>
    </row>
    <row r="13" spans="1:16" x14ac:dyDescent="0.2">
      <c r="A13" s="866"/>
      <c r="B13" s="458"/>
      <c r="C13" s="207" t="s">
        <v>12</v>
      </c>
      <c r="D13" s="209">
        <f>SUM(D14:D17)</f>
        <v>57721994.899999999</v>
      </c>
      <c r="E13" s="210"/>
      <c r="F13" s="210"/>
      <c r="G13" s="228">
        <f>SUM(G14:G17)</f>
        <v>0</v>
      </c>
      <c r="H13" s="214">
        <f>SUM(H14:H17)</f>
        <v>57721994.899999999</v>
      </c>
      <c r="I13" s="416"/>
      <c r="M13" s="528" t="s">
        <v>16</v>
      </c>
      <c r="N13" s="529"/>
      <c r="O13" s="529"/>
      <c r="P13" s="529"/>
    </row>
    <row r="14" spans="1:16" x14ac:dyDescent="0.2">
      <c r="A14" s="866"/>
      <c r="B14" s="459">
        <v>53103040100000</v>
      </c>
      <c r="C14" s="203" t="s">
        <v>96</v>
      </c>
      <c r="D14" s="233">
        <f>+'F) Remuneraciones'!L11</f>
        <v>57150490</v>
      </c>
      <c r="E14" s="229"/>
      <c r="F14" s="230"/>
      <c r="G14" s="219">
        <f>E14*F14</f>
        <v>0</v>
      </c>
      <c r="H14" s="213">
        <f>D14+G14</f>
        <v>57150490</v>
      </c>
      <c r="I14" s="416"/>
      <c r="J14" s="677" t="s">
        <v>415</v>
      </c>
      <c r="M14" s="530" t="s">
        <v>174</v>
      </c>
      <c r="N14" s="413"/>
      <c r="O14" s="414">
        <f t="shared" ref="O14:O61" si="0">N14*0.8</f>
        <v>0</v>
      </c>
      <c r="P14" s="414">
        <f t="shared" ref="P14:P61" si="1">N14*0.2</f>
        <v>0</v>
      </c>
    </row>
    <row r="15" spans="1:16" x14ac:dyDescent="0.2">
      <c r="A15" s="866"/>
      <c r="B15" s="459">
        <v>53103050000000</v>
      </c>
      <c r="C15" s="203" t="s">
        <v>369</v>
      </c>
      <c r="D15" s="204"/>
      <c r="E15" s="206"/>
      <c r="F15" s="205"/>
      <c r="G15" s="219">
        <f>E15*F15</f>
        <v>0</v>
      </c>
      <c r="H15" s="213">
        <f>D15+G15</f>
        <v>0</v>
      </c>
      <c r="I15" s="416"/>
      <c r="M15" s="531" t="s">
        <v>19</v>
      </c>
      <c r="N15" s="415">
        <v>0</v>
      </c>
      <c r="O15" s="414">
        <f t="shared" si="0"/>
        <v>0</v>
      </c>
      <c r="P15" s="414">
        <f t="shared" si="1"/>
        <v>0</v>
      </c>
    </row>
    <row r="16" spans="1:16" x14ac:dyDescent="0.2">
      <c r="A16" s="866"/>
      <c r="B16" s="460">
        <v>53103040400000</v>
      </c>
      <c r="C16" s="232" t="s">
        <v>169</v>
      </c>
      <c r="D16" s="204">
        <f>D14*0.01</f>
        <v>571504.9</v>
      </c>
      <c r="E16" s="206">
        <v>0</v>
      </c>
      <c r="F16" s="205">
        <v>0</v>
      </c>
      <c r="G16" s="219">
        <f>E16*F16</f>
        <v>0</v>
      </c>
      <c r="H16" s="213">
        <f>D16+G16</f>
        <v>571504.9</v>
      </c>
      <c r="I16" s="416"/>
      <c r="M16" s="531" t="s">
        <v>175</v>
      </c>
      <c r="N16" s="415">
        <v>0</v>
      </c>
      <c r="O16" s="414">
        <f t="shared" si="0"/>
        <v>0</v>
      </c>
      <c r="P16" s="414">
        <f t="shared" si="1"/>
        <v>0</v>
      </c>
    </row>
    <row r="17" spans="1:16" x14ac:dyDescent="0.2">
      <c r="A17" s="866"/>
      <c r="B17" s="459">
        <v>53103080010000</v>
      </c>
      <c r="C17" s="203" t="s">
        <v>170</v>
      </c>
      <c r="D17" s="204">
        <v>0</v>
      </c>
      <c r="E17" s="206">
        <v>0</v>
      </c>
      <c r="F17" s="205">
        <v>0</v>
      </c>
      <c r="G17" s="219">
        <f>E17*F17</f>
        <v>0</v>
      </c>
      <c r="H17" s="213">
        <f>D17+G17</f>
        <v>0</v>
      </c>
      <c r="I17" s="416"/>
      <c r="M17" s="531" t="s">
        <v>214</v>
      </c>
      <c r="N17" s="415">
        <v>50000</v>
      </c>
      <c r="O17" s="414">
        <f t="shared" si="0"/>
        <v>40000</v>
      </c>
      <c r="P17" s="414">
        <f t="shared" si="1"/>
        <v>10000</v>
      </c>
    </row>
    <row r="18" spans="1:16" x14ac:dyDescent="0.2">
      <c r="A18" s="866"/>
      <c r="B18" s="458"/>
      <c r="C18" s="207" t="s">
        <v>16</v>
      </c>
      <c r="D18" s="209">
        <f>SUM(D19:D38)</f>
        <v>4183200</v>
      </c>
      <c r="E18" s="210"/>
      <c r="F18" s="210"/>
      <c r="G18" s="209">
        <f>SUM(G19:G38)</f>
        <v>18647680</v>
      </c>
      <c r="H18" s="214">
        <f>SUM(H19:H38)</f>
        <v>22830880</v>
      </c>
      <c r="I18" s="416"/>
      <c r="J18" s="235"/>
      <c r="M18" s="531" t="s">
        <v>22</v>
      </c>
      <c r="N18" s="415">
        <v>0</v>
      </c>
      <c r="O18" s="414">
        <f t="shared" si="0"/>
        <v>0</v>
      </c>
      <c r="P18" s="414">
        <f t="shared" si="1"/>
        <v>0</v>
      </c>
    </row>
    <row r="19" spans="1:16" x14ac:dyDescent="0.2">
      <c r="A19" s="866"/>
      <c r="B19" s="459">
        <v>53201010100000</v>
      </c>
      <c r="C19" s="202" t="s">
        <v>171</v>
      </c>
      <c r="D19" s="204">
        <v>0</v>
      </c>
      <c r="E19" s="763">
        <v>2368</v>
      </c>
      <c r="F19" s="411">
        <f>(20*11)*8</f>
        <v>1760</v>
      </c>
      <c r="G19" s="219">
        <f t="shared" ref="G19:G38" si="2">E19*F19</f>
        <v>4167680</v>
      </c>
      <c r="H19" s="213">
        <f t="shared" ref="H19:H38" si="3">D19+G19</f>
        <v>4167680</v>
      </c>
      <c r="I19" s="416"/>
      <c r="M19" s="531" t="s">
        <v>177</v>
      </c>
      <c r="N19" s="415">
        <v>0</v>
      </c>
      <c r="O19" s="414">
        <f t="shared" si="0"/>
        <v>0</v>
      </c>
      <c r="P19" s="414">
        <f t="shared" si="1"/>
        <v>0</v>
      </c>
    </row>
    <row r="20" spans="1:16" x14ac:dyDescent="0.2">
      <c r="A20" s="866"/>
      <c r="B20" s="459">
        <v>53201010100000</v>
      </c>
      <c r="C20" s="202" t="s">
        <v>172</v>
      </c>
      <c r="D20" s="204">
        <v>0</v>
      </c>
      <c r="E20" s="410">
        <v>1810</v>
      </c>
      <c r="F20" s="764">
        <f>(20*10)*40</f>
        <v>8000</v>
      </c>
      <c r="G20" s="219">
        <f t="shared" ref="G20:G21" si="4">E20*F20</f>
        <v>14480000</v>
      </c>
      <c r="H20" s="213">
        <f t="shared" ref="H20:H21" si="5">D20+G20</f>
        <v>14480000</v>
      </c>
      <c r="I20" s="201"/>
      <c r="J20" s="677"/>
      <c r="M20" s="531" t="s">
        <v>24</v>
      </c>
      <c r="N20" s="415">
        <v>1400000</v>
      </c>
      <c r="O20" s="414">
        <f t="shared" si="0"/>
        <v>1120000</v>
      </c>
      <c r="P20" s="414">
        <f t="shared" si="1"/>
        <v>280000</v>
      </c>
    </row>
    <row r="21" spans="1:16" x14ac:dyDescent="0.2">
      <c r="A21" s="866"/>
      <c r="B21" s="459">
        <v>53201010100000</v>
      </c>
      <c r="C21" s="202" t="s">
        <v>173</v>
      </c>
      <c r="D21" s="204">
        <v>0</v>
      </c>
      <c r="E21" s="206">
        <v>0</v>
      </c>
      <c r="F21" s="205">
        <v>0</v>
      </c>
      <c r="G21" s="219">
        <f t="shared" si="4"/>
        <v>0</v>
      </c>
      <c r="H21" s="213">
        <f t="shared" si="5"/>
        <v>0</v>
      </c>
      <c r="I21" s="201"/>
      <c r="M21" s="531" t="s">
        <v>25</v>
      </c>
      <c r="N21" s="415">
        <v>1000000</v>
      </c>
      <c r="O21" s="414">
        <f t="shared" si="0"/>
        <v>800000</v>
      </c>
      <c r="P21" s="414">
        <f t="shared" si="1"/>
        <v>200000</v>
      </c>
    </row>
    <row r="22" spans="1:16" x14ac:dyDescent="0.2">
      <c r="A22" s="866"/>
      <c r="B22" s="459">
        <v>53202010100000</v>
      </c>
      <c r="C22" s="203" t="s">
        <v>174</v>
      </c>
      <c r="D22" s="268">
        <f>+O14</f>
        <v>0</v>
      </c>
      <c r="E22" s="219">
        <v>0</v>
      </c>
      <c r="F22" s="532">
        <v>0</v>
      </c>
      <c r="G22" s="219">
        <f t="shared" si="2"/>
        <v>0</v>
      </c>
      <c r="H22" s="213">
        <f t="shared" si="3"/>
        <v>0</v>
      </c>
      <c r="I22" s="416"/>
      <c r="M22" s="531" t="s">
        <v>26</v>
      </c>
      <c r="N22" s="415">
        <v>1400000</v>
      </c>
      <c r="O22" s="414">
        <f t="shared" si="0"/>
        <v>1120000</v>
      </c>
      <c r="P22" s="414">
        <f t="shared" si="1"/>
        <v>280000</v>
      </c>
    </row>
    <row r="23" spans="1:16" x14ac:dyDescent="0.2">
      <c r="A23" s="866"/>
      <c r="B23" s="459">
        <v>53203010100000</v>
      </c>
      <c r="C23" s="203" t="s">
        <v>19</v>
      </c>
      <c r="D23" s="268">
        <f>+O15</f>
        <v>0</v>
      </c>
      <c r="E23" s="219">
        <v>0</v>
      </c>
      <c r="F23" s="532">
        <v>0</v>
      </c>
      <c r="G23" s="219">
        <f t="shared" si="2"/>
        <v>0</v>
      </c>
      <c r="H23" s="213">
        <f>D23+G23</f>
        <v>0</v>
      </c>
      <c r="I23" s="416"/>
      <c r="J23" s="455"/>
      <c r="M23" s="531" t="s">
        <v>27</v>
      </c>
      <c r="N23" s="415">
        <v>0</v>
      </c>
      <c r="O23" s="414">
        <f t="shared" si="0"/>
        <v>0</v>
      </c>
      <c r="P23" s="414">
        <f t="shared" si="1"/>
        <v>0</v>
      </c>
    </row>
    <row r="24" spans="1:16" x14ac:dyDescent="0.2">
      <c r="A24" s="866"/>
      <c r="B24" s="459">
        <v>53203030000000</v>
      </c>
      <c r="C24" s="203" t="s">
        <v>175</v>
      </c>
      <c r="D24" s="268">
        <f t="shared" ref="D24:D38" si="6">+O16</f>
        <v>0</v>
      </c>
      <c r="E24" s="219">
        <v>0</v>
      </c>
      <c r="F24" s="532">
        <v>0</v>
      </c>
      <c r="G24" s="219">
        <f t="shared" si="2"/>
        <v>0</v>
      </c>
      <c r="H24" s="213">
        <f t="shared" si="3"/>
        <v>0</v>
      </c>
      <c r="I24" s="416"/>
      <c r="M24" s="531" t="s">
        <v>29</v>
      </c>
      <c r="N24" s="415">
        <v>329000</v>
      </c>
      <c r="O24" s="414">
        <f t="shared" si="0"/>
        <v>263200</v>
      </c>
      <c r="P24" s="414">
        <f t="shared" si="1"/>
        <v>65800</v>
      </c>
    </row>
    <row r="25" spans="1:16" x14ac:dyDescent="0.2">
      <c r="A25" s="866"/>
      <c r="B25" s="459">
        <v>53204030000000</v>
      </c>
      <c r="C25" s="203" t="s">
        <v>214</v>
      </c>
      <c r="D25" s="268">
        <f t="shared" si="6"/>
        <v>40000</v>
      </c>
      <c r="E25" s="219">
        <v>0</v>
      </c>
      <c r="F25" s="532">
        <v>0</v>
      </c>
      <c r="G25" s="219">
        <f t="shared" si="2"/>
        <v>0</v>
      </c>
      <c r="H25" s="213">
        <f>D25+G25</f>
        <v>40000</v>
      </c>
      <c r="I25" s="416"/>
      <c r="J25" s="455"/>
      <c r="M25" s="531" t="s">
        <v>30</v>
      </c>
      <c r="N25" s="415">
        <v>0</v>
      </c>
      <c r="O25" s="414">
        <f t="shared" si="0"/>
        <v>0</v>
      </c>
      <c r="P25" s="414">
        <f t="shared" si="1"/>
        <v>0</v>
      </c>
    </row>
    <row r="26" spans="1:16" x14ac:dyDescent="0.2">
      <c r="A26" s="866"/>
      <c r="B26" s="459">
        <v>53204100100001</v>
      </c>
      <c r="C26" s="203" t="s">
        <v>22</v>
      </c>
      <c r="D26" s="268">
        <v>0</v>
      </c>
      <c r="E26" s="219">
        <v>0</v>
      </c>
      <c r="F26" s="532">
        <v>0</v>
      </c>
      <c r="G26" s="219">
        <f t="shared" si="2"/>
        <v>0</v>
      </c>
      <c r="H26" s="213">
        <f t="shared" si="3"/>
        <v>0</v>
      </c>
      <c r="I26" s="416"/>
      <c r="M26" s="531" t="s">
        <v>31</v>
      </c>
      <c r="N26" s="413">
        <f>+(175000*2)</f>
        <v>350000</v>
      </c>
      <c r="O26" s="414">
        <f t="shared" si="0"/>
        <v>280000</v>
      </c>
      <c r="P26" s="414">
        <f t="shared" si="1"/>
        <v>70000</v>
      </c>
    </row>
    <row r="27" spans="1:16" x14ac:dyDescent="0.2">
      <c r="A27" s="866"/>
      <c r="B27" s="459">
        <v>53204130100000</v>
      </c>
      <c r="C27" s="203" t="s">
        <v>177</v>
      </c>
      <c r="D27" s="268">
        <f t="shared" si="6"/>
        <v>0</v>
      </c>
      <c r="E27" s="219">
        <v>0</v>
      </c>
      <c r="F27" s="532">
        <v>0</v>
      </c>
      <c r="G27" s="219">
        <f t="shared" si="2"/>
        <v>0</v>
      </c>
      <c r="H27" s="213">
        <f t="shared" si="3"/>
        <v>0</v>
      </c>
      <c r="I27" s="416"/>
      <c r="M27" s="531" t="s">
        <v>178</v>
      </c>
      <c r="N27" s="415">
        <v>0</v>
      </c>
      <c r="O27" s="414">
        <f t="shared" si="0"/>
        <v>0</v>
      </c>
      <c r="P27" s="414">
        <f t="shared" si="1"/>
        <v>0</v>
      </c>
    </row>
    <row r="28" spans="1:16" x14ac:dyDescent="0.2">
      <c r="A28" s="866"/>
      <c r="B28" s="459">
        <v>53205010100000</v>
      </c>
      <c r="C28" s="203" t="s">
        <v>24</v>
      </c>
      <c r="D28" s="268">
        <f t="shared" si="6"/>
        <v>1120000</v>
      </c>
      <c r="E28" s="219">
        <v>0</v>
      </c>
      <c r="F28" s="532">
        <v>0</v>
      </c>
      <c r="G28" s="219">
        <f t="shared" si="2"/>
        <v>0</v>
      </c>
      <c r="H28" s="213">
        <f t="shared" si="3"/>
        <v>1120000</v>
      </c>
      <c r="I28" s="416"/>
      <c r="J28" s="455"/>
      <c r="M28" s="531" t="s">
        <v>32</v>
      </c>
      <c r="N28" s="415">
        <v>0</v>
      </c>
      <c r="O28" s="414">
        <f t="shared" si="0"/>
        <v>0</v>
      </c>
      <c r="P28" s="414">
        <f t="shared" si="1"/>
        <v>0</v>
      </c>
    </row>
    <row r="29" spans="1:16" x14ac:dyDescent="0.2">
      <c r="A29" s="866"/>
      <c r="B29" s="459">
        <v>53205020100000</v>
      </c>
      <c r="C29" s="203" t="s">
        <v>25</v>
      </c>
      <c r="D29" s="268">
        <f t="shared" si="6"/>
        <v>800000</v>
      </c>
      <c r="E29" s="219">
        <v>0</v>
      </c>
      <c r="F29" s="532">
        <v>0</v>
      </c>
      <c r="G29" s="219">
        <f t="shared" si="2"/>
        <v>0</v>
      </c>
      <c r="H29" s="213">
        <f t="shared" si="3"/>
        <v>800000</v>
      </c>
      <c r="I29" s="416"/>
      <c r="J29" s="455"/>
      <c r="M29" s="530" t="s">
        <v>179</v>
      </c>
      <c r="N29" s="415">
        <v>600000</v>
      </c>
      <c r="O29" s="414">
        <f t="shared" si="0"/>
        <v>480000</v>
      </c>
      <c r="P29" s="414">
        <f t="shared" si="1"/>
        <v>120000</v>
      </c>
    </row>
    <row r="30" spans="1:16" x14ac:dyDescent="0.2">
      <c r="A30" s="866"/>
      <c r="B30" s="459">
        <v>53205030100000</v>
      </c>
      <c r="C30" s="203" t="s">
        <v>26</v>
      </c>
      <c r="D30" s="268">
        <f t="shared" si="6"/>
        <v>1120000</v>
      </c>
      <c r="E30" s="219">
        <v>0</v>
      </c>
      <c r="F30" s="532">
        <v>0</v>
      </c>
      <c r="G30" s="219">
        <f t="shared" si="2"/>
        <v>0</v>
      </c>
      <c r="H30" s="213">
        <f t="shared" si="3"/>
        <v>1120000</v>
      </c>
      <c r="I30" s="416"/>
      <c r="J30" s="455"/>
      <c r="M30" s="531" t="s">
        <v>180</v>
      </c>
      <c r="N30" s="413">
        <v>100000</v>
      </c>
      <c r="O30" s="414">
        <f t="shared" si="0"/>
        <v>80000</v>
      </c>
      <c r="P30" s="414">
        <f t="shared" si="1"/>
        <v>20000</v>
      </c>
    </row>
    <row r="31" spans="1:16" x14ac:dyDescent="0.2">
      <c r="A31" s="866"/>
      <c r="B31" s="459">
        <v>53205050100000</v>
      </c>
      <c r="C31" s="203" t="s">
        <v>27</v>
      </c>
      <c r="D31" s="268">
        <f t="shared" si="6"/>
        <v>0</v>
      </c>
      <c r="E31" s="219">
        <v>0</v>
      </c>
      <c r="F31" s="532">
        <v>0</v>
      </c>
      <c r="G31" s="219">
        <f t="shared" si="2"/>
        <v>0</v>
      </c>
      <c r="H31" s="213">
        <f t="shared" si="3"/>
        <v>0</v>
      </c>
      <c r="I31" s="416"/>
      <c r="M31" s="533" t="s">
        <v>34</v>
      </c>
      <c r="N31" s="534"/>
      <c r="O31" s="534"/>
      <c r="P31" s="534"/>
    </row>
    <row r="32" spans="1:16" x14ac:dyDescent="0.2">
      <c r="A32" s="866"/>
      <c r="B32" s="459">
        <v>53205070100000</v>
      </c>
      <c r="C32" s="203" t="s">
        <v>29</v>
      </c>
      <c r="D32" s="268">
        <f t="shared" si="6"/>
        <v>263200</v>
      </c>
      <c r="E32" s="219">
        <v>0</v>
      </c>
      <c r="F32" s="532">
        <v>0</v>
      </c>
      <c r="G32" s="219">
        <f t="shared" si="2"/>
        <v>0</v>
      </c>
      <c r="H32" s="213">
        <f t="shared" si="3"/>
        <v>263200</v>
      </c>
      <c r="I32" s="416"/>
      <c r="J32" s="455"/>
      <c r="M32" s="535" t="s">
        <v>35</v>
      </c>
      <c r="N32" s="536"/>
      <c r="O32" s="536"/>
      <c r="P32" s="536"/>
    </row>
    <row r="33" spans="1:16" x14ac:dyDescent="0.2">
      <c r="A33" s="866"/>
      <c r="B33" s="459">
        <v>53208010100000</v>
      </c>
      <c r="C33" s="203" t="s">
        <v>30</v>
      </c>
      <c r="D33" s="268">
        <f t="shared" si="6"/>
        <v>0</v>
      </c>
      <c r="E33" s="219">
        <v>0</v>
      </c>
      <c r="F33" s="532">
        <v>0</v>
      </c>
      <c r="G33" s="219">
        <f t="shared" si="2"/>
        <v>0</v>
      </c>
      <c r="H33" s="213">
        <f t="shared" si="3"/>
        <v>0</v>
      </c>
      <c r="I33" s="416"/>
      <c r="M33" s="531" t="s">
        <v>41</v>
      </c>
      <c r="N33" s="415">
        <v>0</v>
      </c>
      <c r="O33" s="414">
        <f t="shared" si="0"/>
        <v>0</v>
      </c>
      <c r="P33" s="414">
        <f t="shared" si="1"/>
        <v>0</v>
      </c>
    </row>
    <row r="34" spans="1:16" x14ac:dyDescent="0.2">
      <c r="A34" s="866"/>
      <c r="B34" s="459">
        <v>53208070100001</v>
      </c>
      <c r="C34" s="203" t="s">
        <v>31</v>
      </c>
      <c r="D34" s="268">
        <f t="shared" si="6"/>
        <v>280000</v>
      </c>
      <c r="E34" s="219">
        <v>0</v>
      </c>
      <c r="F34" s="532">
        <v>0</v>
      </c>
      <c r="G34" s="219">
        <f t="shared" si="2"/>
        <v>0</v>
      </c>
      <c r="H34" s="213">
        <f t="shared" si="3"/>
        <v>280000</v>
      </c>
      <c r="I34" s="416"/>
      <c r="M34" s="530" t="s">
        <v>183</v>
      </c>
      <c r="N34" s="415">
        <v>0</v>
      </c>
      <c r="O34" s="414">
        <f t="shared" si="0"/>
        <v>0</v>
      </c>
      <c r="P34" s="414">
        <f t="shared" si="1"/>
        <v>0</v>
      </c>
    </row>
    <row r="35" spans="1:16" x14ac:dyDescent="0.2">
      <c r="A35" s="866"/>
      <c r="B35" s="459">
        <v>53208100100001</v>
      </c>
      <c r="C35" s="203" t="s">
        <v>178</v>
      </c>
      <c r="D35" s="268">
        <f t="shared" si="6"/>
        <v>0</v>
      </c>
      <c r="E35" s="219">
        <v>0</v>
      </c>
      <c r="F35" s="532">
        <v>0</v>
      </c>
      <c r="G35" s="219">
        <f t="shared" si="2"/>
        <v>0</v>
      </c>
      <c r="H35" s="213">
        <f t="shared" si="3"/>
        <v>0</v>
      </c>
      <c r="I35" s="416"/>
      <c r="M35" s="535" t="s">
        <v>42</v>
      </c>
      <c r="N35" s="536"/>
      <c r="O35" s="536"/>
      <c r="P35" s="536"/>
    </row>
    <row r="36" spans="1:16" x14ac:dyDescent="0.2">
      <c r="A36" s="866"/>
      <c r="B36" s="459">
        <v>53211030000000</v>
      </c>
      <c r="C36" s="203" t="s">
        <v>32</v>
      </c>
      <c r="D36" s="268">
        <f t="shared" si="6"/>
        <v>0</v>
      </c>
      <c r="E36" s="219">
        <v>0</v>
      </c>
      <c r="F36" s="532">
        <v>0</v>
      </c>
      <c r="G36" s="219">
        <f t="shared" si="2"/>
        <v>0</v>
      </c>
      <c r="H36" s="213">
        <f t="shared" si="3"/>
        <v>0</v>
      </c>
      <c r="I36" s="416"/>
      <c r="M36" s="531" t="s">
        <v>44</v>
      </c>
      <c r="N36" s="415">
        <v>0</v>
      </c>
      <c r="O36" s="414">
        <f t="shared" si="0"/>
        <v>0</v>
      </c>
      <c r="P36" s="414">
        <f t="shared" si="1"/>
        <v>0</v>
      </c>
    </row>
    <row r="37" spans="1:16" x14ac:dyDescent="0.2">
      <c r="A37" s="866"/>
      <c r="B37" s="459">
        <v>53212020100000</v>
      </c>
      <c r="C37" s="203" t="s">
        <v>179</v>
      </c>
      <c r="D37" s="268">
        <f t="shared" si="6"/>
        <v>480000</v>
      </c>
      <c r="E37" s="219">
        <v>0</v>
      </c>
      <c r="F37" s="532">
        <v>0</v>
      </c>
      <c r="G37" s="219">
        <f t="shared" si="2"/>
        <v>0</v>
      </c>
      <c r="H37" s="213">
        <f t="shared" si="3"/>
        <v>480000</v>
      </c>
      <c r="I37" s="416"/>
      <c r="J37" s="455"/>
      <c r="M37" s="535" t="s">
        <v>45</v>
      </c>
      <c r="N37" s="535"/>
      <c r="O37" s="537"/>
      <c r="P37" s="537"/>
    </row>
    <row r="38" spans="1:16" x14ac:dyDescent="0.2">
      <c r="A38" s="866"/>
      <c r="B38" s="459">
        <v>53214020000000</v>
      </c>
      <c r="C38" s="203" t="s">
        <v>180</v>
      </c>
      <c r="D38" s="268">
        <f t="shared" si="6"/>
        <v>80000</v>
      </c>
      <c r="E38" s="219">
        <v>0</v>
      </c>
      <c r="F38" s="532">
        <v>0</v>
      </c>
      <c r="G38" s="219">
        <f t="shared" si="2"/>
        <v>0</v>
      </c>
      <c r="H38" s="213">
        <f t="shared" si="3"/>
        <v>80000</v>
      </c>
      <c r="I38" s="416"/>
      <c r="M38" s="531" t="s">
        <v>47</v>
      </c>
      <c r="N38" s="415">
        <v>300000</v>
      </c>
      <c r="O38" s="414">
        <f t="shared" si="0"/>
        <v>240000</v>
      </c>
      <c r="P38" s="414">
        <f t="shared" si="1"/>
        <v>60000</v>
      </c>
    </row>
    <row r="39" spans="1:16" x14ac:dyDescent="0.2">
      <c r="A39" s="866"/>
      <c r="B39" s="457"/>
      <c r="C39" s="211" t="s">
        <v>34</v>
      </c>
      <c r="D39" s="220">
        <v>0</v>
      </c>
      <c r="E39" s="221"/>
      <c r="F39" s="221"/>
      <c r="G39" s="220">
        <f>SUM(G40,G45,G47,G56,G65,G73)</f>
        <v>1991040</v>
      </c>
      <c r="H39" s="215">
        <f>SUM(H40,H45,H47,H56,H65,H73)</f>
        <v>5292640</v>
      </c>
      <c r="I39" s="416"/>
      <c r="M39" s="531" t="s">
        <v>213</v>
      </c>
      <c r="N39" s="415">
        <v>0</v>
      </c>
      <c r="O39" s="414">
        <f t="shared" si="0"/>
        <v>0</v>
      </c>
      <c r="P39" s="414">
        <f t="shared" si="1"/>
        <v>0</v>
      </c>
    </row>
    <row r="40" spans="1:16" x14ac:dyDescent="0.2">
      <c r="A40" s="866"/>
      <c r="B40" s="458"/>
      <c r="C40" s="207" t="s">
        <v>35</v>
      </c>
      <c r="D40" s="209">
        <f>SUM(D41:D44)</f>
        <v>0</v>
      </c>
      <c r="E40" s="210"/>
      <c r="F40" s="210"/>
      <c r="G40" s="222">
        <f>SUM(G41:G44)</f>
        <v>70000</v>
      </c>
      <c r="H40" s="216">
        <f>SUM(H41:H44)</f>
        <v>70000</v>
      </c>
      <c r="I40" s="416"/>
      <c r="M40" s="531" t="s">
        <v>49</v>
      </c>
      <c r="N40" s="415">
        <v>0</v>
      </c>
      <c r="O40" s="414">
        <f>N40*0.8</f>
        <v>0</v>
      </c>
      <c r="P40" s="414">
        <f>N40*0.2</f>
        <v>0</v>
      </c>
    </row>
    <row r="41" spans="1:16" x14ac:dyDescent="0.2">
      <c r="A41" s="866"/>
      <c r="B41" s="459">
        <v>53202020100000</v>
      </c>
      <c r="C41" s="203" t="s">
        <v>181</v>
      </c>
      <c r="D41" s="204">
        <v>0</v>
      </c>
      <c r="E41" s="206">
        <v>20000</v>
      </c>
      <c r="F41" s="205">
        <v>2</v>
      </c>
      <c r="G41" s="219">
        <f>E41*F41</f>
        <v>40000</v>
      </c>
      <c r="H41" s="213">
        <f t="shared" ref="H41:H74" si="7">D41+G41</f>
        <v>40000</v>
      </c>
      <c r="I41" s="416"/>
      <c r="M41" s="531" t="s">
        <v>50</v>
      </c>
      <c r="N41" s="415">
        <v>900000</v>
      </c>
      <c r="O41" s="414">
        <f>N41*0.8</f>
        <v>720000</v>
      </c>
      <c r="P41" s="414">
        <f>N41*0.2</f>
        <v>180000</v>
      </c>
    </row>
    <row r="42" spans="1:16" x14ac:dyDescent="0.2">
      <c r="A42" s="866"/>
      <c r="B42" s="459">
        <v>53202030000000</v>
      </c>
      <c r="C42" s="203" t="s">
        <v>182</v>
      </c>
      <c r="D42" s="204">
        <v>0</v>
      </c>
      <c r="E42" s="206">
        <v>30000</v>
      </c>
      <c r="F42" s="205">
        <v>1</v>
      </c>
      <c r="G42" s="219">
        <f t="shared" ref="G42:G74" si="8">E42*F42</f>
        <v>30000</v>
      </c>
      <c r="H42" s="213">
        <f t="shared" si="7"/>
        <v>30000</v>
      </c>
      <c r="I42" s="416"/>
      <c r="M42" s="531" t="s">
        <v>51</v>
      </c>
      <c r="N42" s="415"/>
      <c r="O42" s="414">
        <f t="shared" si="0"/>
        <v>0</v>
      </c>
      <c r="P42" s="414">
        <f t="shared" si="1"/>
        <v>0</v>
      </c>
    </row>
    <row r="43" spans="1:16" x14ac:dyDescent="0.2">
      <c r="A43" s="866"/>
      <c r="B43" s="459">
        <v>53211020000000</v>
      </c>
      <c r="C43" s="203" t="s">
        <v>41</v>
      </c>
      <c r="D43" s="268">
        <f>+O33</f>
        <v>0</v>
      </c>
      <c r="E43" s="219">
        <v>0</v>
      </c>
      <c r="F43" s="532">
        <v>0</v>
      </c>
      <c r="G43" s="219">
        <f t="shared" si="8"/>
        <v>0</v>
      </c>
      <c r="H43" s="213">
        <f t="shared" si="7"/>
        <v>0</v>
      </c>
      <c r="I43" s="416"/>
      <c r="J43" s="455"/>
      <c r="M43" s="531" t="s">
        <v>52</v>
      </c>
      <c r="N43" s="413">
        <v>0</v>
      </c>
      <c r="O43" s="414">
        <f t="shared" ref="O43" si="9">N43*0.8</f>
        <v>0</v>
      </c>
      <c r="P43" s="414">
        <f t="shared" ref="P43" si="10">N43*0.2</f>
        <v>0</v>
      </c>
    </row>
    <row r="44" spans="1:16" x14ac:dyDescent="0.2">
      <c r="A44" s="866"/>
      <c r="B44" s="459">
        <v>53101040600000</v>
      </c>
      <c r="C44" s="203" t="s">
        <v>183</v>
      </c>
      <c r="D44" s="268">
        <f>+O34</f>
        <v>0</v>
      </c>
      <c r="E44" s="219">
        <v>0</v>
      </c>
      <c r="F44" s="532">
        <v>0</v>
      </c>
      <c r="G44" s="219">
        <f t="shared" si="8"/>
        <v>0</v>
      </c>
      <c r="H44" s="213">
        <f t="shared" si="7"/>
        <v>0</v>
      </c>
      <c r="I44" s="416"/>
      <c r="J44" s="455"/>
      <c r="M44" s="530" t="s">
        <v>184</v>
      </c>
      <c r="N44" s="413">
        <v>0</v>
      </c>
      <c r="O44" s="414">
        <f t="shared" si="0"/>
        <v>0</v>
      </c>
      <c r="P44" s="414">
        <f t="shared" si="1"/>
        <v>0</v>
      </c>
    </row>
    <row r="45" spans="1:16" x14ac:dyDescent="0.2">
      <c r="A45" s="866"/>
      <c r="B45" s="458"/>
      <c r="C45" s="207" t="s">
        <v>42</v>
      </c>
      <c r="D45" s="209">
        <f>SUM(D46:D46)</f>
        <v>0</v>
      </c>
      <c r="E45" s="210"/>
      <c r="F45" s="210"/>
      <c r="G45" s="222">
        <f>SUM(G46:G46)</f>
        <v>0</v>
      </c>
      <c r="H45" s="216">
        <f>SUM(H46:H46)</f>
        <v>0</v>
      </c>
      <c r="I45" s="416"/>
      <c r="M45" s="531" t="s">
        <v>176</v>
      </c>
      <c r="N45" s="415">
        <v>0</v>
      </c>
      <c r="O45" s="414">
        <f t="shared" si="0"/>
        <v>0</v>
      </c>
      <c r="P45" s="414">
        <f t="shared" si="1"/>
        <v>0</v>
      </c>
    </row>
    <row r="46" spans="1:16" x14ac:dyDescent="0.2">
      <c r="A46" s="866"/>
      <c r="B46" s="461">
        <v>53205990000000</v>
      </c>
      <c r="C46" s="203" t="s">
        <v>44</v>
      </c>
      <c r="D46" s="268">
        <f>+O36</f>
        <v>0</v>
      </c>
      <c r="E46" s="219">
        <v>0</v>
      </c>
      <c r="F46" s="532">
        <v>0</v>
      </c>
      <c r="G46" s="219">
        <f t="shared" si="8"/>
        <v>0</v>
      </c>
      <c r="H46" s="213">
        <f t="shared" si="7"/>
        <v>0</v>
      </c>
      <c r="I46" s="416"/>
      <c r="M46" s="535" t="s">
        <v>55</v>
      </c>
      <c r="N46" s="535"/>
      <c r="O46" s="537"/>
      <c r="P46" s="537"/>
    </row>
    <row r="47" spans="1:16" x14ac:dyDescent="0.2">
      <c r="A47" s="866"/>
      <c r="B47" s="458"/>
      <c r="C47" s="207" t="s">
        <v>45</v>
      </c>
      <c r="D47" s="209">
        <f>SUM(D48:D55)</f>
        <v>960000</v>
      </c>
      <c r="E47" s="210"/>
      <c r="F47" s="210"/>
      <c r="G47" s="209">
        <f>SUM(G48:G55)</f>
        <v>0</v>
      </c>
      <c r="H47" s="214">
        <f>SUM(H48:H55)</f>
        <v>960000</v>
      </c>
      <c r="I47" s="416"/>
      <c r="M47" s="531" t="s">
        <v>56</v>
      </c>
      <c r="N47" s="415">
        <v>0</v>
      </c>
      <c r="O47" s="414">
        <f t="shared" si="0"/>
        <v>0</v>
      </c>
      <c r="P47" s="414">
        <f t="shared" si="1"/>
        <v>0</v>
      </c>
    </row>
    <row r="48" spans="1:16" x14ac:dyDescent="0.2">
      <c r="A48" s="866"/>
      <c r="B48" s="459">
        <v>53204010000000</v>
      </c>
      <c r="C48" s="203" t="s">
        <v>47</v>
      </c>
      <c r="D48" s="268">
        <f>+O38</f>
        <v>240000</v>
      </c>
      <c r="E48" s="268">
        <v>0</v>
      </c>
      <c r="F48" s="532">
        <v>0</v>
      </c>
      <c r="G48" s="219">
        <f t="shared" si="8"/>
        <v>0</v>
      </c>
      <c r="H48" s="213">
        <f t="shared" si="7"/>
        <v>240000</v>
      </c>
      <c r="I48" s="416"/>
      <c r="M48" s="531" t="s">
        <v>57</v>
      </c>
      <c r="N48" s="415">
        <v>600000</v>
      </c>
      <c r="O48" s="414">
        <f t="shared" si="0"/>
        <v>480000</v>
      </c>
      <c r="P48" s="414">
        <f t="shared" si="1"/>
        <v>120000</v>
      </c>
    </row>
    <row r="49" spans="1:16" x14ac:dyDescent="0.2">
      <c r="A49" s="866"/>
      <c r="B49" s="461">
        <v>53204040200000</v>
      </c>
      <c r="C49" s="203" t="s">
        <v>213</v>
      </c>
      <c r="D49" s="268">
        <f t="shared" ref="D49:D55" si="11">+O39</f>
        <v>0</v>
      </c>
      <c r="E49" s="268">
        <v>0</v>
      </c>
      <c r="F49" s="532">
        <v>0</v>
      </c>
      <c r="G49" s="219">
        <f t="shared" si="8"/>
        <v>0</v>
      </c>
      <c r="H49" s="213">
        <f t="shared" si="7"/>
        <v>0</v>
      </c>
      <c r="I49" s="416"/>
      <c r="J49" s="455"/>
      <c r="M49" s="531" t="s">
        <v>167</v>
      </c>
      <c r="N49" s="415">
        <v>0</v>
      </c>
      <c r="O49" s="414">
        <f t="shared" si="0"/>
        <v>0</v>
      </c>
      <c r="P49" s="414">
        <f t="shared" si="1"/>
        <v>0</v>
      </c>
    </row>
    <row r="50" spans="1:16" x14ac:dyDescent="0.2">
      <c r="A50" s="866"/>
      <c r="B50" s="459">
        <v>53204060000000</v>
      </c>
      <c r="C50" s="203" t="s">
        <v>49</v>
      </c>
      <c r="D50" s="268">
        <f t="shared" si="11"/>
        <v>0</v>
      </c>
      <c r="E50" s="268">
        <v>0</v>
      </c>
      <c r="F50" s="532">
        <v>0</v>
      </c>
      <c r="G50" s="219">
        <f t="shared" si="8"/>
        <v>0</v>
      </c>
      <c r="H50" s="213">
        <f t="shared" si="7"/>
        <v>0</v>
      </c>
      <c r="I50" s="416"/>
      <c r="M50" s="531" t="s">
        <v>185</v>
      </c>
      <c r="N50" s="415">
        <v>160000</v>
      </c>
      <c r="O50" s="414">
        <f t="shared" si="0"/>
        <v>128000</v>
      </c>
      <c r="P50" s="414">
        <f t="shared" si="1"/>
        <v>32000</v>
      </c>
    </row>
    <row r="51" spans="1:16" x14ac:dyDescent="0.2">
      <c r="A51" s="866"/>
      <c r="B51" s="459">
        <v>53204070000000</v>
      </c>
      <c r="C51" s="203" t="s">
        <v>50</v>
      </c>
      <c r="D51" s="268">
        <f t="shared" si="11"/>
        <v>720000</v>
      </c>
      <c r="E51" s="268">
        <v>0</v>
      </c>
      <c r="F51" s="532">
        <v>0</v>
      </c>
      <c r="G51" s="219">
        <f t="shared" si="8"/>
        <v>0</v>
      </c>
      <c r="H51" s="213">
        <f t="shared" si="7"/>
        <v>720000</v>
      </c>
      <c r="I51" s="416"/>
      <c r="J51" s="455"/>
      <c r="M51" s="531" t="s">
        <v>188</v>
      </c>
      <c r="N51" s="415">
        <v>0</v>
      </c>
      <c r="O51" s="414">
        <f t="shared" si="0"/>
        <v>0</v>
      </c>
      <c r="P51" s="414">
        <f t="shared" si="1"/>
        <v>0</v>
      </c>
    </row>
    <row r="52" spans="1:16" x14ac:dyDescent="0.2">
      <c r="A52" s="866"/>
      <c r="B52" s="459">
        <v>53204080000000</v>
      </c>
      <c r="C52" s="203" t="s">
        <v>51</v>
      </c>
      <c r="D52" s="268">
        <f t="shared" si="11"/>
        <v>0</v>
      </c>
      <c r="E52" s="268">
        <v>0</v>
      </c>
      <c r="F52" s="532">
        <v>0</v>
      </c>
      <c r="G52" s="219">
        <f t="shared" si="8"/>
        <v>0</v>
      </c>
      <c r="H52" s="213">
        <f t="shared" si="7"/>
        <v>0</v>
      </c>
      <c r="I52" s="416"/>
      <c r="M52" s="531" t="s">
        <v>186</v>
      </c>
      <c r="N52" s="415">
        <v>0</v>
      </c>
      <c r="O52" s="414">
        <f t="shared" si="0"/>
        <v>0</v>
      </c>
      <c r="P52" s="414">
        <f t="shared" si="1"/>
        <v>0</v>
      </c>
    </row>
    <row r="53" spans="1:16" x14ac:dyDescent="0.2">
      <c r="A53" s="866"/>
      <c r="B53" s="459">
        <v>53214010000000</v>
      </c>
      <c r="C53" s="203" t="s">
        <v>52</v>
      </c>
      <c r="D53" s="268">
        <f t="shared" si="11"/>
        <v>0</v>
      </c>
      <c r="E53" s="268">
        <v>0</v>
      </c>
      <c r="F53" s="532">
        <v>0</v>
      </c>
      <c r="G53" s="219">
        <f t="shared" si="8"/>
        <v>0</v>
      </c>
      <c r="H53" s="213">
        <f t="shared" si="7"/>
        <v>0</v>
      </c>
      <c r="I53" s="416"/>
      <c r="M53" s="531" t="s">
        <v>64</v>
      </c>
      <c r="N53" s="415">
        <f>+((700000*1)+(1500*12*60))</f>
        <v>1780000</v>
      </c>
      <c r="O53" s="414">
        <f t="shared" si="0"/>
        <v>1424000</v>
      </c>
      <c r="P53" s="414">
        <f t="shared" si="1"/>
        <v>356000</v>
      </c>
    </row>
    <row r="54" spans="1:16" x14ac:dyDescent="0.2">
      <c r="A54" s="866"/>
      <c r="B54" s="459">
        <v>53214040000000</v>
      </c>
      <c r="C54" s="203" t="s">
        <v>184</v>
      </c>
      <c r="D54" s="268">
        <f t="shared" si="11"/>
        <v>0</v>
      </c>
      <c r="E54" s="268">
        <v>0</v>
      </c>
      <c r="F54" s="532">
        <v>0</v>
      </c>
      <c r="G54" s="219">
        <f t="shared" si="8"/>
        <v>0</v>
      </c>
      <c r="H54" s="213">
        <f t="shared" si="7"/>
        <v>0</v>
      </c>
      <c r="I54" s="416"/>
      <c r="M54" s="535" t="s">
        <v>65</v>
      </c>
      <c r="N54" s="537"/>
      <c r="O54" s="537"/>
      <c r="P54" s="537"/>
    </row>
    <row r="55" spans="1:16" x14ac:dyDescent="0.2">
      <c r="A55" s="866"/>
      <c r="B55" s="460">
        <v>53204020100000</v>
      </c>
      <c r="C55" s="203" t="s">
        <v>176</v>
      </c>
      <c r="D55" s="268">
        <f t="shared" si="11"/>
        <v>0</v>
      </c>
      <c r="E55" s="268">
        <v>0</v>
      </c>
      <c r="F55" s="532">
        <v>0</v>
      </c>
      <c r="G55" s="219">
        <f t="shared" si="8"/>
        <v>0</v>
      </c>
      <c r="H55" s="213">
        <f t="shared" si="7"/>
        <v>0</v>
      </c>
      <c r="I55" s="416"/>
      <c r="J55" s="455"/>
      <c r="M55" s="531" t="s">
        <v>100</v>
      </c>
      <c r="N55" s="415">
        <v>0</v>
      </c>
      <c r="O55" s="414">
        <f t="shared" si="0"/>
        <v>0</v>
      </c>
      <c r="P55" s="414">
        <f t="shared" si="1"/>
        <v>0</v>
      </c>
    </row>
    <row r="56" spans="1:16" x14ac:dyDescent="0.2">
      <c r="A56" s="866"/>
      <c r="B56" s="458"/>
      <c r="C56" s="207" t="s">
        <v>55</v>
      </c>
      <c r="D56" s="209">
        <f>SUM(D57:D64)</f>
        <v>2032000</v>
      </c>
      <c r="E56" s="210"/>
      <c r="F56" s="210"/>
      <c r="G56" s="209">
        <f>SUM(G57:G64)</f>
        <v>446040</v>
      </c>
      <c r="H56" s="214">
        <f>SUM(H57:H64)</f>
        <v>2478040</v>
      </c>
      <c r="I56" s="416"/>
      <c r="M56" s="531" t="s">
        <v>101</v>
      </c>
      <c r="N56" s="415">
        <v>0</v>
      </c>
      <c r="O56" s="414">
        <f t="shared" si="0"/>
        <v>0</v>
      </c>
      <c r="P56" s="414">
        <f t="shared" si="1"/>
        <v>0</v>
      </c>
    </row>
    <row r="57" spans="1:16" x14ac:dyDescent="0.2">
      <c r="A57" s="866"/>
      <c r="B57" s="459">
        <v>53207010000000</v>
      </c>
      <c r="C57" s="203" t="s">
        <v>56</v>
      </c>
      <c r="D57" s="268">
        <f>+O47</f>
        <v>0</v>
      </c>
      <c r="E57" s="268">
        <v>0</v>
      </c>
      <c r="F57" s="532">
        <v>0</v>
      </c>
      <c r="G57" s="219">
        <f t="shared" si="8"/>
        <v>0</v>
      </c>
      <c r="H57" s="213">
        <f t="shared" si="7"/>
        <v>0</v>
      </c>
      <c r="I57" s="416"/>
      <c r="M57" s="531" t="s">
        <v>189</v>
      </c>
      <c r="N57" s="415">
        <f>+(30000*2)</f>
        <v>60000</v>
      </c>
      <c r="O57" s="414">
        <f t="shared" si="0"/>
        <v>48000</v>
      </c>
      <c r="P57" s="414">
        <f t="shared" si="1"/>
        <v>12000</v>
      </c>
    </row>
    <row r="58" spans="1:16" x14ac:dyDescent="0.2">
      <c r="A58" s="866"/>
      <c r="B58" s="459">
        <v>53207020000000</v>
      </c>
      <c r="C58" s="203" t="s">
        <v>57</v>
      </c>
      <c r="D58" s="268">
        <f t="shared" ref="D58:D60" si="12">+O48</f>
        <v>480000</v>
      </c>
      <c r="E58" s="268">
        <v>0</v>
      </c>
      <c r="F58" s="532">
        <v>0</v>
      </c>
      <c r="G58" s="219">
        <f t="shared" si="8"/>
        <v>0</v>
      </c>
      <c r="H58" s="213">
        <f t="shared" si="7"/>
        <v>480000</v>
      </c>
      <c r="I58" s="416"/>
      <c r="J58" s="455"/>
      <c r="M58" s="531" t="s">
        <v>103</v>
      </c>
      <c r="N58" s="415">
        <v>0</v>
      </c>
      <c r="O58" s="414">
        <f t="shared" si="0"/>
        <v>0</v>
      </c>
      <c r="P58" s="414">
        <f t="shared" si="1"/>
        <v>0</v>
      </c>
    </row>
    <row r="59" spans="1:16" x14ac:dyDescent="0.2">
      <c r="A59" s="866"/>
      <c r="B59" s="459">
        <v>53208020000000</v>
      </c>
      <c r="C59" s="203" t="s">
        <v>167</v>
      </c>
      <c r="D59" s="268">
        <f t="shared" si="12"/>
        <v>0</v>
      </c>
      <c r="E59" s="268">
        <v>0</v>
      </c>
      <c r="F59" s="532">
        <v>0</v>
      </c>
      <c r="G59" s="219">
        <f t="shared" si="8"/>
        <v>0</v>
      </c>
      <c r="H59" s="213">
        <f t="shared" si="7"/>
        <v>0</v>
      </c>
      <c r="I59" s="416"/>
      <c r="M59" s="530" t="s">
        <v>190</v>
      </c>
      <c r="N59" s="415">
        <v>80000</v>
      </c>
      <c r="O59" s="414">
        <f t="shared" si="0"/>
        <v>64000</v>
      </c>
      <c r="P59" s="414">
        <f t="shared" si="1"/>
        <v>16000</v>
      </c>
    </row>
    <row r="60" spans="1:16" x14ac:dyDescent="0.2">
      <c r="A60" s="866"/>
      <c r="B60" s="459">
        <v>53208990000000</v>
      </c>
      <c r="C60" s="203" t="s">
        <v>185</v>
      </c>
      <c r="D60" s="268">
        <f t="shared" si="12"/>
        <v>128000</v>
      </c>
      <c r="E60" s="268">
        <v>0</v>
      </c>
      <c r="F60" s="532">
        <v>0</v>
      </c>
      <c r="G60" s="219">
        <f t="shared" si="8"/>
        <v>0</v>
      </c>
      <c r="H60" s="213">
        <f t="shared" si="7"/>
        <v>128000</v>
      </c>
      <c r="I60" s="416"/>
      <c r="J60" s="455"/>
      <c r="M60" s="531" t="s">
        <v>105</v>
      </c>
      <c r="N60" s="415">
        <v>80000</v>
      </c>
      <c r="O60" s="414">
        <f t="shared" si="0"/>
        <v>64000</v>
      </c>
      <c r="P60" s="414">
        <f t="shared" si="1"/>
        <v>16000</v>
      </c>
    </row>
    <row r="61" spans="1:16" x14ac:dyDescent="0.2">
      <c r="A61" s="866"/>
      <c r="B61" s="460">
        <v>53210020300000</v>
      </c>
      <c r="C61" s="203" t="s">
        <v>187</v>
      </c>
      <c r="D61" s="268">
        <v>0</v>
      </c>
      <c r="E61" s="268">
        <v>7560</v>
      </c>
      <c r="F61" s="532">
        <f>+'B) Reajuste Tarifas y Ocupación'!I28</f>
        <v>59</v>
      </c>
      <c r="G61" s="219">
        <f t="shared" si="8"/>
        <v>446040</v>
      </c>
      <c r="H61" s="213">
        <f t="shared" si="7"/>
        <v>446040</v>
      </c>
      <c r="I61" s="416"/>
      <c r="J61" s="455"/>
      <c r="M61" s="531" t="s">
        <v>212</v>
      </c>
      <c r="N61" s="415">
        <v>167000</v>
      </c>
      <c r="O61" s="414">
        <f t="shared" si="0"/>
        <v>133600</v>
      </c>
      <c r="P61" s="414">
        <f t="shared" si="1"/>
        <v>33400</v>
      </c>
    </row>
    <row r="62" spans="1:16" x14ac:dyDescent="0.2">
      <c r="A62" s="866"/>
      <c r="B62" s="459">
        <v>53208990000000</v>
      </c>
      <c r="C62" s="203" t="s">
        <v>188</v>
      </c>
      <c r="D62" s="268">
        <f>+O51</f>
        <v>0</v>
      </c>
      <c r="E62" s="268">
        <v>0</v>
      </c>
      <c r="F62" s="532">
        <v>0</v>
      </c>
      <c r="G62" s="219">
        <f t="shared" si="8"/>
        <v>0</v>
      </c>
      <c r="H62" s="213">
        <f t="shared" si="7"/>
        <v>0</v>
      </c>
      <c r="I62" s="416"/>
    </row>
    <row r="63" spans="1:16" x14ac:dyDescent="0.2">
      <c r="A63" s="866"/>
      <c r="B63" s="459">
        <v>53209990000000</v>
      </c>
      <c r="C63" s="203" t="s">
        <v>186</v>
      </c>
      <c r="D63" s="268">
        <f t="shared" ref="D63" si="13">+O52</f>
        <v>0</v>
      </c>
      <c r="E63" s="268">
        <v>0</v>
      </c>
      <c r="F63" s="532">
        <v>0</v>
      </c>
      <c r="G63" s="219">
        <f t="shared" si="8"/>
        <v>0</v>
      </c>
      <c r="H63" s="213">
        <f t="shared" si="7"/>
        <v>0</v>
      </c>
      <c r="I63" s="416"/>
      <c r="J63" s="455"/>
    </row>
    <row r="64" spans="1:16" x14ac:dyDescent="0.2">
      <c r="A64" s="866"/>
      <c r="B64" s="459">
        <v>53210020100000</v>
      </c>
      <c r="C64" s="203" t="s">
        <v>64</v>
      </c>
      <c r="D64" s="268">
        <f>+O53</f>
        <v>1424000</v>
      </c>
      <c r="E64" s="268">
        <v>0</v>
      </c>
      <c r="F64" s="532">
        <v>0</v>
      </c>
      <c r="G64" s="219">
        <f t="shared" si="8"/>
        <v>0</v>
      </c>
      <c r="H64" s="213">
        <f t="shared" si="7"/>
        <v>1424000</v>
      </c>
      <c r="I64" s="416"/>
    </row>
    <row r="65" spans="1:11" x14ac:dyDescent="0.2">
      <c r="A65" s="866"/>
      <c r="B65" s="458"/>
      <c r="C65" s="207" t="s">
        <v>65</v>
      </c>
      <c r="D65" s="209">
        <f>SUM(D66:D72)</f>
        <v>309600</v>
      </c>
      <c r="E65" s="210"/>
      <c r="F65" s="210"/>
      <c r="G65" s="209">
        <f>SUM(G66:G72)</f>
        <v>0</v>
      </c>
      <c r="H65" s="214">
        <f>SUM(H66:H72)</f>
        <v>309600</v>
      </c>
      <c r="I65" s="416"/>
    </row>
    <row r="66" spans="1:11" x14ac:dyDescent="0.2">
      <c r="A66" s="866"/>
      <c r="B66" s="459">
        <v>53206030000000</v>
      </c>
      <c r="C66" s="203" t="s">
        <v>100</v>
      </c>
      <c r="D66" s="268">
        <f>+O55</f>
        <v>0</v>
      </c>
      <c r="E66" s="268">
        <v>0</v>
      </c>
      <c r="F66" s="532">
        <v>0</v>
      </c>
      <c r="G66" s="219">
        <f t="shared" si="8"/>
        <v>0</v>
      </c>
      <c r="H66" s="213">
        <f t="shared" si="7"/>
        <v>0</v>
      </c>
      <c r="I66" s="416"/>
    </row>
    <row r="67" spans="1:11" x14ac:dyDescent="0.2">
      <c r="A67" s="866"/>
      <c r="B67" s="459">
        <v>53206040000000</v>
      </c>
      <c r="C67" s="203" t="s">
        <v>101</v>
      </c>
      <c r="D67" s="268">
        <f t="shared" ref="D67:D72" si="14">+O56</f>
        <v>0</v>
      </c>
      <c r="E67" s="268">
        <v>0</v>
      </c>
      <c r="F67" s="532">
        <v>0</v>
      </c>
      <c r="G67" s="219">
        <f t="shared" si="8"/>
        <v>0</v>
      </c>
      <c r="H67" s="213">
        <f t="shared" si="7"/>
        <v>0</v>
      </c>
      <c r="I67" s="416"/>
    </row>
    <row r="68" spans="1:11" x14ac:dyDescent="0.2">
      <c r="A68" s="866"/>
      <c r="B68" s="459">
        <v>53206060000000</v>
      </c>
      <c r="C68" s="203" t="s">
        <v>189</v>
      </c>
      <c r="D68" s="268">
        <f t="shared" si="14"/>
        <v>48000</v>
      </c>
      <c r="E68" s="268">
        <v>0</v>
      </c>
      <c r="F68" s="532">
        <v>0</v>
      </c>
      <c r="G68" s="219">
        <f t="shared" si="8"/>
        <v>0</v>
      </c>
      <c r="H68" s="213">
        <f t="shared" si="7"/>
        <v>48000</v>
      </c>
      <c r="I68" s="416"/>
    </row>
    <row r="69" spans="1:11" x14ac:dyDescent="0.2">
      <c r="A69" s="866"/>
      <c r="B69" s="459">
        <v>53206070000000</v>
      </c>
      <c r="C69" s="203" t="s">
        <v>103</v>
      </c>
      <c r="D69" s="268">
        <f t="shared" si="14"/>
        <v>0</v>
      </c>
      <c r="E69" s="268">
        <v>0</v>
      </c>
      <c r="F69" s="532">
        <v>0</v>
      </c>
      <c r="G69" s="219">
        <f t="shared" si="8"/>
        <v>0</v>
      </c>
      <c r="H69" s="213">
        <f t="shared" si="7"/>
        <v>0</v>
      </c>
      <c r="I69" s="416"/>
    </row>
    <row r="70" spans="1:11" x14ac:dyDescent="0.2">
      <c r="A70" s="866"/>
      <c r="B70" s="459">
        <v>53206990000000</v>
      </c>
      <c r="C70" s="203" t="s">
        <v>190</v>
      </c>
      <c r="D70" s="268">
        <f t="shared" si="14"/>
        <v>64000</v>
      </c>
      <c r="E70" s="268">
        <v>0</v>
      </c>
      <c r="F70" s="532">
        <v>0</v>
      </c>
      <c r="G70" s="219">
        <f t="shared" si="8"/>
        <v>0</v>
      </c>
      <c r="H70" s="213">
        <f t="shared" si="7"/>
        <v>64000</v>
      </c>
      <c r="I70" s="416"/>
    </row>
    <row r="71" spans="1:11" x14ac:dyDescent="0.2">
      <c r="A71" s="866"/>
      <c r="B71" s="459">
        <v>53208030000000</v>
      </c>
      <c r="C71" s="203" t="s">
        <v>105</v>
      </c>
      <c r="D71" s="268">
        <f t="shared" si="14"/>
        <v>64000</v>
      </c>
      <c r="E71" s="268">
        <v>0</v>
      </c>
      <c r="F71" s="532">
        <v>0</v>
      </c>
      <c r="G71" s="219">
        <f t="shared" si="8"/>
        <v>0</v>
      </c>
      <c r="H71" s="213">
        <f t="shared" si="7"/>
        <v>64000</v>
      </c>
      <c r="I71" s="416"/>
    </row>
    <row r="72" spans="1:11" x14ac:dyDescent="0.2">
      <c r="A72" s="866"/>
      <c r="B72" s="459">
        <v>53206990000000</v>
      </c>
      <c r="C72" s="203" t="s">
        <v>212</v>
      </c>
      <c r="D72" s="268">
        <f t="shared" si="14"/>
        <v>133600</v>
      </c>
      <c r="E72" s="268">
        <v>0</v>
      </c>
      <c r="F72" s="532">
        <v>0</v>
      </c>
      <c r="G72" s="219">
        <f t="shared" si="8"/>
        <v>0</v>
      </c>
      <c r="H72" s="213">
        <f t="shared" si="7"/>
        <v>133600</v>
      </c>
      <c r="I72" s="416"/>
    </row>
    <row r="73" spans="1:11" x14ac:dyDescent="0.2">
      <c r="A73" s="866"/>
      <c r="B73" s="458"/>
      <c r="C73" s="207" t="s">
        <v>66</v>
      </c>
      <c r="D73" s="209">
        <f>SUM(D74:D74)</f>
        <v>0</v>
      </c>
      <c r="E73" s="210"/>
      <c r="F73" s="210"/>
      <c r="G73" s="209">
        <f>SUM(G74:G74)</f>
        <v>1475000</v>
      </c>
      <c r="H73" s="214">
        <f>SUM(H74:H74)</f>
        <v>1475000</v>
      </c>
      <c r="I73" s="416"/>
    </row>
    <row r="74" spans="1:11" x14ac:dyDescent="0.2">
      <c r="A74" s="866"/>
      <c r="B74" s="462"/>
      <c r="C74" s="208" t="s">
        <v>215</v>
      </c>
      <c r="D74" s="204">
        <v>0</v>
      </c>
      <c r="E74" s="204">
        <v>25000</v>
      </c>
      <c r="F74" s="205">
        <v>59</v>
      </c>
      <c r="G74" s="219">
        <f t="shared" si="8"/>
        <v>1475000</v>
      </c>
      <c r="H74" s="217">
        <f t="shared" si="7"/>
        <v>1475000</v>
      </c>
      <c r="I74" s="417"/>
      <c r="J74" s="464" t="s">
        <v>216</v>
      </c>
      <c r="K74" s="360">
        <f>+H72+H71+H70+H69+H68+H67+H66+H64+H63+H62+H61+H60+H59+H58+H57+H55+H52+H51+H50+H49+H48+H46+H44+H43+H37+H36+H35+H33+H32+H31+H30+H29+H28+H27+H26+H25+H24+H23</f>
        <v>7570840</v>
      </c>
    </row>
    <row r="75" spans="1:11" collapsed="1" x14ac:dyDescent="0.2">
      <c r="A75" s="866"/>
      <c r="B75" s="463"/>
      <c r="C75" s="212" t="s">
        <v>106</v>
      </c>
      <c r="D75" s="223">
        <f>SUM(D12,D39)</f>
        <v>61905194.899999999</v>
      </c>
      <c r="E75" s="224"/>
      <c r="F75" s="224"/>
      <c r="G75" s="223">
        <f>SUM(G12,G39)</f>
        <v>20638720</v>
      </c>
      <c r="H75" s="55">
        <f>SUM(H12,H39)</f>
        <v>85845514.900000006</v>
      </c>
      <c r="I75" s="418"/>
      <c r="J75" s="456" t="s">
        <v>217</v>
      </c>
      <c r="K75" s="538">
        <f>+H75-K74</f>
        <v>78274674.900000006</v>
      </c>
    </row>
    <row r="76" spans="1:11" x14ac:dyDescent="0.2">
      <c r="A76" s="867" t="s">
        <v>115</v>
      </c>
      <c r="B76" s="869" t="s">
        <v>76</v>
      </c>
      <c r="C76" s="871" t="s">
        <v>77</v>
      </c>
      <c r="D76" s="873" t="s">
        <v>78</v>
      </c>
      <c r="E76" s="874" t="s">
        <v>79</v>
      </c>
      <c r="F76" s="874"/>
      <c r="G76" s="874"/>
      <c r="H76" s="862" t="s">
        <v>237</v>
      </c>
      <c r="I76" s="864" t="s">
        <v>75</v>
      </c>
    </row>
    <row r="77" spans="1:11" ht="25.5" x14ac:dyDescent="0.2">
      <c r="A77" s="868"/>
      <c r="B77" s="870"/>
      <c r="C77" s="872"/>
      <c r="D77" s="873"/>
      <c r="E77" s="539" t="s">
        <v>67</v>
      </c>
      <c r="F77" s="540" t="s">
        <v>68</v>
      </c>
      <c r="G77" s="767" t="s">
        <v>6</v>
      </c>
      <c r="H77" s="863"/>
      <c r="I77" s="865"/>
    </row>
    <row r="78" spans="1:11" x14ac:dyDescent="0.2">
      <c r="A78" s="866" t="str">
        <f>+'B) Reajuste Tarifas y Ocupación'!A15</f>
        <v>Sala Cuna Mar y Cielo Diurna</v>
      </c>
      <c r="B78" s="457"/>
      <c r="C78" s="533" t="s">
        <v>11</v>
      </c>
      <c r="D78" s="541">
        <f>SUM(D79,D84)</f>
        <v>34229565.333333328</v>
      </c>
      <c r="E78" s="542"/>
      <c r="F78" s="542"/>
      <c r="G78" s="543">
        <f>SUM(G79,G84)</f>
        <v>5667640</v>
      </c>
      <c r="H78" s="544">
        <f>SUM(H79,H84)</f>
        <v>39897205.333333328</v>
      </c>
      <c r="I78" s="416"/>
    </row>
    <row r="79" spans="1:11" x14ac:dyDescent="0.2">
      <c r="A79" s="866"/>
      <c r="B79" s="458"/>
      <c r="C79" s="535" t="s">
        <v>12</v>
      </c>
      <c r="D79" s="545">
        <f>SUM(D80:D83)</f>
        <v>33183765.333333332</v>
      </c>
      <c r="E79" s="546"/>
      <c r="F79" s="546"/>
      <c r="G79" s="547">
        <f>SUM(G80:G83)</f>
        <v>0</v>
      </c>
      <c r="H79" s="214">
        <f>SUM(H80:H83)</f>
        <v>33183765.333333332</v>
      </c>
      <c r="I79" s="416"/>
    </row>
    <row r="80" spans="1:11" x14ac:dyDescent="0.2">
      <c r="A80" s="866"/>
      <c r="B80" s="548">
        <v>53103040100000</v>
      </c>
      <c r="C80" s="531" t="s">
        <v>96</v>
      </c>
      <c r="D80" s="549">
        <f>+'F) Remuneraciones'!L26</f>
        <v>33183765.333333332</v>
      </c>
      <c r="E80" s="550">
        <v>0</v>
      </c>
      <c r="F80" s="551">
        <v>0</v>
      </c>
      <c r="G80" s="552">
        <f>E80*F80</f>
        <v>0</v>
      </c>
      <c r="H80" s="553">
        <f>D80+G80</f>
        <v>33183765.333333332</v>
      </c>
      <c r="I80" s="416"/>
    </row>
    <row r="81" spans="1:10" x14ac:dyDescent="0.2">
      <c r="A81" s="866"/>
      <c r="B81" s="548">
        <v>53103050000000</v>
      </c>
      <c r="C81" s="531" t="s">
        <v>168</v>
      </c>
      <c r="D81" s="409">
        <v>0</v>
      </c>
      <c r="E81" s="410">
        <v>0</v>
      </c>
      <c r="F81" s="411">
        <v>0</v>
      </c>
      <c r="G81" s="552">
        <f>E81*F81</f>
        <v>0</v>
      </c>
      <c r="H81" s="553">
        <f>D81+G81</f>
        <v>0</v>
      </c>
      <c r="I81" s="416"/>
    </row>
    <row r="82" spans="1:10" x14ac:dyDescent="0.2">
      <c r="A82" s="866"/>
      <c r="B82" s="460">
        <v>53103040400000</v>
      </c>
      <c r="C82" s="554" t="s">
        <v>169</v>
      </c>
      <c r="D82" s="409">
        <v>0</v>
      </c>
      <c r="E82" s="410">
        <v>0</v>
      </c>
      <c r="F82" s="411">
        <v>0</v>
      </c>
      <c r="G82" s="552">
        <f>E82*F82</f>
        <v>0</v>
      </c>
      <c r="H82" s="553">
        <f>D82+G82</f>
        <v>0</v>
      </c>
      <c r="I82" s="416"/>
    </row>
    <row r="83" spans="1:10" x14ac:dyDescent="0.2">
      <c r="A83" s="866"/>
      <c r="B83" s="548">
        <v>53103080010000</v>
      </c>
      <c r="C83" s="531" t="s">
        <v>170</v>
      </c>
      <c r="D83" s="409">
        <v>0</v>
      </c>
      <c r="E83" s="410">
        <v>0</v>
      </c>
      <c r="F83" s="411">
        <v>0</v>
      </c>
      <c r="G83" s="552">
        <f>E83*F83</f>
        <v>0</v>
      </c>
      <c r="H83" s="553">
        <f>D83+G83</f>
        <v>0</v>
      </c>
      <c r="I83" s="416"/>
    </row>
    <row r="84" spans="1:10" x14ac:dyDescent="0.2">
      <c r="A84" s="866"/>
      <c r="B84" s="458"/>
      <c r="C84" s="535" t="s">
        <v>16</v>
      </c>
      <c r="D84" s="545">
        <f>SUM(D85:D104)</f>
        <v>1045800</v>
      </c>
      <c r="E84" s="546"/>
      <c r="F84" s="546"/>
      <c r="G84" s="545">
        <f>SUM(G85:G104)</f>
        <v>5667640</v>
      </c>
      <c r="H84" s="214">
        <f>SUM(H85:H104)</f>
        <v>6713440</v>
      </c>
      <c r="I84" s="416"/>
      <c r="J84" s="235"/>
    </row>
    <row r="85" spans="1:10" x14ac:dyDescent="0.2">
      <c r="A85" s="866"/>
      <c r="B85" s="548">
        <v>53201010100000</v>
      </c>
      <c r="C85" s="555" t="s">
        <v>171</v>
      </c>
      <c r="D85" s="409">
        <v>0</v>
      </c>
      <c r="E85" s="763">
        <v>2368</v>
      </c>
      <c r="F85" s="411">
        <f>(20*11)*4</f>
        <v>880</v>
      </c>
      <c r="G85" s="552">
        <f t="shared" ref="G85:G104" si="15">E85*F85</f>
        <v>2083840</v>
      </c>
      <c r="H85" s="553">
        <f t="shared" ref="H85:H104" si="16">D85+G85</f>
        <v>2083840</v>
      </c>
      <c r="I85" s="416"/>
    </row>
    <row r="86" spans="1:10" x14ac:dyDescent="0.2">
      <c r="A86" s="866"/>
      <c r="B86" s="548">
        <v>53201010100000</v>
      </c>
      <c r="C86" s="555" t="s">
        <v>172</v>
      </c>
      <c r="D86" s="409">
        <v>0</v>
      </c>
      <c r="E86" s="410">
        <v>1810</v>
      </c>
      <c r="F86" s="411">
        <f>(20*11)*9</f>
        <v>1980</v>
      </c>
      <c r="G86" s="552">
        <f t="shared" si="15"/>
        <v>3583800</v>
      </c>
      <c r="H86" s="553">
        <f t="shared" si="16"/>
        <v>3583800</v>
      </c>
      <c r="I86" s="201"/>
      <c r="J86" s="677"/>
    </row>
    <row r="87" spans="1:10" x14ac:dyDescent="0.2">
      <c r="A87" s="866"/>
      <c r="B87" s="548">
        <v>53201010100000</v>
      </c>
      <c r="C87" s="555" t="s">
        <v>173</v>
      </c>
      <c r="D87" s="409">
        <v>0</v>
      </c>
      <c r="E87" s="410">
        <v>0</v>
      </c>
      <c r="F87" s="411">
        <v>0</v>
      </c>
      <c r="G87" s="552">
        <f t="shared" si="15"/>
        <v>0</v>
      </c>
      <c r="H87" s="553">
        <f t="shared" si="16"/>
        <v>0</v>
      </c>
      <c r="I87" s="201"/>
    </row>
    <row r="88" spans="1:10" ht="25.5" x14ac:dyDescent="0.2">
      <c r="A88" s="866"/>
      <c r="B88" s="548">
        <v>53202010100000</v>
      </c>
      <c r="C88" s="530" t="s">
        <v>174</v>
      </c>
      <c r="D88" s="556">
        <f>+P14</f>
        <v>0</v>
      </c>
      <c r="E88" s="552">
        <v>0</v>
      </c>
      <c r="F88" s="557"/>
      <c r="G88" s="552">
        <f t="shared" si="15"/>
        <v>0</v>
      </c>
      <c r="H88" s="553">
        <f t="shared" si="16"/>
        <v>0</v>
      </c>
      <c r="I88" s="419"/>
    </row>
    <row r="89" spans="1:10" x14ac:dyDescent="0.2">
      <c r="A89" s="866"/>
      <c r="B89" s="548">
        <v>53203010100000</v>
      </c>
      <c r="C89" s="531" t="s">
        <v>19</v>
      </c>
      <c r="D89" s="552">
        <f>+P15</f>
        <v>0</v>
      </c>
      <c r="E89" s="552">
        <v>0</v>
      </c>
      <c r="F89" s="557">
        <v>0</v>
      </c>
      <c r="G89" s="552">
        <f t="shared" si="15"/>
        <v>0</v>
      </c>
      <c r="H89" s="553">
        <f t="shared" si="16"/>
        <v>0</v>
      </c>
      <c r="I89" s="419"/>
    </row>
    <row r="90" spans="1:10" x14ac:dyDescent="0.2">
      <c r="A90" s="866"/>
      <c r="B90" s="548">
        <v>53203030000000</v>
      </c>
      <c r="C90" s="531" t="s">
        <v>175</v>
      </c>
      <c r="D90" s="552">
        <f t="shared" ref="D90:D104" si="17">+P16</f>
        <v>0</v>
      </c>
      <c r="E90" s="552">
        <v>0</v>
      </c>
      <c r="F90" s="557">
        <v>0</v>
      </c>
      <c r="G90" s="552">
        <f t="shared" si="15"/>
        <v>0</v>
      </c>
      <c r="H90" s="553">
        <f t="shared" si="16"/>
        <v>0</v>
      </c>
      <c r="I90" s="419"/>
    </row>
    <row r="91" spans="1:10" x14ac:dyDescent="0.2">
      <c r="A91" s="866"/>
      <c r="B91" s="548">
        <v>53204030000000</v>
      </c>
      <c r="C91" s="531" t="s">
        <v>214</v>
      </c>
      <c r="D91" s="552">
        <f t="shared" si="17"/>
        <v>10000</v>
      </c>
      <c r="E91" s="552">
        <v>0</v>
      </c>
      <c r="F91" s="557">
        <v>0</v>
      </c>
      <c r="G91" s="552">
        <f t="shared" si="15"/>
        <v>0</v>
      </c>
      <c r="H91" s="553">
        <f>D91+G91</f>
        <v>10000</v>
      </c>
      <c r="I91" s="419"/>
    </row>
    <row r="92" spans="1:10" x14ac:dyDescent="0.2">
      <c r="A92" s="866"/>
      <c r="B92" s="548">
        <v>53204100100001</v>
      </c>
      <c r="C92" s="531" t="s">
        <v>22</v>
      </c>
      <c r="D92" s="552">
        <f t="shared" si="17"/>
        <v>0</v>
      </c>
      <c r="E92" s="552">
        <v>0</v>
      </c>
      <c r="F92" s="557">
        <v>0</v>
      </c>
      <c r="G92" s="552">
        <f t="shared" si="15"/>
        <v>0</v>
      </c>
      <c r="H92" s="553">
        <f t="shared" si="16"/>
        <v>0</v>
      </c>
      <c r="I92" s="419"/>
    </row>
    <row r="93" spans="1:10" x14ac:dyDescent="0.2">
      <c r="A93" s="866"/>
      <c r="B93" s="548">
        <v>53204130100000</v>
      </c>
      <c r="C93" s="531" t="s">
        <v>177</v>
      </c>
      <c r="D93" s="552">
        <f t="shared" si="17"/>
        <v>0</v>
      </c>
      <c r="E93" s="552">
        <v>0</v>
      </c>
      <c r="F93" s="557">
        <v>0</v>
      </c>
      <c r="G93" s="552">
        <f t="shared" si="15"/>
        <v>0</v>
      </c>
      <c r="H93" s="553">
        <f t="shared" si="16"/>
        <v>0</v>
      </c>
      <c r="I93" s="419"/>
    </row>
    <row r="94" spans="1:10" x14ac:dyDescent="0.2">
      <c r="A94" s="866"/>
      <c r="B94" s="548">
        <v>53205010100000</v>
      </c>
      <c r="C94" s="531" t="s">
        <v>24</v>
      </c>
      <c r="D94" s="552">
        <f t="shared" si="17"/>
        <v>280000</v>
      </c>
      <c r="E94" s="552">
        <v>0</v>
      </c>
      <c r="F94" s="557">
        <v>0</v>
      </c>
      <c r="G94" s="552">
        <f t="shared" si="15"/>
        <v>0</v>
      </c>
      <c r="H94" s="553">
        <f t="shared" si="16"/>
        <v>280000</v>
      </c>
      <c r="I94" s="419"/>
    </row>
    <row r="95" spans="1:10" x14ac:dyDescent="0.2">
      <c r="A95" s="866"/>
      <c r="B95" s="548">
        <v>53205020100000</v>
      </c>
      <c r="C95" s="531" t="s">
        <v>25</v>
      </c>
      <c r="D95" s="552">
        <f t="shared" si="17"/>
        <v>200000</v>
      </c>
      <c r="E95" s="552">
        <v>0</v>
      </c>
      <c r="F95" s="557">
        <v>0</v>
      </c>
      <c r="G95" s="552">
        <f t="shared" si="15"/>
        <v>0</v>
      </c>
      <c r="H95" s="553">
        <f t="shared" si="16"/>
        <v>200000</v>
      </c>
      <c r="I95" s="419"/>
    </row>
    <row r="96" spans="1:10" x14ac:dyDescent="0.2">
      <c r="A96" s="866"/>
      <c r="B96" s="548">
        <v>53205030100000</v>
      </c>
      <c r="C96" s="531" t="s">
        <v>26</v>
      </c>
      <c r="D96" s="552">
        <f t="shared" si="17"/>
        <v>280000</v>
      </c>
      <c r="E96" s="552">
        <v>0</v>
      </c>
      <c r="F96" s="557">
        <v>0</v>
      </c>
      <c r="G96" s="552">
        <f t="shared" si="15"/>
        <v>0</v>
      </c>
      <c r="H96" s="553">
        <f t="shared" si="16"/>
        <v>280000</v>
      </c>
      <c r="I96" s="419"/>
    </row>
    <row r="97" spans="1:9" x14ac:dyDescent="0.2">
      <c r="A97" s="866"/>
      <c r="B97" s="548">
        <v>53205050100000</v>
      </c>
      <c r="C97" s="531" t="s">
        <v>27</v>
      </c>
      <c r="D97" s="552">
        <f t="shared" si="17"/>
        <v>0</v>
      </c>
      <c r="E97" s="552">
        <v>0</v>
      </c>
      <c r="F97" s="557">
        <v>0</v>
      </c>
      <c r="G97" s="552">
        <f t="shared" si="15"/>
        <v>0</v>
      </c>
      <c r="H97" s="553">
        <f t="shared" si="16"/>
        <v>0</v>
      </c>
      <c r="I97" s="419"/>
    </row>
    <row r="98" spans="1:9" x14ac:dyDescent="0.2">
      <c r="A98" s="866"/>
      <c r="B98" s="548">
        <v>53205070100000</v>
      </c>
      <c r="C98" s="531" t="s">
        <v>29</v>
      </c>
      <c r="D98" s="552">
        <f t="shared" si="17"/>
        <v>65800</v>
      </c>
      <c r="E98" s="552">
        <v>0</v>
      </c>
      <c r="F98" s="557">
        <v>0</v>
      </c>
      <c r="G98" s="552">
        <f t="shared" si="15"/>
        <v>0</v>
      </c>
      <c r="H98" s="553">
        <f t="shared" si="16"/>
        <v>65800</v>
      </c>
      <c r="I98" s="419"/>
    </row>
    <row r="99" spans="1:9" x14ac:dyDescent="0.2">
      <c r="A99" s="866"/>
      <c r="B99" s="548">
        <v>53208010100000</v>
      </c>
      <c r="C99" s="531" t="s">
        <v>30</v>
      </c>
      <c r="D99" s="552">
        <f t="shared" si="17"/>
        <v>0</v>
      </c>
      <c r="E99" s="552">
        <v>0</v>
      </c>
      <c r="F99" s="557">
        <v>0</v>
      </c>
      <c r="G99" s="552">
        <f t="shared" si="15"/>
        <v>0</v>
      </c>
      <c r="H99" s="553">
        <f t="shared" si="16"/>
        <v>0</v>
      </c>
      <c r="I99" s="419"/>
    </row>
    <row r="100" spans="1:9" x14ac:dyDescent="0.2">
      <c r="A100" s="866"/>
      <c r="B100" s="548">
        <v>53208070100001</v>
      </c>
      <c r="C100" s="531" t="s">
        <v>31</v>
      </c>
      <c r="D100" s="552">
        <f t="shared" si="17"/>
        <v>70000</v>
      </c>
      <c r="E100" s="552">
        <v>0</v>
      </c>
      <c r="F100" s="557">
        <v>0</v>
      </c>
      <c r="G100" s="552">
        <f t="shared" si="15"/>
        <v>0</v>
      </c>
      <c r="H100" s="553">
        <f t="shared" si="16"/>
        <v>70000</v>
      </c>
      <c r="I100" s="419"/>
    </row>
    <row r="101" spans="1:9" x14ac:dyDescent="0.2">
      <c r="A101" s="866"/>
      <c r="B101" s="548">
        <v>53208100100001</v>
      </c>
      <c r="C101" s="531" t="s">
        <v>178</v>
      </c>
      <c r="D101" s="552">
        <f t="shared" si="17"/>
        <v>0</v>
      </c>
      <c r="E101" s="552">
        <v>0</v>
      </c>
      <c r="F101" s="557">
        <v>0</v>
      </c>
      <c r="G101" s="552">
        <f t="shared" si="15"/>
        <v>0</v>
      </c>
      <c r="H101" s="553">
        <f t="shared" si="16"/>
        <v>0</v>
      </c>
      <c r="I101" s="419"/>
    </row>
    <row r="102" spans="1:9" x14ac:dyDescent="0.2">
      <c r="A102" s="866"/>
      <c r="B102" s="548">
        <v>53211030000000</v>
      </c>
      <c r="C102" s="531" t="s">
        <v>32</v>
      </c>
      <c r="D102" s="552">
        <f t="shared" si="17"/>
        <v>0</v>
      </c>
      <c r="E102" s="552">
        <v>0</v>
      </c>
      <c r="F102" s="557">
        <v>0</v>
      </c>
      <c r="G102" s="552">
        <f t="shared" si="15"/>
        <v>0</v>
      </c>
      <c r="H102" s="553">
        <f t="shared" si="16"/>
        <v>0</v>
      </c>
      <c r="I102" s="419"/>
    </row>
    <row r="103" spans="1:9" x14ac:dyDescent="0.2">
      <c r="A103" s="866"/>
      <c r="B103" s="548">
        <v>53212020100000</v>
      </c>
      <c r="C103" s="531" t="s">
        <v>179</v>
      </c>
      <c r="D103" s="552">
        <f t="shared" si="17"/>
        <v>120000</v>
      </c>
      <c r="E103" s="552">
        <v>0</v>
      </c>
      <c r="F103" s="557">
        <v>0</v>
      </c>
      <c r="G103" s="552">
        <f t="shared" si="15"/>
        <v>0</v>
      </c>
      <c r="H103" s="553">
        <f t="shared" si="16"/>
        <v>120000</v>
      </c>
      <c r="I103" s="419"/>
    </row>
    <row r="104" spans="1:9" x14ac:dyDescent="0.2">
      <c r="A104" s="866"/>
      <c r="B104" s="548">
        <v>53214020000000</v>
      </c>
      <c r="C104" s="531" t="s">
        <v>180</v>
      </c>
      <c r="D104" s="552">
        <f t="shared" si="17"/>
        <v>20000</v>
      </c>
      <c r="E104" s="552">
        <v>0</v>
      </c>
      <c r="F104" s="557">
        <v>0</v>
      </c>
      <c r="G104" s="552">
        <f t="shared" si="15"/>
        <v>0</v>
      </c>
      <c r="H104" s="553">
        <f t="shared" si="16"/>
        <v>20000</v>
      </c>
      <c r="I104" s="419"/>
    </row>
    <row r="105" spans="1:9" x14ac:dyDescent="0.2">
      <c r="A105" s="866"/>
      <c r="B105" s="457"/>
      <c r="C105" s="533" t="s">
        <v>34</v>
      </c>
      <c r="D105" s="541">
        <v>0</v>
      </c>
      <c r="E105" s="542"/>
      <c r="F105" s="542"/>
      <c r="G105" s="541">
        <f>SUM(G106,G111,G113,G122,G131,G139)</f>
        <v>368160</v>
      </c>
      <c r="H105" s="215">
        <f>SUM(H106,H111,H113,H122,H131,H139)</f>
        <v>1193560</v>
      </c>
      <c r="I105" s="419"/>
    </row>
    <row r="106" spans="1:9" x14ac:dyDescent="0.2">
      <c r="A106" s="866"/>
      <c r="B106" s="458"/>
      <c r="C106" s="535" t="s">
        <v>35</v>
      </c>
      <c r="D106" s="545">
        <f>SUM(D107:D110)</f>
        <v>0</v>
      </c>
      <c r="E106" s="546"/>
      <c r="F106" s="546"/>
      <c r="G106" s="558">
        <f>SUM(G107:G110)</f>
        <v>60000</v>
      </c>
      <c r="H106" s="559">
        <f>SUM(H107:H110)</f>
        <v>60000</v>
      </c>
      <c r="I106" s="419"/>
    </row>
    <row r="107" spans="1:9" x14ac:dyDescent="0.2">
      <c r="A107" s="866"/>
      <c r="B107" s="548">
        <v>53202020100000</v>
      </c>
      <c r="C107" s="531" t="s">
        <v>181</v>
      </c>
      <c r="D107" s="409">
        <v>0</v>
      </c>
      <c r="E107" s="206">
        <v>20000</v>
      </c>
      <c r="F107" s="205">
        <v>2</v>
      </c>
      <c r="G107" s="552">
        <f>E107*F107</f>
        <v>40000</v>
      </c>
      <c r="H107" s="553">
        <f t="shared" ref="H107:H140" si="18">D107+G107</f>
        <v>40000</v>
      </c>
      <c r="I107" s="419"/>
    </row>
    <row r="108" spans="1:9" x14ac:dyDescent="0.2">
      <c r="A108" s="866"/>
      <c r="B108" s="548">
        <v>53202030000000</v>
      </c>
      <c r="C108" s="531" t="s">
        <v>182</v>
      </c>
      <c r="D108" s="409"/>
      <c r="E108" s="206">
        <v>20000</v>
      </c>
      <c r="F108" s="205">
        <v>1</v>
      </c>
      <c r="G108" s="552">
        <f t="shared" ref="G108:G140" si="19">E108*F108</f>
        <v>20000</v>
      </c>
      <c r="H108" s="553">
        <f t="shared" si="18"/>
        <v>20000</v>
      </c>
      <c r="I108" s="419"/>
    </row>
    <row r="109" spans="1:9" x14ac:dyDescent="0.2">
      <c r="A109" s="866"/>
      <c r="B109" s="548">
        <v>53211020000000</v>
      </c>
      <c r="C109" s="531" t="s">
        <v>41</v>
      </c>
      <c r="D109" s="556">
        <f>+P33</f>
        <v>0</v>
      </c>
      <c r="E109" s="552">
        <v>0</v>
      </c>
      <c r="F109" s="557">
        <v>0</v>
      </c>
      <c r="G109" s="552">
        <f t="shared" si="19"/>
        <v>0</v>
      </c>
      <c r="H109" s="553">
        <f t="shared" si="18"/>
        <v>0</v>
      </c>
      <c r="I109" s="419"/>
    </row>
    <row r="110" spans="1:9" x14ac:dyDescent="0.2">
      <c r="A110" s="866"/>
      <c r="B110" s="548">
        <v>53101040600000</v>
      </c>
      <c r="C110" s="531" t="s">
        <v>183</v>
      </c>
      <c r="D110" s="556">
        <f>+P34</f>
        <v>0</v>
      </c>
      <c r="E110" s="552">
        <v>0</v>
      </c>
      <c r="F110" s="557">
        <v>0</v>
      </c>
      <c r="G110" s="552">
        <f t="shared" si="19"/>
        <v>0</v>
      </c>
      <c r="H110" s="553">
        <f t="shared" si="18"/>
        <v>0</v>
      </c>
      <c r="I110" s="419"/>
    </row>
    <row r="111" spans="1:9" x14ac:dyDescent="0.2">
      <c r="A111" s="866"/>
      <c r="B111" s="458"/>
      <c r="C111" s="535" t="s">
        <v>42</v>
      </c>
      <c r="D111" s="545">
        <f>SUM(D112:D112)</f>
        <v>0</v>
      </c>
      <c r="E111" s="546"/>
      <c r="F111" s="546"/>
      <c r="G111" s="558">
        <f>SUM(G112:G112)</f>
        <v>0</v>
      </c>
      <c r="H111" s="559">
        <f>SUM(H112:H112)</f>
        <v>0</v>
      </c>
      <c r="I111" s="419"/>
    </row>
    <row r="112" spans="1:9" x14ac:dyDescent="0.2">
      <c r="A112" s="866"/>
      <c r="B112" s="560">
        <v>53205990000000</v>
      </c>
      <c r="C112" s="531" t="s">
        <v>44</v>
      </c>
      <c r="D112" s="556">
        <f>+P36</f>
        <v>0</v>
      </c>
      <c r="E112" s="552">
        <v>0</v>
      </c>
      <c r="F112" s="557">
        <v>0</v>
      </c>
      <c r="G112" s="552">
        <f t="shared" si="19"/>
        <v>0</v>
      </c>
      <c r="H112" s="553">
        <f t="shared" si="18"/>
        <v>0</v>
      </c>
      <c r="I112" s="419"/>
    </row>
    <row r="113" spans="1:9" x14ac:dyDescent="0.2">
      <c r="A113" s="866"/>
      <c r="B113" s="458"/>
      <c r="C113" s="535" t="s">
        <v>45</v>
      </c>
      <c r="D113" s="545">
        <f>SUM(D114:D121)</f>
        <v>240000</v>
      </c>
      <c r="E113" s="546"/>
      <c r="F113" s="546"/>
      <c r="G113" s="545">
        <f>SUM(G114:G121)</f>
        <v>0</v>
      </c>
      <c r="H113" s="214">
        <f>SUM(H114:H121)</f>
        <v>240000</v>
      </c>
      <c r="I113" s="419"/>
    </row>
    <row r="114" spans="1:9" x14ac:dyDescent="0.2">
      <c r="A114" s="866"/>
      <c r="B114" s="548">
        <v>53204010000000</v>
      </c>
      <c r="C114" s="531" t="s">
        <v>47</v>
      </c>
      <c r="D114" s="556">
        <f>+P38</f>
        <v>60000</v>
      </c>
      <c r="E114" s="556">
        <v>0</v>
      </c>
      <c r="F114" s="557">
        <v>0</v>
      </c>
      <c r="G114" s="552">
        <f t="shared" si="19"/>
        <v>0</v>
      </c>
      <c r="H114" s="553">
        <f t="shared" si="18"/>
        <v>60000</v>
      </c>
      <c r="I114" s="419"/>
    </row>
    <row r="115" spans="1:9" x14ac:dyDescent="0.2">
      <c r="A115" s="866"/>
      <c r="B115" s="560">
        <v>53204040200000</v>
      </c>
      <c r="C115" s="531" t="s">
        <v>213</v>
      </c>
      <c r="D115" s="556">
        <f t="shared" ref="D115:D121" si="20">+P39</f>
        <v>0</v>
      </c>
      <c r="E115" s="556">
        <v>0</v>
      </c>
      <c r="F115" s="557">
        <v>0</v>
      </c>
      <c r="G115" s="552">
        <f t="shared" si="19"/>
        <v>0</v>
      </c>
      <c r="H115" s="553">
        <f t="shared" si="18"/>
        <v>0</v>
      </c>
      <c r="I115" s="419"/>
    </row>
    <row r="116" spans="1:9" x14ac:dyDescent="0.2">
      <c r="A116" s="866"/>
      <c r="B116" s="548">
        <v>53204060000000</v>
      </c>
      <c r="C116" s="531" t="s">
        <v>49</v>
      </c>
      <c r="D116" s="556">
        <f t="shared" si="20"/>
        <v>0</v>
      </c>
      <c r="E116" s="556">
        <v>0</v>
      </c>
      <c r="F116" s="557">
        <v>0</v>
      </c>
      <c r="G116" s="552">
        <f t="shared" si="19"/>
        <v>0</v>
      </c>
      <c r="H116" s="553">
        <f t="shared" si="18"/>
        <v>0</v>
      </c>
      <c r="I116" s="419"/>
    </row>
    <row r="117" spans="1:9" x14ac:dyDescent="0.2">
      <c r="A117" s="866"/>
      <c r="B117" s="548">
        <v>53204070000000</v>
      </c>
      <c r="C117" s="531" t="s">
        <v>50</v>
      </c>
      <c r="D117" s="556">
        <f t="shared" si="20"/>
        <v>180000</v>
      </c>
      <c r="E117" s="556">
        <v>0</v>
      </c>
      <c r="F117" s="557">
        <v>0</v>
      </c>
      <c r="G117" s="552">
        <f t="shared" si="19"/>
        <v>0</v>
      </c>
      <c r="H117" s="553">
        <f t="shared" si="18"/>
        <v>180000</v>
      </c>
      <c r="I117" s="419"/>
    </row>
    <row r="118" spans="1:9" x14ac:dyDescent="0.2">
      <c r="A118" s="866"/>
      <c r="B118" s="548">
        <v>53204080000000</v>
      </c>
      <c r="C118" s="531" t="s">
        <v>51</v>
      </c>
      <c r="D118" s="556">
        <f t="shared" si="20"/>
        <v>0</v>
      </c>
      <c r="E118" s="556">
        <v>0</v>
      </c>
      <c r="F118" s="557">
        <v>0</v>
      </c>
      <c r="G118" s="552">
        <f t="shared" si="19"/>
        <v>0</v>
      </c>
      <c r="H118" s="553">
        <f t="shared" si="18"/>
        <v>0</v>
      </c>
      <c r="I118" s="419"/>
    </row>
    <row r="119" spans="1:9" x14ac:dyDescent="0.2">
      <c r="A119" s="866"/>
      <c r="B119" s="548">
        <v>53214010000000</v>
      </c>
      <c r="C119" s="531" t="s">
        <v>52</v>
      </c>
      <c r="D119" s="556">
        <f t="shared" si="20"/>
        <v>0</v>
      </c>
      <c r="E119" s="556">
        <v>0</v>
      </c>
      <c r="F119" s="557">
        <v>0</v>
      </c>
      <c r="G119" s="552">
        <f t="shared" si="19"/>
        <v>0</v>
      </c>
      <c r="H119" s="553">
        <f t="shared" si="18"/>
        <v>0</v>
      </c>
      <c r="I119" s="419"/>
    </row>
    <row r="120" spans="1:9" x14ac:dyDescent="0.2">
      <c r="A120" s="866"/>
      <c r="B120" s="548">
        <v>53214040000000</v>
      </c>
      <c r="C120" s="531" t="s">
        <v>184</v>
      </c>
      <c r="D120" s="556">
        <f t="shared" si="20"/>
        <v>0</v>
      </c>
      <c r="E120" s="556">
        <v>0</v>
      </c>
      <c r="F120" s="557">
        <v>0</v>
      </c>
      <c r="G120" s="552">
        <f t="shared" si="19"/>
        <v>0</v>
      </c>
      <c r="H120" s="553">
        <f t="shared" si="18"/>
        <v>0</v>
      </c>
      <c r="I120" s="419"/>
    </row>
    <row r="121" spans="1:9" x14ac:dyDescent="0.2">
      <c r="A121" s="866"/>
      <c r="B121" s="460">
        <v>53204020100000</v>
      </c>
      <c r="C121" s="531" t="s">
        <v>176</v>
      </c>
      <c r="D121" s="556">
        <f t="shared" si="20"/>
        <v>0</v>
      </c>
      <c r="E121" s="556">
        <v>0</v>
      </c>
      <c r="F121" s="557">
        <v>0</v>
      </c>
      <c r="G121" s="552">
        <f t="shared" si="19"/>
        <v>0</v>
      </c>
      <c r="H121" s="553">
        <f t="shared" si="18"/>
        <v>0</v>
      </c>
      <c r="I121" s="419"/>
    </row>
    <row r="122" spans="1:9" x14ac:dyDescent="0.2">
      <c r="A122" s="866"/>
      <c r="B122" s="458"/>
      <c r="C122" s="535" t="s">
        <v>55</v>
      </c>
      <c r="D122" s="545">
        <f>SUM(D123:D130)</f>
        <v>508000</v>
      </c>
      <c r="E122" s="546"/>
      <c r="F122" s="546"/>
      <c r="G122" s="545">
        <f>SUM(G123:G130)</f>
        <v>83160</v>
      </c>
      <c r="H122" s="214">
        <f>SUM(H123:H130)</f>
        <v>591160</v>
      </c>
      <c r="I122" s="419"/>
    </row>
    <row r="123" spans="1:9" x14ac:dyDescent="0.2">
      <c r="A123" s="866"/>
      <c r="B123" s="548">
        <v>53207010000000</v>
      </c>
      <c r="C123" s="531" t="s">
        <v>56</v>
      </c>
      <c r="D123" s="556">
        <f>+P47</f>
        <v>0</v>
      </c>
      <c r="E123" s="556">
        <v>0</v>
      </c>
      <c r="F123" s="557">
        <v>0</v>
      </c>
      <c r="G123" s="552">
        <f t="shared" si="19"/>
        <v>0</v>
      </c>
      <c r="H123" s="553">
        <f t="shared" si="18"/>
        <v>0</v>
      </c>
      <c r="I123" s="419"/>
    </row>
    <row r="124" spans="1:9" x14ac:dyDescent="0.2">
      <c r="A124" s="866"/>
      <c r="B124" s="548">
        <v>53207020000000</v>
      </c>
      <c r="C124" s="531" t="s">
        <v>57</v>
      </c>
      <c r="D124" s="556">
        <f t="shared" ref="D124:D126" si="21">+P48</f>
        <v>120000</v>
      </c>
      <c r="E124" s="556">
        <v>0</v>
      </c>
      <c r="F124" s="557">
        <v>0</v>
      </c>
      <c r="G124" s="552">
        <f t="shared" si="19"/>
        <v>0</v>
      </c>
      <c r="H124" s="553">
        <f t="shared" si="18"/>
        <v>120000</v>
      </c>
      <c r="I124" s="419"/>
    </row>
    <row r="125" spans="1:9" x14ac:dyDescent="0.2">
      <c r="A125" s="866"/>
      <c r="B125" s="548">
        <v>53208020000000</v>
      </c>
      <c r="C125" s="531" t="s">
        <v>167</v>
      </c>
      <c r="D125" s="556">
        <f t="shared" si="21"/>
        <v>0</v>
      </c>
      <c r="E125" s="556">
        <v>0</v>
      </c>
      <c r="F125" s="557">
        <v>0</v>
      </c>
      <c r="G125" s="552">
        <f t="shared" si="19"/>
        <v>0</v>
      </c>
      <c r="H125" s="553">
        <f t="shared" si="18"/>
        <v>0</v>
      </c>
      <c r="I125" s="419"/>
    </row>
    <row r="126" spans="1:9" x14ac:dyDescent="0.2">
      <c r="A126" s="866"/>
      <c r="B126" s="548">
        <v>53208990000000</v>
      </c>
      <c r="C126" s="531" t="s">
        <v>185</v>
      </c>
      <c r="D126" s="556">
        <f t="shared" si="21"/>
        <v>32000</v>
      </c>
      <c r="E126" s="556">
        <v>0</v>
      </c>
      <c r="F126" s="557">
        <v>0</v>
      </c>
      <c r="G126" s="552">
        <f t="shared" si="19"/>
        <v>0</v>
      </c>
      <c r="H126" s="553">
        <f t="shared" si="18"/>
        <v>32000</v>
      </c>
      <c r="I126" s="419"/>
    </row>
    <row r="127" spans="1:9" x14ac:dyDescent="0.2">
      <c r="A127" s="866"/>
      <c r="B127" s="460">
        <v>53210020300000</v>
      </c>
      <c r="C127" s="531" t="s">
        <v>187</v>
      </c>
      <c r="D127" s="556">
        <v>0</v>
      </c>
      <c r="E127" s="556">
        <v>7560</v>
      </c>
      <c r="F127" s="557">
        <f>+'B) Reajuste Tarifas y Ocupación'!I31</f>
        <v>11</v>
      </c>
      <c r="G127" s="552">
        <f t="shared" si="19"/>
        <v>83160</v>
      </c>
      <c r="H127" s="553">
        <f t="shared" si="18"/>
        <v>83160</v>
      </c>
      <c r="I127" s="419"/>
    </row>
    <row r="128" spans="1:9" x14ac:dyDescent="0.2">
      <c r="A128" s="866"/>
      <c r="B128" s="548">
        <v>53208990000000</v>
      </c>
      <c r="C128" s="531" t="s">
        <v>188</v>
      </c>
      <c r="D128" s="556">
        <f>+P51</f>
        <v>0</v>
      </c>
      <c r="E128" s="556">
        <v>0</v>
      </c>
      <c r="F128" s="557">
        <v>0</v>
      </c>
      <c r="G128" s="552">
        <f t="shared" si="19"/>
        <v>0</v>
      </c>
      <c r="H128" s="553">
        <f t="shared" si="18"/>
        <v>0</v>
      </c>
      <c r="I128" s="419"/>
    </row>
    <row r="129" spans="1:12" x14ac:dyDescent="0.2">
      <c r="A129" s="866"/>
      <c r="B129" s="548">
        <v>53209990000000</v>
      </c>
      <c r="C129" s="531" t="s">
        <v>186</v>
      </c>
      <c r="D129" s="556">
        <f>+P52</f>
        <v>0</v>
      </c>
      <c r="E129" s="556">
        <v>0</v>
      </c>
      <c r="F129" s="557">
        <v>0</v>
      </c>
      <c r="G129" s="552">
        <f t="shared" si="19"/>
        <v>0</v>
      </c>
      <c r="H129" s="553">
        <f t="shared" si="18"/>
        <v>0</v>
      </c>
      <c r="I129" s="419"/>
    </row>
    <row r="130" spans="1:12" x14ac:dyDescent="0.2">
      <c r="A130" s="866"/>
      <c r="B130" s="548">
        <v>53210020100000</v>
      </c>
      <c r="C130" s="531" t="s">
        <v>64</v>
      </c>
      <c r="D130" s="556">
        <f>+P53</f>
        <v>356000</v>
      </c>
      <c r="E130" s="556">
        <v>0</v>
      </c>
      <c r="F130" s="557">
        <v>0</v>
      </c>
      <c r="G130" s="552">
        <f t="shared" si="19"/>
        <v>0</v>
      </c>
      <c r="H130" s="553">
        <f t="shared" si="18"/>
        <v>356000</v>
      </c>
      <c r="I130" s="419"/>
    </row>
    <row r="131" spans="1:12" x14ac:dyDescent="0.2">
      <c r="A131" s="866"/>
      <c r="B131" s="458"/>
      <c r="C131" s="535" t="s">
        <v>65</v>
      </c>
      <c r="D131" s="545">
        <f>SUM(D132:D138)</f>
        <v>77400</v>
      </c>
      <c r="E131" s="546"/>
      <c r="F131" s="546"/>
      <c r="G131" s="545">
        <f>SUM(G132:G138)</f>
        <v>0</v>
      </c>
      <c r="H131" s="214">
        <f>SUM(H132:H138)</f>
        <v>77400</v>
      </c>
      <c r="I131" s="419"/>
    </row>
    <row r="132" spans="1:12" x14ac:dyDescent="0.2">
      <c r="A132" s="866"/>
      <c r="B132" s="548">
        <v>53206030000000</v>
      </c>
      <c r="C132" s="531" t="s">
        <v>100</v>
      </c>
      <c r="D132" s="556">
        <f>+P55</f>
        <v>0</v>
      </c>
      <c r="E132" s="556">
        <v>0</v>
      </c>
      <c r="F132" s="557">
        <v>0</v>
      </c>
      <c r="G132" s="552">
        <f t="shared" si="19"/>
        <v>0</v>
      </c>
      <c r="H132" s="553">
        <f t="shared" si="18"/>
        <v>0</v>
      </c>
      <c r="I132" s="419"/>
    </row>
    <row r="133" spans="1:12" x14ac:dyDescent="0.2">
      <c r="A133" s="866"/>
      <c r="B133" s="548">
        <v>53206040000000</v>
      </c>
      <c r="C133" s="531" t="s">
        <v>101</v>
      </c>
      <c r="D133" s="556">
        <f t="shared" ref="D133:D138" si="22">+P56</f>
        <v>0</v>
      </c>
      <c r="E133" s="556">
        <v>0</v>
      </c>
      <c r="F133" s="557">
        <v>0</v>
      </c>
      <c r="G133" s="552">
        <f t="shared" si="19"/>
        <v>0</v>
      </c>
      <c r="H133" s="553">
        <f t="shared" si="18"/>
        <v>0</v>
      </c>
      <c r="I133" s="419"/>
    </row>
    <row r="134" spans="1:12" x14ac:dyDescent="0.2">
      <c r="A134" s="866"/>
      <c r="B134" s="548">
        <v>53206060000000</v>
      </c>
      <c r="C134" s="531" t="s">
        <v>189</v>
      </c>
      <c r="D134" s="556">
        <f t="shared" si="22"/>
        <v>12000</v>
      </c>
      <c r="E134" s="556">
        <v>0</v>
      </c>
      <c r="F134" s="557">
        <v>0</v>
      </c>
      <c r="G134" s="552">
        <f t="shared" si="19"/>
        <v>0</v>
      </c>
      <c r="H134" s="553">
        <f t="shared" si="18"/>
        <v>12000</v>
      </c>
      <c r="I134" s="419"/>
    </row>
    <row r="135" spans="1:12" x14ac:dyDescent="0.2">
      <c r="A135" s="866"/>
      <c r="B135" s="548">
        <v>53206070000000</v>
      </c>
      <c r="C135" s="531" t="s">
        <v>103</v>
      </c>
      <c r="D135" s="556">
        <f t="shared" si="22"/>
        <v>0</v>
      </c>
      <c r="E135" s="556">
        <v>0</v>
      </c>
      <c r="F135" s="557">
        <v>0</v>
      </c>
      <c r="G135" s="552">
        <f t="shared" si="19"/>
        <v>0</v>
      </c>
      <c r="H135" s="553">
        <f t="shared" si="18"/>
        <v>0</v>
      </c>
      <c r="I135" s="419"/>
    </row>
    <row r="136" spans="1:12" x14ac:dyDescent="0.2">
      <c r="A136" s="866"/>
      <c r="B136" s="548">
        <v>53206990000000</v>
      </c>
      <c r="C136" s="531" t="s">
        <v>190</v>
      </c>
      <c r="D136" s="556">
        <f t="shared" si="22"/>
        <v>16000</v>
      </c>
      <c r="E136" s="556">
        <v>0</v>
      </c>
      <c r="F136" s="557">
        <v>0</v>
      </c>
      <c r="G136" s="552">
        <f t="shared" si="19"/>
        <v>0</v>
      </c>
      <c r="H136" s="553">
        <f t="shared" si="18"/>
        <v>16000</v>
      </c>
      <c r="I136" s="419"/>
    </row>
    <row r="137" spans="1:12" x14ac:dyDescent="0.2">
      <c r="A137" s="866"/>
      <c r="B137" s="548">
        <v>53208030000000</v>
      </c>
      <c r="C137" s="531" t="s">
        <v>105</v>
      </c>
      <c r="D137" s="556">
        <f t="shared" si="22"/>
        <v>16000</v>
      </c>
      <c r="E137" s="556">
        <v>0</v>
      </c>
      <c r="F137" s="557">
        <v>0</v>
      </c>
      <c r="G137" s="552">
        <f t="shared" si="19"/>
        <v>0</v>
      </c>
      <c r="H137" s="553">
        <f t="shared" si="18"/>
        <v>16000</v>
      </c>
      <c r="I137" s="419"/>
    </row>
    <row r="138" spans="1:12" x14ac:dyDescent="0.2">
      <c r="A138" s="866"/>
      <c r="B138" s="548">
        <v>53206990000000</v>
      </c>
      <c r="C138" s="531" t="s">
        <v>212</v>
      </c>
      <c r="D138" s="556">
        <f t="shared" si="22"/>
        <v>33400</v>
      </c>
      <c r="E138" s="556">
        <v>0</v>
      </c>
      <c r="F138" s="557">
        <v>0</v>
      </c>
      <c r="G138" s="552">
        <f t="shared" si="19"/>
        <v>0</v>
      </c>
      <c r="H138" s="553">
        <f t="shared" si="18"/>
        <v>33400</v>
      </c>
      <c r="I138" s="416"/>
    </row>
    <row r="139" spans="1:12" x14ac:dyDescent="0.2">
      <c r="A139" s="866"/>
      <c r="B139" s="458"/>
      <c r="C139" s="535" t="s">
        <v>66</v>
      </c>
      <c r="D139" s="545">
        <f>SUM(D140:D140)</f>
        <v>0</v>
      </c>
      <c r="E139" s="546"/>
      <c r="F139" s="546"/>
      <c r="G139" s="545">
        <f>SUM(G140:G140)</f>
        <v>225000</v>
      </c>
      <c r="H139" s="214">
        <f>SUM(H140:H140)</f>
        <v>225000</v>
      </c>
      <c r="I139" s="416"/>
    </row>
    <row r="140" spans="1:12" x14ac:dyDescent="0.2">
      <c r="A140" s="866"/>
      <c r="B140" s="561"/>
      <c r="C140" s="562" t="s">
        <v>215</v>
      </c>
      <c r="D140" s="409">
        <v>0</v>
      </c>
      <c r="E140" s="409">
        <v>25000</v>
      </c>
      <c r="F140" s="411">
        <v>9</v>
      </c>
      <c r="G140" s="552">
        <f t="shared" si="19"/>
        <v>225000</v>
      </c>
      <c r="H140" s="563">
        <f t="shared" si="18"/>
        <v>225000</v>
      </c>
      <c r="I140" s="417"/>
      <c r="J140" s="464" t="s">
        <v>216</v>
      </c>
      <c r="K140" s="360">
        <f>+H138+H137+H136+H135+H134+H133+H132+H130+H129+H128+H127+H126+H125+H124+H123+H121+H118+H117+H116+H115+H114+H112+H110+H109+H103+H102+H101+H99+H98+H97+H96+H95+H94+H93+H92+H91+H90+H89</f>
        <v>1864360</v>
      </c>
    </row>
    <row r="141" spans="1:12" x14ac:dyDescent="0.2">
      <c r="A141" s="866"/>
      <c r="B141" s="463"/>
      <c r="C141" s="564" t="s">
        <v>106</v>
      </c>
      <c r="D141" s="565">
        <f>SUM(D78,D105)</f>
        <v>34229565.333333328</v>
      </c>
      <c r="E141" s="566"/>
      <c r="F141" s="566"/>
      <c r="G141" s="565">
        <f>SUM(G78,G105)</f>
        <v>6035800</v>
      </c>
      <c r="H141" s="55">
        <f>SUM(H78,H105)</f>
        <v>41090765.333333328</v>
      </c>
      <c r="I141" s="420"/>
      <c r="J141" s="456" t="s">
        <v>217</v>
      </c>
      <c r="K141" s="538">
        <f>+H142-K140</f>
        <v>125071920.23333333</v>
      </c>
      <c r="L141" s="677" t="s">
        <v>416</v>
      </c>
    </row>
    <row r="142" spans="1:12" ht="15.75" x14ac:dyDescent="0.2">
      <c r="A142" s="860" t="s">
        <v>110</v>
      </c>
      <c r="B142" s="860"/>
      <c r="C142" s="860"/>
      <c r="D142" s="860"/>
      <c r="E142" s="860"/>
      <c r="F142" s="860"/>
      <c r="G142" s="861"/>
      <c r="H142" s="54">
        <f>+H141+H75</f>
        <v>126936280.23333333</v>
      </c>
    </row>
    <row r="152" spans="3:3" x14ac:dyDescent="0.2">
      <c r="C152" s="677" t="s">
        <v>412</v>
      </c>
    </row>
    <row r="153" spans="3:3" x14ac:dyDescent="0.2">
      <c r="C153" s="677" t="s">
        <v>413</v>
      </c>
    </row>
    <row r="154" spans="3:3" x14ac:dyDescent="0.2">
      <c r="C154" s="677" t="s">
        <v>414</v>
      </c>
    </row>
  </sheetData>
  <sheetProtection algorithmName="SHA-512" hashValue="cW+LM441pzglgDBfWgTHwa6SUcQW1UauymJCWn37q/j+8lGZdQ4vDXKpDfL9YcGa4bta/d7EZvul+7MzxmqMhA==" saltValue="4UFA7I4H2PRgXVlGd8m/AA==" spinCount="100000" sheet="1" objects="1" scenarios="1"/>
  <mergeCells count="23">
    <mergeCell ref="D4:E4"/>
    <mergeCell ref="A8:C8"/>
    <mergeCell ref="A12:A75"/>
    <mergeCell ref="I10:I11"/>
    <mergeCell ref="B10:B11"/>
    <mergeCell ref="A10:A11"/>
    <mergeCell ref="E10:G10"/>
    <mergeCell ref="D10:D11"/>
    <mergeCell ref="H10:H11"/>
    <mergeCell ref="C10:C11"/>
    <mergeCell ref="M10:M11"/>
    <mergeCell ref="N10:N11"/>
    <mergeCell ref="O10:O11"/>
    <mergeCell ref="P10:P11"/>
    <mergeCell ref="A142:G142"/>
    <mergeCell ref="H76:H77"/>
    <mergeCell ref="I76:I77"/>
    <mergeCell ref="A78:A141"/>
    <mergeCell ref="A76:A77"/>
    <mergeCell ref="B76:B77"/>
    <mergeCell ref="C76:C77"/>
    <mergeCell ref="D76:D77"/>
    <mergeCell ref="E76:G76"/>
  </mergeCells>
  <pageMargins left="0.85" right="0.75" top="0.57013888888888886" bottom="0.90972222222222221" header="0" footer="0.51180555555555551"/>
  <pageSetup firstPageNumber="0" fitToHeight="12" orientation="landscape" horizontalDpi="300" verticalDpi="300" r:id="rId1"/>
  <headerFooter alignWithMargins="0">
    <oddHeader>&amp;LSEPT - 2004&amp;CDIRECTIVA D.B.S.A.ORDINARIO&amp;R02-BS/0307/02pag &amp;P de &amp;N</oddHeader>
  </headerFooter>
  <ignoredErrors>
    <ignoredError sqref="G19:H19 G45:H45 G47:H47 G65:H65 G73:H73 G56:H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H101"/>
  <sheetViews>
    <sheetView showGridLines="0" topLeftCell="O31" zoomScale="80" zoomScaleNormal="80" workbookViewId="0">
      <selection activeCell="Y67" sqref="Y67"/>
    </sheetView>
  </sheetViews>
  <sheetFormatPr baseColWidth="10" defaultColWidth="11.42578125" defaultRowHeight="12.75" x14ac:dyDescent="0.2"/>
  <cols>
    <col min="1" max="1" width="11.42578125" style="28" customWidth="1"/>
    <col min="2" max="2" width="28" style="28" customWidth="1"/>
    <col min="3" max="3" width="28.7109375" style="28" customWidth="1"/>
    <col min="4" max="4" width="24.140625" style="28" customWidth="1"/>
    <col min="5" max="5" width="25.140625" style="28" customWidth="1"/>
    <col min="6" max="6" width="22.140625" style="28" customWidth="1"/>
    <col min="7" max="7" width="14.85546875" style="28" customWidth="1"/>
    <col min="8" max="8" width="15" style="28" customWidth="1"/>
    <col min="9" max="9" width="15.140625" style="28" customWidth="1"/>
    <col min="10" max="10" width="17.42578125" style="28" customWidth="1"/>
    <col min="11" max="11" width="19.140625" style="28" customWidth="1"/>
    <col min="12" max="12" width="4.85546875" style="28" customWidth="1"/>
    <col min="13" max="13" width="19.140625" style="28" customWidth="1"/>
    <col min="14" max="14" width="16.140625" style="28" customWidth="1"/>
    <col min="15" max="15" width="17.140625" style="28" customWidth="1"/>
    <col min="16" max="16" width="14.85546875" style="28" customWidth="1"/>
    <col min="17" max="17" width="17.7109375" style="28" customWidth="1"/>
    <col min="18" max="18" width="17.140625" style="28" customWidth="1"/>
    <col min="19" max="19" width="17.42578125" style="28" customWidth="1"/>
    <col min="20" max="20" width="5" style="28" customWidth="1"/>
    <col min="21" max="21" width="19.85546875" style="28" bestFit="1" customWidth="1"/>
    <col min="22" max="22" width="52.140625" style="28" bestFit="1" customWidth="1"/>
    <col min="23" max="23" width="18.28515625" style="28" customWidth="1"/>
    <col min="24" max="24" width="5.7109375" style="28" customWidth="1"/>
    <col min="25" max="25" width="11.42578125" style="28" customWidth="1"/>
    <col min="26" max="31" width="14.28515625" style="28" customWidth="1"/>
    <col min="32" max="32" width="11.28515625" style="28" customWidth="1"/>
    <col min="33" max="38" width="14.28515625" style="28" customWidth="1"/>
    <col min="39" max="39" width="11.42578125" style="28"/>
    <col min="40" max="45" width="14.28515625" style="28" customWidth="1"/>
    <col min="46" max="16384" width="11.42578125" style="28"/>
  </cols>
  <sheetData>
    <row r="1" spans="1:242" s="6" customFormat="1" x14ac:dyDescent="0.2">
      <c r="C1" s="7"/>
      <c r="D1" s="7"/>
      <c r="E1" s="44" t="s">
        <v>201</v>
      </c>
      <c r="F1" s="44"/>
      <c r="G1" s="44"/>
      <c r="H1" s="44"/>
      <c r="I1" s="44"/>
      <c r="J1" s="7"/>
      <c r="K1" s="7"/>
      <c r="L1" s="7"/>
      <c r="IG1" s="4"/>
      <c r="IH1" s="4"/>
    </row>
    <row r="2" spans="1:242" s="6" customFormat="1" x14ac:dyDescent="0.2">
      <c r="E2" s="44" t="s">
        <v>193</v>
      </c>
      <c r="F2" s="44"/>
      <c r="G2" s="44"/>
      <c r="H2" s="44"/>
      <c r="I2" s="44"/>
      <c r="IG2" s="4"/>
      <c r="IH2" s="4"/>
    </row>
    <row r="3" spans="1:242" s="6" customFormat="1" x14ac:dyDescent="0.2">
      <c r="B3" s="23"/>
      <c r="C3" s="7"/>
      <c r="D3" s="7"/>
      <c r="E3" s="7"/>
      <c r="F3" s="7"/>
      <c r="G3" s="7"/>
      <c r="H3" s="7"/>
      <c r="I3" s="7"/>
      <c r="J3" s="7"/>
      <c r="K3" s="7"/>
      <c r="L3" s="7"/>
      <c r="M3" s="7"/>
      <c r="N3" s="7"/>
      <c r="O3" s="7"/>
      <c r="P3" s="7"/>
      <c r="Q3" s="7"/>
      <c r="HX3" s="4"/>
      <c r="HY3" s="4"/>
      <c r="HZ3" s="4"/>
      <c r="IA3" s="4"/>
      <c r="IB3" s="4"/>
      <c r="IC3" s="4"/>
    </row>
    <row r="4" spans="1:242" s="6" customFormat="1" ht="18.75" customHeight="1" x14ac:dyDescent="0.2">
      <c r="B4" s="23"/>
      <c r="D4" s="705" t="s">
        <v>0</v>
      </c>
      <c r="E4" s="765" t="str">
        <f>+'B) Reajuste Tarifas y Ocupación'!F5</f>
        <v xml:space="preserve">BIENMAG </v>
      </c>
      <c r="F4" s="58"/>
      <c r="G4" s="59"/>
      <c r="H4" s="59"/>
      <c r="I4" s="59"/>
      <c r="J4" s="59"/>
      <c r="O4" s="3"/>
      <c r="HX4" s="4"/>
      <c r="HY4" s="4"/>
      <c r="HZ4" s="4"/>
      <c r="IA4" s="4"/>
      <c r="IB4" s="4"/>
      <c r="IC4" s="4"/>
    </row>
    <row r="5" spans="1:242" s="6" customFormat="1" x14ac:dyDescent="0.2">
      <c r="B5" s="23"/>
      <c r="D5" s="708"/>
      <c r="E5" s="710"/>
      <c r="F5" s="710"/>
      <c r="G5" s="710"/>
      <c r="H5" s="710"/>
      <c r="I5" s="710"/>
      <c r="J5" s="710"/>
      <c r="O5" s="3"/>
      <c r="HX5" s="4"/>
      <c r="HY5" s="4"/>
      <c r="HZ5" s="4"/>
      <c r="IA5" s="4"/>
      <c r="IB5" s="4"/>
      <c r="IC5" s="4"/>
    </row>
    <row r="6" spans="1:242" s="6" customFormat="1" ht="13.5" thickBot="1" x14ac:dyDescent="0.25">
      <c r="B6" s="23"/>
      <c r="D6" s="708"/>
      <c r="E6" s="710"/>
      <c r="F6" s="710"/>
      <c r="G6" s="710"/>
      <c r="H6" s="710"/>
      <c r="I6" s="710"/>
      <c r="J6" s="710"/>
      <c r="O6" s="3"/>
      <c r="HX6" s="4"/>
      <c r="HY6" s="4"/>
      <c r="HZ6" s="4"/>
      <c r="IA6" s="4"/>
      <c r="IB6" s="4"/>
      <c r="IC6" s="4"/>
    </row>
    <row r="7" spans="1:242" x14ac:dyDescent="0.2">
      <c r="B7" s="26"/>
      <c r="C7" s="26"/>
      <c r="D7" s="26"/>
      <c r="E7" s="26"/>
      <c r="F7" s="26"/>
      <c r="G7" s="26"/>
      <c r="H7" s="26"/>
      <c r="I7" s="26"/>
      <c r="J7" s="37"/>
      <c r="K7" s="37"/>
      <c r="L7" s="37"/>
      <c r="M7" s="37"/>
      <c r="N7" s="37"/>
      <c r="O7" s="37"/>
      <c r="P7" s="37"/>
      <c r="Q7" s="37"/>
      <c r="R7" s="37"/>
      <c r="Y7" s="161"/>
      <c r="Z7" s="162"/>
      <c r="AA7" s="162"/>
      <c r="AB7" s="162"/>
      <c r="AC7" s="162"/>
      <c r="AD7" s="162"/>
      <c r="AE7" s="162"/>
      <c r="AF7" s="162"/>
      <c r="AG7" s="162"/>
      <c r="AH7" s="162"/>
      <c r="AI7" s="162"/>
      <c r="AJ7" s="162"/>
      <c r="AK7" s="162"/>
      <c r="AL7" s="162"/>
      <c r="AM7" s="162"/>
      <c r="AN7" s="162"/>
      <c r="AO7" s="162"/>
      <c r="AP7" s="162"/>
      <c r="AQ7" s="162"/>
      <c r="AR7" s="162"/>
      <c r="AS7" s="162"/>
      <c r="AT7" s="163"/>
    </row>
    <row r="8" spans="1:242" x14ac:dyDescent="0.2">
      <c r="B8" s="26"/>
      <c r="C8" s="26"/>
      <c r="D8" s="26"/>
      <c r="E8" s="26"/>
      <c r="F8" s="26"/>
      <c r="G8" s="26"/>
      <c r="H8" s="26"/>
      <c r="I8" s="26"/>
      <c r="J8" s="37"/>
      <c r="K8" s="37"/>
      <c r="L8" s="37"/>
      <c r="M8" s="37"/>
      <c r="N8" s="37"/>
      <c r="O8" s="37"/>
      <c r="P8" s="37"/>
      <c r="Q8" s="37"/>
      <c r="R8" s="37"/>
      <c r="Y8" s="164"/>
      <c r="Z8" s="39"/>
      <c r="AA8" s="39"/>
      <c r="AB8" s="39"/>
      <c r="AC8" s="39"/>
      <c r="AD8" s="39"/>
      <c r="AE8" s="39"/>
      <c r="AF8" s="39"/>
      <c r="AG8" s="39"/>
      <c r="AH8" s="39"/>
      <c r="AI8" s="39"/>
      <c r="AJ8" s="39"/>
      <c r="AK8" s="39"/>
      <c r="AL8" s="39"/>
      <c r="AM8" s="39"/>
      <c r="AN8" s="39"/>
      <c r="AO8" s="39"/>
      <c r="AP8" s="39"/>
      <c r="AQ8" s="39"/>
      <c r="AR8" s="39"/>
      <c r="AS8" s="39"/>
      <c r="AT8" s="165"/>
    </row>
    <row r="9" spans="1:242" ht="15.75" customHeight="1" x14ac:dyDescent="0.2">
      <c r="A9" s="929" t="s">
        <v>150</v>
      </c>
      <c r="B9" s="929"/>
      <c r="C9" s="929"/>
      <c r="D9" s="929"/>
      <c r="E9" s="929"/>
      <c r="F9" s="929"/>
      <c r="G9" s="929"/>
      <c r="H9" s="929"/>
      <c r="I9" s="711"/>
      <c r="J9" s="711"/>
      <c r="K9" s="711"/>
      <c r="L9" s="711"/>
      <c r="M9" s="897" t="s">
        <v>151</v>
      </c>
      <c r="N9" s="897"/>
      <c r="O9" s="897"/>
      <c r="P9" s="897"/>
      <c r="Q9" s="897"/>
      <c r="R9" s="897"/>
      <c r="S9" s="897"/>
      <c r="U9" s="897" t="s">
        <v>152</v>
      </c>
      <c r="V9" s="897"/>
      <c r="W9" s="897"/>
      <c r="X9" s="117"/>
      <c r="Y9" s="166"/>
      <c r="Z9" s="897" t="s">
        <v>205</v>
      </c>
      <c r="AA9" s="897"/>
      <c r="AB9" s="897"/>
      <c r="AC9" s="897"/>
      <c r="AD9" s="897"/>
      <c r="AE9" s="897"/>
      <c r="AF9" s="117"/>
      <c r="AG9" s="897" t="s">
        <v>154</v>
      </c>
      <c r="AH9" s="897"/>
      <c r="AI9" s="897"/>
      <c r="AJ9" s="897"/>
      <c r="AK9" s="897"/>
      <c r="AL9" s="897"/>
      <c r="AM9" s="39"/>
      <c r="AN9" s="897" t="s">
        <v>155</v>
      </c>
      <c r="AO9" s="897"/>
      <c r="AP9" s="897"/>
      <c r="AQ9" s="897"/>
      <c r="AR9" s="897"/>
      <c r="AS9" s="897"/>
      <c r="AT9" s="165"/>
    </row>
    <row r="10" spans="1:242" ht="13.5" customHeight="1" x14ac:dyDescent="0.2">
      <c r="B10" s="23"/>
      <c r="C10" s="708"/>
      <c r="D10" s="708"/>
      <c r="E10" s="710"/>
      <c r="F10" s="710"/>
      <c r="G10" s="710"/>
      <c r="H10" s="710"/>
      <c r="I10" s="710"/>
      <c r="J10" s="710"/>
      <c r="M10" s="897"/>
      <c r="N10" s="897"/>
      <c r="O10" s="897"/>
      <c r="P10" s="897"/>
      <c r="Q10" s="897"/>
      <c r="R10" s="897"/>
      <c r="S10" s="897"/>
      <c r="U10" s="897"/>
      <c r="V10" s="897"/>
      <c r="W10" s="897"/>
      <c r="Y10" s="164"/>
      <c r="Z10" s="897"/>
      <c r="AA10" s="897"/>
      <c r="AB10" s="897"/>
      <c r="AC10" s="897"/>
      <c r="AD10" s="897"/>
      <c r="AE10" s="897"/>
      <c r="AF10" s="39"/>
      <c r="AG10" s="897"/>
      <c r="AH10" s="897"/>
      <c r="AI10" s="897"/>
      <c r="AJ10" s="897"/>
      <c r="AK10" s="897"/>
      <c r="AL10" s="897"/>
      <c r="AM10" s="39"/>
      <c r="AN10" s="897"/>
      <c r="AO10" s="897"/>
      <c r="AP10" s="897"/>
      <c r="AQ10" s="897"/>
      <c r="AR10" s="897"/>
      <c r="AS10" s="897"/>
      <c r="AT10" s="165"/>
    </row>
    <row r="11" spans="1:242" x14ac:dyDescent="0.2">
      <c r="J11" s="62" t="s">
        <v>4</v>
      </c>
      <c r="K11" s="61">
        <v>7.1999999999999995E-2</v>
      </c>
      <c r="Y11" s="164"/>
      <c r="Z11" s="39"/>
      <c r="AA11" s="39"/>
      <c r="AB11" s="39"/>
      <c r="AC11" s="39"/>
      <c r="AD11" s="39"/>
      <c r="AE11" s="39"/>
      <c r="AF11" s="39"/>
      <c r="AG11" s="39"/>
      <c r="AH11" s="39"/>
      <c r="AI11" s="39"/>
      <c r="AJ11" s="39"/>
      <c r="AK11" s="39"/>
      <c r="AL11" s="39"/>
      <c r="AM11" s="39"/>
      <c r="AN11" s="39"/>
      <c r="AO11" s="39"/>
      <c r="AP11" s="39"/>
      <c r="AQ11" s="39"/>
      <c r="AR11" s="39"/>
      <c r="AS11" s="39"/>
      <c r="AT11" s="165"/>
    </row>
    <row r="12" spans="1:242" ht="12.75" customHeight="1" thickBot="1" x14ac:dyDescent="0.25">
      <c r="K12" s="39"/>
      <c r="L12" s="39"/>
      <c r="M12" s="950"/>
      <c r="N12" s="950"/>
      <c r="O12" s="950"/>
      <c r="P12" s="950"/>
      <c r="Q12" s="950"/>
      <c r="R12" s="950"/>
      <c r="Y12" s="164"/>
      <c r="Z12" s="39"/>
      <c r="AA12" s="39"/>
      <c r="AB12" s="39"/>
      <c r="AC12" s="39"/>
      <c r="AD12" s="39"/>
      <c r="AE12" s="39"/>
      <c r="AF12" s="39"/>
      <c r="AG12" s="39"/>
      <c r="AH12" s="39"/>
      <c r="AI12" s="39"/>
      <c r="AJ12" s="39"/>
      <c r="AK12" s="39"/>
      <c r="AL12" s="39"/>
      <c r="AM12" s="39"/>
      <c r="AN12" s="39"/>
      <c r="AO12" s="39"/>
      <c r="AP12" s="39"/>
      <c r="AQ12" s="39"/>
      <c r="AR12" s="39"/>
      <c r="AS12" s="39"/>
      <c r="AT12" s="165"/>
    </row>
    <row r="13" spans="1:242" ht="21.75" customHeight="1" x14ac:dyDescent="0.2">
      <c r="A13" s="939" t="s">
        <v>119</v>
      </c>
      <c r="B13" s="940"/>
      <c r="C13" s="943" t="s">
        <v>73</v>
      </c>
      <c r="D13" s="943" t="s">
        <v>74</v>
      </c>
      <c r="E13" s="945" t="s">
        <v>3</v>
      </c>
      <c r="F13" s="945" t="s">
        <v>82</v>
      </c>
      <c r="G13" s="947" t="s">
        <v>232</v>
      </c>
      <c r="H13" s="948"/>
      <c r="I13" s="948"/>
      <c r="J13" s="949"/>
      <c r="K13" s="934" t="s">
        <v>234</v>
      </c>
      <c r="L13" s="37"/>
      <c r="M13" s="911" t="s">
        <v>69</v>
      </c>
      <c r="N13" s="936"/>
      <c r="O13" s="899" t="s">
        <v>70</v>
      </c>
      <c r="P13" s="900"/>
      <c r="Q13" s="937" t="s">
        <v>71</v>
      </c>
      <c r="R13" s="938"/>
      <c r="S13" s="895" t="s">
        <v>141</v>
      </c>
      <c r="U13" s="930" t="s">
        <v>76</v>
      </c>
      <c r="V13" s="932" t="s">
        <v>77</v>
      </c>
      <c r="W13" s="898" t="s">
        <v>236</v>
      </c>
      <c r="Y13" s="164"/>
      <c r="Z13" s="905" t="s">
        <v>69</v>
      </c>
      <c r="AA13" s="906"/>
      <c r="AB13" s="907" t="s">
        <v>70</v>
      </c>
      <c r="AC13" s="908"/>
      <c r="AD13" s="909" t="s">
        <v>71</v>
      </c>
      <c r="AE13" s="910"/>
      <c r="AF13" s="39"/>
      <c r="AG13" s="911" t="s">
        <v>69</v>
      </c>
      <c r="AH13" s="912"/>
      <c r="AI13" s="899" t="s">
        <v>70</v>
      </c>
      <c r="AJ13" s="900"/>
      <c r="AK13" s="901" t="s">
        <v>71</v>
      </c>
      <c r="AL13" s="902"/>
      <c r="AM13" s="39"/>
      <c r="AN13" s="911" t="s">
        <v>69</v>
      </c>
      <c r="AO13" s="912"/>
      <c r="AP13" s="899" t="s">
        <v>70</v>
      </c>
      <c r="AQ13" s="900"/>
      <c r="AR13" s="901" t="s">
        <v>71</v>
      </c>
      <c r="AS13" s="902"/>
      <c r="AT13" s="165"/>
    </row>
    <row r="14" spans="1:242" s="39" customFormat="1" ht="39" thickBot="1" x14ac:dyDescent="0.25">
      <c r="A14" s="941"/>
      <c r="B14" s="942"/>
      <c r="C14" s="944"/>
      <c r="D14" s="944"/>
      <c r="E14" s="946"/>
      <c r="F14" s="946"/>
      <c r="G14" s="102" t="s">
        <v>211</v>
      </c>
      <c r="H14" s="102" t="s">
        <v>117</v>
      </c>
      <c r="I14" s="103" t="s">
        <v>118</v>
      </c>
      <c r="J14" s="104" t="s">
        <v>233</v>
      </c>
      <c r="K14" s="935"/>
      <c r="L14" s="37"/>
      <c r="M14" s="145" t="s">
        <v>36</v>
      </c>
      <c r="N14" s="147" t="s">
        <v>37</v>
      </c>
      <c r="O14" s="155" t="s">
        <v>36</v>
      </c>
      <c r="P14" s="156" t="s">
        <v>37</v>
      </c>
      <c r="Q14" s="148" t="s">
        <v>36</v>
      </c>
      <c r="R14" s="567" t="s">
        <v>37</v>
      </c>
      <c r="S14" s="896"/>
      <c r="U14" s="931"/>
      <c r="V14" s="933"/>
      <c r="W14" s="898"/>
      <c r="Y14" s="164"/>
      <c r="Z14" s="145" t="s">
        <v>36</v>
      </c>
      <c r="AA14" s="147" t="s">
        <v>37</v>
      </c>
      <c r="AB14" s="155" t="s">
        <v>36</v>
      </c>
      <c r="AC14" s="156" t="s">
        <v>37</v>
      </c>
      <c r="AD14" s="148" t="s">
        <v>36</v>
      </c>
      <c r="AE14" s="146" t="s">
        <v>37</v>
      </c>
      <c r="AG14" s="167" t="s">
        <v>36</v>
      </c>
      <c r="AH14" s="168" t="s">
        <v>37</v>
      </c>
      <c r="AI14" s="169" t="s">
        <v>36</v>
      </c>
      <c r="AJ14" s="170" t="s">
        <v>37</v>
      </c>
      <c r="AK14" s="171" t="s">
        <v>36</v>
      </c>
      <c r="AL14" s="172" t="s">
        <v>37</v>
      </c>
      <c r="AN14" s="903" t="s">
        <v>142</v>
      </c>
      <c r="AO14" s="904"/>
      <c r="AP14" s="888" t="s">
        <v>142</v>
      </c>
      <c r="AQ14" s="889"/>
      <c r="AR14" s="890" t="s">
        <v>143</v>
      </c>
      <c r="AS14" s="891"/>
      <c r="AT14" s="165"/>
    </row>
    <row r="15" spans="1:242" s="39" customFormat="1" ht="12.75" customHeight="1" thickBot="1" x14ac:dyDescent="0.25">
      <c r="A15" s="919" t="s">
        <v>138</v>
      </c>
      <c r="B15" s="922" t="s">
        <v>94</v>
      </c>
      <c r="C15" s="374" t="s">
        <v>291</v>
      </c>
      <c r="D15" s="375" t="s">
        <v>284</v>
      </c>
      <c r="E15" s="376" t="s">
        <v>292</v>
      </c>
      <c r="F15" s="377" t="s">
        <v>221</v>
      </c>
      <c r="G15" s="633">
        <v>7792836</v>
      </c>
      <c r="H15" s="673">
        <v>226548</v>
      </c>
      <c r="I15" s="673">
        <v>133310</v>
      </c>
      <c r="J15" s="688">
        <f>SUM(G15:I15)</f>
        <v>8152694</v>
      </c>
      <c r="K15" s="100">
        <f t="shared" ref="K15:K69" si="0">+J15*(1+$K$11)</f>
        <v>8739687.9680000003</v>
      </c>
      <c r="L15" s="37"/>
      <c r="M15" s="616">
        <v>0.73</v>
      </c>
      <c r="N15" s="141">
        <f t="shared" ref="N15:N61" si="1">+$K15*M15</f>
        <v>6379972.2166400002</v>
      </c>
      <c r="O15" s="616">
        <v>0.14000000000000001</v>
      </c>
      <c r="P15" s="152">
        <f t="shared" ref="P15:P61" si="2">+$K15*O15</f>
        <v>1223556.3155200002</v>
      </c>
      <c r="Q15" s="618">
        <v>0.13</v>
      </c>
      <c r="R15" s="568">
        <f t="shared" ref="R15:R61" si="3">+$K15*Q15</f>
        <v>1136159.4358400002</v>
      </c>
      <c r="S15" s="571">
        <f>+M15+O15+Q15</f>
        <v>1</v>
      </c>
      <c r="U15" s="121"/>
      <c r="V15" s="118" t="s">
        <v>11</v>
      </c>
      <c r="W15" s="124">
        <f>SUM(W16,W20)</f>
        <v>2486057</v>
      </c>
      <c r="X15" s="693"/>
      <c r="Y15" s="694"/>
      <c r="Z15" s="157">
        <f t="shared" ref="Z15:AE15" si="4">+M62</f>
        <v>0.48537253642447464</v>
      </c>
      <c r="AA15" s="159">
        <f t="shared" si="4"/>
        <v>54456188.090240002</v>
      </c>
      <c r="AB15" s="157">
        <f t="shared" si="4"/>
        <v>0.15795262635487181</v>
      </c>
      <c r="AC15" s="160">
        <f t="shared" si="4"/>
        <v>17721435.154720001</v>
      </c>
      <c r="AD15" s="158">
        <f t="shared" si="4"/>
        <v>0.16060402241707225</v>
      </c>
      <c r="AE15" s="160">
        <f t="shared" si="4"/>
        <v>18018907.5328</v>
      </c>
      <c r="AG15" s="177">
        <f>+Z15</f>
        <v>0.48537253642447464</v>
      </c>
      <c r="AH15" s="173">
        <f>+AG15*W80</f>
        <v>9313783.0229794495</v>
      </c>
      <c r="AI15" s="178">
        <f>+AB15</f>
        <v>0.15795262635487181</v>
      </c>
      <c r="AJ15" s="173">
        <f>+AI15*W80</f>
        <v>3030942.9961081748</v>
      </c>
      <c r="AK15" s="179">
        <f>+AD15</f>
        <v>0.16060402241707225</v>
      </c>
      <c r="AL15" s="174">
        <f>+AK15*W80</f>
        <v>3081820.468107787</v>
      </c>
      <c r="AN15" s="886">
        <f>+AH15+AA15</f>
        <v>63769971.113219455</v>
      </c>
      <c r="AO15" s="887"/>
      <c r="AP15" s="886">
        <f>+AJ15+AC15+K70</f>
        <v>20752378.150828175</v>
      </c>
      <c r="AQ15" s="887"/>
      <c r="AR15" s="886">
        <f>+AL15+AE15</f>
        <v>21100728.000907786</v>
      </c>
      <c r="AS15" s="892"/>
      <c r="AT15" s="165"/>
    </row>
    <row r="16" spans="1:242" s="39" customFormat="1" x14ac:dyDescent="0.2">
      <c r="A16" s="920"/>
      <c r="B16" s="923"/>
      <c r="C16" s="576" t="s">
        <v>293</v>
      </c>
      <c r="D16" s="379" t="s">
        <v>294</v>
      </c>
      <c r="E16" s="380" t="s">
        <v>295</v>
      </c>
      <c r="F16" s="381"/>
      <c r="G16" s="634">
        <v>9723540</v>
      </c>
      <c r="H16" s="673">
        <v>226548</v>
      </c>
      <c r="I16" s="673">
        <v>133310</v>
      </c>
      <c r="J16" s="689">
        <f t="shared" ref="J16:J69" si="5">SUM(G16:I16)</f>
        <v>10083398</v>
      </c>
      <c r="K16" s="101">
        <f t="shared" si="0"/>
        <v>10809402.656000001</v>
      </c>
      <c r="L16" s="37"/>
      <c r="M16" s="617">
        <v>0.47</v>
      </c>
      <c r="N16" s="142">
        <f t="shared" si="1"/>
        <v>5080419.2483200002</v>
      </c>
      <c r="O16" s="617">
        <v>0.35</v>
      </c>
      <c r="P16" s="140">
        <f t="shared" si="2"/>
        <v>3783290.9296000004</v>
      </c>
      <c r="Q16" s="619">
        <v>0.18</v>
      </c>
      <c r="R16" s="569">
        <f t="shared" si="3"/>
        <v>1945692.4780800003</v>
      </c>
      <c r="S16" s="572">
        <f t="shared" ref="S16:S61" si="6">+M16+O16+Q16</f>
        <v>1</v>
      </c>
      <c r="U16" s="122"/>
      <c r="V16" s="119" t="s">
        <v>12</v>
      </c>
      <c r="W16" s="125">
        <f>SUM(W17:W19)</f>
        <v>-30411743</v>
      </c>
      <c r="X16" s="693"/>
      <c r="Y16" s="694"/>
      <c r="AT16" s="165"/>
    </row>
    <row r="17" spans="1:46" s="39" customFormat="1" ht="12.75" customHeight="1" x14ac:dyDescent="0.2">
      <c r="A17" s="920"/>
      <c r="B17" s="923"/>
      <c r="C17" s="576" t="s">
        <v>296</v>
      </c>
      <c r="D17" s="379" t="s">
        <v>297</v>
      </c>
      <c r="E17" s="380" t="s">
        <v>298</v>
      </c>
      <c r="F17" s="381"/>
      <c r="G17" s="634">
        <v>6466284</v>
      </c>
      <c r="H17" s="673">
        <v>226548</v>
      </c>
      <c r="I17" s="673">
        <v>133310</v>
      </c>
      <c r="J17" s="689">
        <f t="shared" si="5"/>
        <v>6826142</v>
      </c>
      <c r="K17" s="101">
        <f t="shared" si="0"/>
        <v>7317624.2240000004</v>
      </c>
      <c r="L17" s="37"/>
      <c r="M17" s="617">
        <v>0.52</v>
      </c>
      <c r="N17" s="142">
        <f t="shared" si="1"/>
        <v>3805164.5964800003</v>
      </c>
      <c r="O17" s="617">
        <v>0.24</v>
      </c>
      <c r="P17" s="140">
        <f t="shared" si="2"/>
        <v>1756229.81376</v>
      </c>
      <c r="Q17" s="619">
        <v>0.24</v>
      </c>
      <c r="R17" s="569">
        <f t="shared" si="3"/>
        <v>1756229.81376</v>
      </c>
      <c r="S17" s="572">
        <f t="shared" si="6"/>
        <v>1</v>
      </c>
      <c r="U17" s="123">
        <v>53103050000000</v>
      </c>
      <c r="V17" s="120" t="s">
        <v>13</v>
      </c>
      <c r="W17" s="126">
        <v>-35000000</v>
      </c>
      <c r="X17" s="39" t="s">
        <v>403</v>
      </c>
      <c r="Y17" s="694"/>
      <c r="AT17" s="165"/>
    </row>
    <row r="18" spans="1:46" s="39" customFormat="1" ht="13.5" customHeight="1" thickBot="1" x14ac:dyDescent="0.25">
      <c r="A18" s="920"/>
      <c r="B18" s="923"/>
      <c r="C18" s="576"/>
      <c r="D18" s="379"/>
      <c r="E18" s="380"/>
      <c r="F18" s="381"/>
      <c r="G18" s="634"/>
      <c r="H18" s="673"/>
      <c r="I18" s="673"/>
      <c r="J18" s="689">
        <f t="shared" si="5"/>
        <v>0</v>
      </c>
      <c r="K18" s="101">
        <f t="shared" si="0"/>
        <v>0</v>
      </c>
      <c r="L18" s="37"/>
      <c r="M18" s="617">
        <v>0.72</v>
      </c>
      <c r="N18" s="142">
        <f t="shared" si="1"/>
        <v>0</v>
      </c>
      <c r="O18" s="617">
        <v>0.14000000000000001</v>
      </c>
      <c r="P18" s="140">
        <f t="shared" si="2"/>
        <v>0</v>
      </c>
      <c r="Q18" s="619">
        <v>0.14000000000000001</v>
      </c>
      <c r="R18" s="569">
        <f t="shared" si="3"/>
        <v>0</v>
      </c>
      <c r="S18" s="572">
        <f t="shared" si="6"/>
        <v>1</v>
      </c>
      <c r="U18" s="123">
        <v>53103060000000</v>
      </c>
      <c r="V18" s="120" t="s">
        <v>14</v>
      </c>
      <c r="W18" s="126">
        <v>0</v>
      </c>
      <c r="X18" s="693"/>
      <c r="Y18" s="695"/>
      <c r="Z18" s="175"/>
      <c r="AA18" s="175"/>
      <c r="AB18" s="175"/>
      <c r="AC18" s="175"/>
      <c r="AD18" s="175"/>
      <c r="AE18" s="175"/>
      <c r="AF18" s="175"/>
      <c r="AG18" s="175"/>
      <c r="AH18" s="175"/>
      <c r="AI18" s="175"/>
      <c r="AJ18" s="175"/>
      <c r="AK18" s="175"/>
      <c r="AL18" s="175"/>
      <c r="AM18" s="175"/>
      <c r="AN18" s="175"/>
      <c r="AO18" s="175"/>
      <c r="AP18" s="175"/>
      <c r="AQ18" s="175"/>
      <c r="AR18" s="175"/>
      <c r="AS18" s="175"/>
      <c r="AT18" s="176"/>
    </row>
    <row r="19" spans="1:46" s="39" customFormat="1" x14ac:dyDescent="0.2">
      <c r="A19" s="920"/>
      <c r="B19" s="923"/>
      <c r="C19" s="576" t="s">
        <v>299</v>
      </c>
      <c r="D19" s="379" t="s">
        <v>300</v>
      </c>
      <c r="E19" s="380" t="s">
        <v>301</v>
      </c>
      <c r="F19" s="381"/>
      <c r="G19" s="634">
        <v>7489428</v>
      </c>
      <c r="H19" s="673">
        <v>226548</v>
      </c>
      <c r="I19" s="673">
        <v>133310</v>
      </c>
      <c r="J19" s="689">
        <f t="shared" si="5"/>
        <v>7849286</v>
      </c>
      <c r="K19" s="101">
        <f t="shared" si="0"/>
        <v>8414434.5920000002</v>
      </c>
      <c r="L19" s="37"/>
      <c r="M19" s="617">
        <v>0.6</v>
      </c>
      <c r="N19" s="142">
        <f t="shared" si="1"/>
        <v>5048660.7551999995</v>
      </c>
      <c r="O19" s="617">
        <v>0.12</v>
      </c>
      <c r="P19" s="140">
        <f t="shared" si="2"/>
        <v>1009732.15104</v>
      </c>
      <c r="Q19" s="619">
        <v>0.28000000000000003</v>
      </c>
      <c r="R19" s="569">
        <f t="shared" si="3"/>
        <v>2356041.6857600003</v>
      </c>
      <c r="S19" s="572">
        <f t="shared" si="6"/>
        <v>1</v>
      </c>
      <c r="U19" s="123">
        <v>53103080010000</v>
      </c>
      <c r="V19" s="120" t="s">
        <v>15</v>
      </c>
      <c r="W19" s="126">
        <f>1500000+1088257+2000000</f>
        <v>4588257</v>
      </c>
      <c r="X19" s="39" t="s">
        <v>406</v>
      </c>
    </row>
    <row r="20" spans="1:46" s="39" customFormat="1" x14ac:dyDescent="0.2">
      <c r="A20" s="920"/>
      <c r="B20" s="923"/>
      <c r="C20" s="576" t="s">
        <v>302</v>
      </c>
      <c r="D20" s="379" t="s">
        <v>303</v>
      </c>
      <c r="E20" s="380" t="s">
        <v>304</v>
      </c>
      <c r="F20" s="381"/>
      <c r="G20" s="634">
        <v>11477472</v>
      </c>
      <c r="H20" s="673">
        <v>226548</v>
      </c>
      <c r="I20" s="673">
        <v>133310</v>
      </c>
      <c r="J20" s="689">
        <f t="shared" si="5"/>
        <v>11837330</v>
      </c>
      <c r="K20" s="101">
        <f t="shared" si="0"/>
        <v>12689617.760000002</v>
      </c>
      <c r="L20" s="37"/>
      <c r="M20" s="617">
        <v>0.61</v>
      </c>
      <c r="N20" s="142">
        <f t="shared" si="1"/>
        <v>7740666.8336000005</v>
      </c>
      <c r="O20" s="617">
        <v>0.08</v>
      </c>
      <c r="P20" s="140">
        <f t="shared" si="2"/>
        <v>1015169.4208000002</v>
      </c>
      <c r="Q20" s="619">
        <v>0.31</v>
      </c>
      <c r="R20" s="569">
        <f t="shared" si="3"/>
        <v>3933781.5056000003</v>
      </c>
      <c r="S20" s="572">
        <f t="shared" si="6"/>
        <v>1</v>
      </c>
      <c r="U20" s="122"/>
      <c r="V20" s="119" t="s">
        <v>16</v>
      </c>
      <c r="W20" s="125">
        <f>SUM(W21:W39)</f>
        <v>32897800</v>
      </c>
    </row>
    <row r="21" spans="1:46" s="39" customFormat="1" x14ac:dyDescent="0.2">
      <c r="A21" s="920"/>
      <c r="B21" s="923"/>
      <c r="C21" s="576" t="s">
        <v>305</v>
      </c>
      <c r="D21" s="379" t="s">
        <v>306</v>
      </c>
      <c r="E21" s="380" t="s">
        <v>307</v>
      </c>
      <c r="F21" s="381"/>
      <c r="G21" s="634">
        <v>7328376</v>
      </c>
      <c r="H21" s="673">
        <v>226548</v>
      </c>
      <c r="I21" s="673">
        <v>133310</v>
      </c>
      <c r="J21" s="689">
        <f t="shared" si="5"/>
        <v>7688234</v>
      </c>
      <c r="K21" s="101">
        <f t="shared" si="0"/>
        <v>8241786.8480000002</v>
      </c>
      <c r="L21" s="37"/>
      <c r="M21" s="617">
        <v>0.77</v>
      </c>
      <c r="N21" s="142">
        <f t="shared" si="1"/>
        <v>6346175.8729600003</v>
      </c>
      <c r="O21" s="617">
        <v>0.115</v>
      </c>
      <c r="P21" s="140">
        <f t="shared" si="2"/>
        <v>947805.48752000008</v>
      </c>
      <c r="Q21" s="619">
        <v>0.11</v>
      </c>
      <c r="R21" s="569">
        <f t="shared" si="3"/>
        <v>906596.55327999999</v>
      </c>
      <c r="S21" s="572">
        <f t="shared" si="6"/>
        <v>0.995</v>
      </c>
      <c r="U21" s="123">
        <v>53201010100000</v>
      </c>
      <c r="V21" s="120" t="s">
        <v>17</v>
      </c>
      <c r="W21" s="126">
        <v>6000000</v>
      </c>
      <c r="X21" s="39" t="s">
        <v>404</v>
      </c>
    </row>
    <row r="22" spans="1:46" s="39" customFormat="1" x14ac:dyDescent="0.2">
      <c r="A22" s="920"/>
      <c r="B22" s="923"/>
      <c r="C22" s="576" t="s">
        <v>308</v>
      </c>
      <c r="D22" s="379" t="s">
        <v>309</v>
      </c>
      <c r="E22" s="380" t="s">
        <v>310</v>
      </c>
      <c r="F22" s="381"/>
      <c r="G22" s="634">
        <v>12838272</v>
      </c>
      <c r="H22" s="673">
        <v>100000</v>
      </c>
      <c r="I22" s="673">
        <v>133310</v>
      </c>
      <c r="J22" s="689">
        <f t="shared" si="5"/>
        <v>13071582</v>
      </c>
      <c r="K22" s="101">
        <f t="shared" si="0"/>
        <v>14012735.904000001</v>
      </c>
      <c r="L22" s="37" t="s">
        <v>368</v>
      </c>
      <c r="M22" s="617">
        <v>0.66</v>
      </c>
      <c r="N22" s="142">
        <f t="shared" si="1"/>
        <v>9248405.6966400016</v>
      </c>
      <c r="O22" s="617">
        <v>0.17</v>
      </c>
      <c r="P22" s="140">
        <f t="shared" si="2"/>
        <v>2382165.1036800002</v>
      </c>
      <c r="Q22" s="619">
        <v>0.17</v>
      </c>
      <c r="R22" s="569">
        <f t="shared" si="3"/>
        <v>2382165.1036800002</v>
      </c>
      <c r="S22" s="572">
        <f t="shared" si="6"/>
        <v>1</v>
      </c>
      <c r="U22" s="123">
        <v>53202010100000</v>
      </c>
      <c r="V22" s="120" t="s">
        <v>18</v>
      </c>
      <c r="W22" s="126"/>
    </row>
    <row r="23" spans="1:46" s="39" customFormat="1" x14ac:dyDescent="0.2">
      <c r="A23" s="920"/>
      <c r="B23" s="923"/>
      <c r="C23" s="69"/>
      <c r="D23" s="96"/>
      <c r="E23" s="97"/>
      <c r="F23" s="98"/>
      <c r="G23" s="625">
        <v>0</v>
      </c>
      <c r="H23" s="634">
        <v>0</v>
      </c>
      <c r="I23" s="634">
        <v>0</v>
      </c>
      <c r="J23" s="689">
        <f t="shared" si="5"/>
        <v>0</v>
      </c>
      <c r="K23" s="101">
        <f t="shared" si="0"/>
        <v>0</v>
      </c>
      <c r="L23" s="37"/>
      <c r="M23" s="139">
        <v>0</v>
      </c>
      <c r="N23" s="142">
        <f t="shared" si="1"/>
        <v>0</v>
      </c>
      <c r="O23" s="139">
        <v>0</v>
      </c>
      <c r="P23" s="140">
        <f t="shared" si="2"/>
        <v>0</v>
      </c>
      <c r="Q23" s="150">
        <v>0</v>
      </c>
      <c r="R23" s="569">
        <f t="shared" si="3"/>
        <v>0</v>
      </c>
      <c r="S23" s="572">
        <f t="shared" si="6"/>
        <v>0</v>
      </c>
      <c r="U23" s="123">
        <v>53203010100000</v>
      </c>
      <c r="V23" s="120" t="s">
        <v>19</v>
      </c>
      <c r="W23" s="126">
        <f>3003000+690000+2127000</f>
        <v>5820000</v>
      </c>
      <c r="X23" s="893" t="s">
        <v>398</v>
      </c>
      <c r="Y23" s="894"/>
    </row>
    <row r="24" spans="1:46" s="39" customFormat="1" ht="13.5" thickBot="1" x14ac:dyDescent="0.25">
      <c r="A24" s="920"/>
      <c r="B24" s="924"/>
      <c r="C24" s="116"/>
      <c r="D24" s="87"/>
      <c r="E24" s="88"/>
      <c r="F24" s="89"/>
      <c r="G24" s="626">
        <v>0</v>
      </c>
      <c r="H24" s="634">
        <v>0</v>
      </c>
      <c r="I24" s="634">
        <v>0</v>
      </c>
      <c r="J24" s="690">
        <f t="shared" si="5"/>
        <v>0</v>
      </c>
      <c r="K24" s="99">
        <f t="shared" si="0"/>
        <v>0</v>
      </c>
      <c r="L24" s="37"/>
      <c r="M24" s="144">
        <v>0</v>
      </c>
      <c r="N24" s="143">
        <f t="shared" si="1"/>
        <v>0</v>
      </c>
      <c r="O24" s="144">
        <v>0</v>
      </c>
      <c r="P24" s="153">
        <f t="shared" si="2"/>
        <v>0</v>
      </c>
      <c r="Q24" s="151">
        <v>0</v>
      </c>
      <c r="R24" s="143">
        <f t="shared" si="3"/>
        <v>0</v>
      </c>
      <c r="S24" s="573">
        <f t="shared" si="6"/>
        <v>0</v>
      </c>
      <c r="U24" s="123">
        <v>53203030000000</v>
      </c>
      <c r="V24" s="120" t="s">
        <v>20</v>
      </c>
      <c r="W24" s="126">
        <v>0</v>
      </c>
      <c r="AJ24" s="41"/>
    </row>
    <row r="25" spans="1:46" s="39" customFormat="1" ht="12.75" customHeight="1" x14ac:dyDescent="0.2">
      <c r="A25" s="920"/>
      <c r="B25" s="922" t="s">
        <v>93</v>
      </c>
      <c r="C25" s="374" t="s">
        <v>311</v>
      </c>
      <c r="D25" s="375" t="s">
        <v>312</v>
      </c>
      <c r="E25" s="376" t="s">
        <v>313</v>
      </c>
      <c r="F25" s="377" t="s">
        <v>221</v>
      </c>
      <c r="G25" s="633">
        <v>18443544</v>
      </c>
      <c r="H25" s="691">
        <v>100000</v>
      </c>
      <c r="I25" s="692">
        <v>124786</v>
      </c>
      <c r="J25" s="108">
        <f t="shared" si="5"/>
        <v>18668330</v>
      </c>
      <c r="K25" s="100">
        <f t="shared" si="0"/>
        <v>20012449.760000002</v>
      </c>
      <c r="L25" s="37" t="s">
        <v>368</v>
      </c>
      <c r="M25" s="616">
        <v>0.54</v>
      </c>
      <c r="N25" s="141">
        <f t="shared" si="1"/>
        <v>10806722.870400002</v>
      </c>
      <c r="O25" s="130">
        <v>0.28000000000000003</v>
      </c>
      <c r="P25" s="152">
        <f t="shared" si="2"/>
        <v>5603485.9328000005</v>
      </c>
      <c r="Q25" s="149">
        <v>0.18</v>
      </c>
      <c r="R25" s="568">
        <f t="shared" si="3"/>
        <v>3602240.9568000003</v>
      </c>
      <c r="S25" s="571">
        <f t="shared" si="6"/>
        <v>1</v>
      </c>
      <c r="U25" s="123">
        <v>53204030000000</v>
      </c>
      <c r="V25" s="120" t="s">
        <v>21</v>
      </c>
      <c r="W25" s="126">
        <v>0</v>
      </c>
      <c r="AG25" s="28"/>
    </row>
    <row r="26" spans="1:46" s="39" customFormat="1" ht="12.75" customHeight="1" x14ac:dyDescent="0.2">
      <c r="A26" s="920"/>
      <c r="B26" s="923"/>
      <c r="C26" s="378"/>
      <c r="D26" s="379"/>
      <c r="E26" s="380"/>
      <c r="F26" s="381"/>
      <c r="G26" s="86">
        <v>0</v>
      </c>
      <c r="H26" s="86">
        <v>0</v>
      </c>
      <c r="I26" s="106">
        <v>0</v>
      </c>
      <c r="J26" s="109">
        <f t="shared" si="5"/>
        <v>0</v>
      </c>
      <c r="K26" s="101">
        <f t="shared" si="0"/>
        <v>0</v>
      </c>
      <c r="L26" s="37"/>
      <c r="M26" s="139">
        <v>0</v>
      </c>
      <c r="N26" s="142">
        <f t="shared" si="1"/>
        <v>0</v>
      </c>
      <c r="O26" s="139">
        <v>0</v>
      </c>
      <c r="P26" s="140">
        <f t="shared" si="2"/>
        <v>0</v>
      </c>
      <c r="Q26" s="150">
        <v>0</v>
      </c>
      <c r="R26" s="569">
        <f t="shared" si="3"/>
        <v>0</v>
      </c>
      <c r="S26" s="572">
        <f t="shared" si="6"/>
        <v>0</v>
      </c>
      <c r="U26" s="123">
        <v>53204100100001</v>
      </c>
      <c r="V26" s="120" t="s">
        <v>22</v>
      </c>
      <c r="W26" s="126">
        <v>1800000</v>
      </c>
      <c r="X26" s="39" t="s">
        <v>405</v>
      </c>
      <c r="AG26" s="28"/>
    </row>
    <row r="27" spans="1:46" s="39" customFormat="1" ht="12.75" customHeight="1" x14ac:dyDescent="0.2">
      <c r="A27" s="920"/>
      <c r="B27" s="923"/>
      <c r="C27" s="378"/>
      <c r="D27" s="379"/>
      <c r="E27" s="380"/>
      <c r="F27" s="381"/>
      <c r="G27" s="86">
        <v>0</v>
      </c>
      <c r="H27" s="86">
        <v>0</v>
      </c>
      <c r="I27" s="106">
        <v>0</v>
      </c>
      <c r="J27" s="109">
        <f t="shared" si="5"/>
        <v>0</v>
      </c>
      <c r="K27" s="101">
        <f t="shared" si="0"/>
        <v>0</v>
      </c>
      <c r="L27" s="37"/>
      <c r="M27" s="139">
        <v>0</v>
      </c>
      <c r="N27" s="142">
        <f t="shared" si="1"/>
        <v>0</v>
      </c>
      <c r="O27" s="139">
        <v>0</v>
      </c>
      <c r="P27" s="140">
        <f t="shared" si="2"/>
        <v>0</v>
      </c>
      <c r="Q27" s="150">
        <v>0</v>
      </c>
      <c r="R27" s="569">
        <f t="shared" si="3"/>
        <v>0</v>
      </c>
      <c r="S27" s="572">
        <f t="shared" si="6"/>
        <v>0</v>
      </c>
      <c r="U27" s="123">
        <v>53204130100000</v>
      </c>
      <c r="V27" s="120" t="s">
        <v>23</v>
      </c>
      <c r="W27" s="126">
        <v>0</v>
      </c>
      <c r="AG27" s="28"/>
    </row>
    <row r="28" spans="1:46" s="39" customFormat="1" ht="12.75" customHeight="1" x14ac:dyDescent="0.2">
      <c r="A28" s="920"/>
      <c r="B28" s="923"/>
      <c r="C28" s="378"/>
      <c r="D28" s="379"/>
      <c r="E28" s="380"/>
      <c r="F28" s="381"/>
      <c r="G28" s="86">
        <v>0</v>
      </c>
      <c r="H28" s="86">
        <v>0</v>
      </c>
      <c r="I28" s="106">
        <v>0</v>
      </c>
      <c r="J28" s="109">
        <f t="shared" si="5"/>
        <v>0</v>
      </c>
      <c r="K28" s="101">
        <f t="shared" si="0"/>
        <v>0</v>
      </c>
      <c r="L28" s="37"/>
      <c r="M28" s="139">
        <v>0</v>
      </c>
      <c r="N28" s="142">
        <f t="shared" si="1"/>
        <v>0</v>
      </c>
      <c r="O28" s="139">
        <v>0</v>
      </c>
      <c r="P28" s="140">
        <f t="shared" si="2"/>
        <v>0</v>
      </c>
      <c r="Q28" s="150">
        <v>0</v>
      </c>
      <c r="R28" s="569">
        <f t="shared" si="3"/>
        <v>0</v>
      </c>
      <c r="S28" s="572">
        <f t="shared" si="6"/>
        <v>0</v>
      </c>
      <c r="U28" s="123">
        <v>53205010100000</v>
      </c>
      <c r="V28" s="120" t="s">
        <v>24</v>
      </c>
      <c r="W28" s="126">
        <v>2200000</v>
      </c>
      <c r="AG28" s="28"/>
    </row>
    <row r="29" spans="1:46" s="39" customFormat="1" ht="12.75" customHeight="1" x14ac:dyDescent="0.2">
      <c r="A29" s="920"/>
      <c r="B29" s="923"/>
      <c r="C29" s="378"/>
      <c r="D29" s="379"/>
      <c r="E29" s="380"/>
      <c r="F29" s="381"/>
      <c r="G29" s="86">
        <v>0</v>
      </c>
      <c r="H29" s="86">
        <v>0</v>
      </c>
      <c r="I29" s="106">
        <v>0</v>
      </c>
      <c r="J29" s="109">
        <f t="shared" si="5"/>
        <v>0</v>
      </c>
      <c r="K29" s="101">
        <f t="shared" si="0"/>
        <v>0</v>
      </c>
      <c r="L29" s="37"/>
      <c r="M29" s="139">
        <v>0</v>
      </c>
      <c r="N29" s="142">
        <f t="shared" si="1"/>
        <v>0</v>
      </c>
      <c r="O29" s="139">
        <v>0</v>
      </c>
      <c r="P29" s="140">
        <f t="shared" si="2"/>
        <v>0</v>
      </c>
      <c r="Q29" s="150">
        <v>0</v>
      </c>
      <c r="R29" s="569">
        <f t="shared" si="3"/>
        <v>0</v>
      </c>
      <c r="S29" s="572">
        <f t="shared" si="6"/>
        <v>0</v>
      </c>
      <c r="U29" s="123">
        <v>53205020100000</v>
      </c>
      <c r="V29" s="120" t="s">
        <v>25</v>
      </c>
      <c r="W29" s="126">
        <v>1500000</v>
      </c>
      <c r="AG29" s="28"/>
    </row>
    <row r="30" spans="1:46" s="39" customFormat="1" ht="12.75" customHeight="1" x14ac:dyDescent="0.2">
      <c r="A30" s="920"/>
      <c r="B30" s="923"/>
      <c r="C30" s="378"/>
      <c r="D30" s="379"/>
      <c r="E30" s="380"/>
      <c r="F30" s="381"/>
      <c r="G30" s="86">
        <v>0</v>
      </c>
      <c r="H30" s="86">
        <v>0</v>
      </c>
      <c r="I30" s="106">
        <v>0</v>
      </c>
      <c r="J30" s="109">
        <f t="shared" si="5"/>
        <v>0</v>
      </c>
      <c r="K30" s="101">
        <f t="shared" si="0"/>
        <v>0</v>
      </c>
      <c r="L30" s="37"/>
      <c r="M30" s="139">
        <v>0</v>
      </c>
      <c r="N30" s="142">
        <f t="shared" si="1"/>
        <v>0</v>
      </c>
      <c r="O30" s="139">
        <v>0</v>
      </c>
      <c r="P30" s="140">
        <f t="shared" si="2"/>
        <v>0</v>
      </c>
      <c r="Q30" s="150">
        <v>0</v>
      </c>
      <c r="R30" s="569">
        <f t="shared" si="3"/>
        <v>0</v>
      </c>
      <c r="S30" s="572">
        <f t="shared" si="6"/>
        <v>0</v>
      </c>
      <c r="U30" s="123">
        <v>53205030100000</v>
      </c>
      <c r="V30" s="120" t="s">
        <v>26</v>
      </c>
      <c r="W30" s="126">
        <v>869000</v>
      </c>
      <c r="AG30" s="28"/>
    </row>
    <row r="31" spans="1:46" s="39" customFormat="1" ht="12.75" customHeight="1" x14ac:dyDescent="0.2">
      <c r="A31" s="920"/>
      <c r="B31" s="923"/>
      <c r="C31" s="378"/>
      <c r="D31" s="379"/>
      <c r="E31" s="380"/>
      <c r="F31" s="381"/>
      <c r="G31" s="86">
        <v>0</v>
      </c>
      <c r="H31" s="86">
        <v>0</v>
      </c>
      <c r="I31" s="106">
        <v>0</v>
      </c>
      <c r="J31" s="109">
        <f t="shared" si="5"/>
        <v>0</v>
      </c>
      <c r="K31" s="101">
        <f t="shared" si="0"/>
        <v>0</v>
      </c>
      <c r="L31" s="37"/>
      <c r="M31" s="139">
        <v>0</v>
      </c>
      <c r="N31" s="142">
        <f t="shared" si="1"/>
        <v>0</v>
      </c>
      <c r="O31" s="139">
        <v>0</v>
      </c>
      <c r="P31" s="140">
        <f t="shared" si="2"/>
        <v>0</v>
      </c>
      <c r="Q31" s="150">
        <v>0</v>
      </c>
      <c r="R31" s="569">
        <f t="shared" si="3"/>
        <v>0</v>
      </c>
      <c r="S31" s="572">
        <f t="shared" si="6"/>
        <v>0</v>
      </c>
      <c r="U31" s="123">
        <v>53205050100000</v>
      </c>
      <c r="V31" s="120" t="s">
        <v>27</v>
      </c>
      <c r="W31" s="126">
        <v>368800</v>
      </c>
      <c r="AG31" s="28"/>
    </row>
    <row r="32" spans="1:46" s="39" customFormat="1" ht="12.75" customHeight="1" x14ac:dyDescent="0.2">
      <c r="A32" s="920"/>
      <c r="B32" s="923"/>
      <c r="C32" s="378"/>
      <c r="D32" s="379"/>
      <c r="E32" s="380"/>
      <c r="F32" s="381"/>
      <c r="G32" s="86">
        <v>0</v>
      </c>
      <c r="H32" s="86">
        <v>0</v>
      </c>
      <c r="I32" s="106">
        <v>0</v>
      </c>
      <c r="J32" s="109">
        <f t="shared" si="5"/>
        <v>0</v>
      </c>
      <c r="K32" s="101">
        <f t="shared" si="0"/>
        <v>0</v>
      </c>
      <c r="L32" s="37"/>
      <c r="M32" s="139">
        <v>0</v>
      </c>
      <c r="N32" s="142">
        <f t="shared" si="1"/>
        <v>0</v>
      </c>
      <c r="O32" s="139">
        <v>0</v>
      </c>
      <c r="P32" s="140">
        <f t="shared" si="2"/>
        <v>0</v>
      </c>
      <c r="Q32" s="150">
        <v>0</v>
      </c>
      <c r="R32" s="569">
        <f t="shared" si="3"/>
        <v>0</v>
      </c>
      <c r="S32" s="572">
        <f t="shared" si="6"/>
        <v>0</v>
      </c>
      <c r="U32" s="123">
        <v>53205060100000</v>
      </c>
      <c r="V32" s="120" t="s">
        <v>28</v>
      </c>
      <c r="W32" s="126">
        <v>500000</v>
      </c>
      <c r="AG32" s="28"/>
    </row>
    <row r="33" spans="1:33" s="39" customFormat="1" ht="12.75" customHeight="1" x14ac:dyDescent="0.2">
      <c r="A33" s="920"/>
      <c r="B33" s="923"/>
      <c r="C33" s="378"/>
      <c r="D33" s="379"/>
      <c r="E33" s="380"/>
      <c r="F33" s="381"/>
      <c r="G33" s="86">
        <v>0</v>
      </c>
      <c r="H33" s="86">
        <v>0</v>
      </c>
      <c r="I33" s="106">
        <v>0</v>
      </c>
      <c r="J33" s="109">
        <f t="shared" si="5"/>
        <v>0</v>
      </c>
      <c r="K33" s="101">
        <f t="shared" si="0"/>
        <v>0</v>
      </c>
      <c r="L33" s="37"/>
      <c r="M33" s="139">
        <v>0</v>
      </c>
      <c r="N33" s="142">
        <f t="shared" si="1"/>
        <v>0</v>
      </c>
      <c r="O33" s="139">
        <v>0</v>
      </c>
      <c r="P33" s="140">
        <f t="shared" si="2"/>
        <v>0</v>
      </c>
      <c r="Q33" s="150">
        <v>0</v>
      </c>
      <c r="R33" s="569">
        <f t="shared" si="3"/>
        <v>0</v>
      </c>
      <c r="S33" s="572">
        <f t="shared" si="6"/>
        <v>0</v>
      </c>
      <c r="U33" s="123">
        <v>53205070100000</v>
      </c>
      <c r="V33" s="120" t="s">
        <v>29</v>
      </c>
      <c r="W33" s="126">
        <v>0</v>
      </c>
      <c r="AG33" s="28"/>
    </row>
    <row r="34" spans="1:33" s="39" customFormat="1" ht="12.75" customHeight="1" thickBot="1" x14ac:dyDescent="0.25">
      <c r="A34" s="920"/>
      <c r="B34" s="924"/>
      <c r="C34" s="382"/>
      <c r="D34" s="181"/>
      <c r="E34" s="383"/>
      <c r="F34" s="384"/>
      <c r="G34" s="90">
        <v>0</v>
      </c>
      <c r="H34" s="90">
        <v>0</v>
      </c>
      <c r="I34" s="107">
        <v>0</v>
      </c>
      <c r="J34" s="110">
        <f t="shared" si="5"/>
        <v>0</v>
      </c>
      <c r="K34" s="99">
        <f t="shared" si="0"/>
        <v>0</v>
      </c>
      <c r="L34" s="37"/>
      <c r="M34" s="144">
        <v>0</v>
      </c>
      <c r="N34" s="143">
        <f t="shared" si="1"/>
        <v>0</v>
      </c>
      <c r="O34" s="144">
        <v>0</v>
      </c>
      <c r="P34" s="153">
        <f t="shared" si="2"/>
        <v>0</v>
      </c>
      <c r="Q34" s="151">
        <v>0</v>
      </c>
      <c r="R34" s="143">
        <f t="shared" si="3"/>
        <v>0</v>
      </c>
      <c r="S34" s="573">
        <f t="shared" si="6"/>
        <v>0</v>
      </c>
      <c r="U34" s="123">
        <v>53208010100000</v>
      </c>
      <c r="V34" s="120" t="s">
        <v>30</v>
      </c>
      <c r="W34" s="697">
        <v>4500000</v>
      </c>
      <c r="X34" s="39" t="s">
        <v>399</v>
      </c>
      <c r="AG34" s="28"/>
    </row>
    <row r="35" spans="1:33" s="39" customFormat="1" ht="12.75" customHeight="1" x14ac:dyDescent="0.2">
      <c r="A35" s="920"/>
      <c r="B35" s="922" t="s">
        <v>92</v>
      </c>
      <c r="C35" s="374"/>
      <c r="D35" s="375"/>
      <c r="E35" s="376"/>
      <c r="F35" s="377"/>
      <c r="G35" s="85">
        <v>0</v>
      </c>
      <c r="H35" s="85">
        <v>0</v>
      </c>
      <c r="I35" s="105">
        <v>0</v>
      </c>
      <c r="J35" s="108">
        <f t="shared" si="5"/>
        <v>0</v>
      </c>
      <c r="K35" s="100">
        <f t="shared" si="0"/>
        <v>0</v>
      </c>
      <c r="L35" s="37"/>
      <c r="M35" s="130">
        <v>0</v>
      </c>
      <c r="N35" s="141">
        <f t="shared" si="1"/>
        <v>0</v>
      </c>
      <c r="O35" s="130">
        <v>0</v>
      </c>
      <c r="P35" s="152">
        <f t="shared" si="2"/>
        <v>0</v>
      </c>
      <c r="Q35" s="149">
        <v>0</v>
      </c>
      <c r="R35" s="568">
        <f t="shared" si="3"/>
        <v>0</v>
      </c>
      <c r="S35" s="571">
        <f t="shared" si="6"/>
        <v>0</v>
      </c>
      <c r="U35" s="123">
        <v>53208070100001</v>
      </c>
      <c r="V35" s="120" t="s">
        <v>31</v>
      </c>
      <c r="W35" s="126">
        <v>940000</v>
      </c>
      <c r="X35" s="39" t="s">
        <v>400</v>
      </c>
      <c r="AG35" s="28"/>
    </row>
    <row r="36" spans="1:33" s="39" customFormat="1" ht="12.75" customHeight="1" x14ac:dyDescent="0.2">
      <c r="A36" s="920"/>
      <c r="B36" s="923"/>
      <c r="C36" s="378"/>
      <c r="D36" s="379"/>
      <c r="E36" s="380"/>
      <c r="F36" s="381"/>
      <c r="G36" s="86">
        <v>0</v>
      </c>
      <c r="H36" s="86">
        <v>0</v>
      </c>
      <c r="I36" s="106">
        <v>0</v>
      </c>
      <c r="J36" s="109">
        <f t="shared" si="5"/>
        <v>0</v>
      </c>
      <c r="K36" s="101">
        <f t="shared" si="0"/>
        <v>0</v>
      </c>
      <c r="L36" s="37"/>
      <c r="M36" s="139">
        <v>0</v>
      </c>
      <c r="N36" s="142">
        <f t="shared" si="1"/>
        <v>0</v>
      </c>
      <c r="O36" s="139">
        <v>0</v>
      </c>
      <c r="P36" s="140">
        <f t="shared" si="2"/>
        <v>0</v>
      </c>
      <c r="Q36" s="150">
        <v>0</v>
      </c>
      <c r="R36" s="569">
        <f t="shared" si="3"/>
        <v>0</v>
      </c>
      <c r="S36" s="572">
        <f t="shared" si="6"/>
        <v>0</v>
      </c>
      <c r="U36" s="123">
        <v>53208100100001</v>
      </c>
      <c r="V36" s="120" t="s">
        <v>131</v>
      </c>
      <c r="W36" s="126">
        <v>0</v>
      </c>
      <c r="AG36" s="28"/>
    </row>
    <row r="37" spans="1:33" s="39" customFormat="1" ht="12.75" customHeight="1" x14ac:dyDescent="0.2">
      <c r="A37" s="920"/>
      <c r="B37" s="923"/>
      <c r="C37" s="378"/>
      <c r="D37" s="379"/>
      <c r="E37" s="380"/>
      <c r="F37" s="381"/>
      <c r="G37" s="86">
        <v>0</v>
      </c>
      <c r="H37" s="86">
        <v>0</v>
      </c>
      <c r="I37" s="106">
        <v>0</v>
      </c>
      <c r="J37" s="109">
        <f t="shared" si="5"/>
        <v>0</v>
      </c>
      <c r="K37" s="101">
        <f t="shared" si="0"/>
        <v>0</v>
      </c>
      <c r="L37" s="37"/>
      <c r="M37" s="139">
        <v>0</v>
      </c>
      <c r="N37" s="142">
        <f t="shared" si="1"/>
        <v>0</v>
      </c>
      <c r="O37" s="139">
        <v>0</v>
      </c>
      <c r="P37" s="140">
        <f t="shared" si="2"/>
        <v>0</v>
      </c>
      <c r="Q37" s="150">
        <v>0</v>
      </c>
      <c r="R37" s="569">
        <f t="shared" si="3"/>
        <v>0</v>
      </c>
      <c r="S37" s="572">
        <f t="shared" si="6"/>
        <v>0</v>
      </c>
      <c r="U37" s="123">
        <v>53211030000000</v>
      </c>
      <c r="V37" s="120" t="s">
        <v>32</v>
      </c>
      <c r="W37" s="126">
        <v>0</v>
      </c>
      <c r="AG37" s="28"/>
    </row>
    <row r="38" spans="1:33" s="39" customFormat="1" ht="12.75" customHeight="1" x14ac:dyDescent="0.2">
      <c r="A38" s="920"/>
      <c r="B38" s="923"/>
      <c r="C38" s="378"/>
      <c r="D38" s="379"/>
      <c r="E38" s="380"/>
      <c r="F38" s="381"/>
      <c r="G38" s="86">
        <v>0</v>
      </c>
      <c r="H38" s="86">
        <v>0</v>
      </c>
      <c r="I38" s="106">
        <v>0</v>
      </c>
      <c r="J38" s="109">
        <f t="shared" si="5"/>
        <v>0</v>
      </c>
      <c r="K38" s="101">
        <f t="shared" si="0"/>
        <v>0</v>
      </c>
      <c r="L38" s="37"/>
      <c r="M38" s="139">
        <v>0</v>
      </c>
      <c r="N38" s="142">
        <f t="shared" si="1"/>
        <v>0</v>
      </c>
      <c r="O38" s="139">
        <v>0</v>
      </c>
      <c r="P38" s="140">
        <f t="shared" si="2"/>
        <v>0</v>
      </c>
      <c r="Q38" s="150">
        <v>0</v>
      </c>
      <c r="R38" s="569">
        <f t="shared" si="3"/>
        <v>0</v>
      </c>
      <c r="S38" s="572">
        <f t="shared" si="6"/>
        <v>0</v>
      </c>
      <c r="U38" s="123">
        <v>53212020100000</v>
      </c>
      <c r="V38" s="120" t="s">
        <v>99</v>
      </c>
      <c r="W38" s="697">
        <v>8400000</v>
      </c>
      <c r="X38" s="884" t="s">
        <v>411</v>
      </c>
      <c r="Y38" s="885"/>
      <c r="Z38" s="885"/>
      <c r="AG38" s="28"/>
    </row>
    <row r="39" spans="1:33" s="39" customFormat="1" ht="12.75" customHeight="1" thickBot="1" x14ac:dyDescent="0.25">
      <c r="A39" s="920"/>
      <c r="B39" s="924"/>
      <c r="C39" s="382"/>
      <c r="D39" s="181"/>
      <c r="E39" s="383"/>
      <c r="F39" s="384"/>
      <c r="G39" s="90">
        <v>0</v>
      </c>
      <c r="H39" s="90">
        <v>0</v>
      </c>
      <c r="I39" s="107">
        <v>0</v>
      </c>
      <c r="J39" s="110">
        <f t="shared" si="5"/>
        <v>0</v>
      </c>
      <c r="K39" s="99">
        <f t="shared" si="0"/>
        <v>0</v>
      </c>
      <c r="L39" s="37"/>
      <c r="M39" s="144">
        <v>0</v>
      </c>
      <c r="N39" s="143">
        <f t="shared" si="1"/>
        <v>0</v>
      </c>
      <c r="O39" s="144">
        <v>0</v>
      </c>
      <c r="P39" s="153">
        <f t="shared" si="2"/>
        <v>0</v>
      </c>
      <c r="Q39" s="151">
        <v>0</v>
      </c>
      <c r="R39" s="143">
        <f t="shared" si="3"/>
        <v>0</v>
      </c>
      <c r="S39" s="573">
        <f t="shared" si="6"/>
        <v>0</v>
      </c>
      <c r="U39" s="123">
        <v>53214020000000</v>
      </c>
      <c r="V39" s="120" t="s">
        <v>33</v>
      </c>
      <c r="W39" s="126">
        <v>0</v>
      </c>
      <c r="X39" s="693"/>
      <c r="Y39" s="693"/>
      <c r="AG39" s="28"/>
    </row>
    <row r="40" spans="1:33" s="39" customFormat="1" ht="12.75" customHeight="1" thickBot="1" x14ac:dyDescent="0.25">
      <c r="A40" s="920"/>
      <c r="B40" s="925" t="s">
        <v>120</v>
      </c>
      <c r="C40" s="388" t="s">
        <v>314</v>
      </c>
      <c r="D40" s="421" t="s">
        <v>315</v>
      </c>
      <c r="E40" s="613" t="s">
        <v>316</v>
      </c>
      <c r="F40" s="614" t="s">
        <v>317</v>
      </c>
      <c r="G40" s="634">
        <v>12278208</v>
      </c>
      <c r="H40" s="673">
        <v>226548</v>
      </c>
      <c r="I40" s="673">
        <v>133310</v>
      </c>
      <c r="J40" s="111">
        <f t="shared" ref="J40:J61" si="7">SUM(G40:I40)</f>
        <v>12638066</v>
      </c>
      <c r="K40" s="113">
        <f t="shared" si="0"/>
        <v>13548006.752</v>
      </c>
      <c r="L40" s="37"/>
      <c r="M40" s="130">
        <v>0</v>
      </c>
      <c r="N40" s="141">
        <f t="shared" si="1"/>
        <v>0</v>
      </c>
      <c r="O40" s="130">
        <v>0</v>
      </c>
      <c r="P40" s="152">
        <f t="shared" si="2"/>
        <v>0</v>
      </c>
      <c r="Q40" s="149">
        <v>0</v>
      </c>
      <c r="R40" s="568">
        <f t="shared" si="3"/>
        <v>0</v>
      </c>
      <c r="S40" s="571">
        <f t="shared" si="6"/>
        <v>0</v>
      </c>
      <c r="U40" s="121"/>
      <c r="V40" s="118" t="s">
        <v>34</v>
      </c>
      <c r="W40" s="124">
        <f>SUM(W41,W46,W49,W60,W70,W78)</f>
        <v>16702880</v>
      </c>
      <c r="AG40" s="28"/>
    </row>
    <row r="41" spans="1:33" s="39" customFormat="1" ht="12.75" customHeight="1" x14ac:dyDescent="0.2">
      <c r="A41" s="920"/>
      <c r="B41" s="926"/>
      <c r="C41" s="615" t="s">
        <v>318</v>
      </c>
      <c r="D41" s="615" t="s">
        <v>319</v>
      </c>
      <c r="E41" s="615" t="s">
        <v>320</v>
      </c>
      <c r="F41" s="614" t="s">
        <v>317</v>
      </c>
      <c r="G41" s="634">
        <v>7490388</v>
      </c>
      <c r="H41" s="673">
        <v>226548</v>
      </c>
      <c r="I41" s="634">
        <v>127164</v>
      </c>
      <c r="J41" s="112">
        <f t="shared" ref="J41:J48" si="8">SUM(G41:I41)</f>
        <v>7844100</v>
      </c>
      <c r="K41" s="114">
        <f t="shared" si="0"/>
        <v>8408875.2000000011</v>
      </c>
      <c r="L41" s="37"/>
      <c r="M41" s="139">
        <v>0</v>
      </c>
      <c r="N41" s="142">
        <f t="shared" si="1"/>
        <v>0</v>
      </c>
      <c r="O41" s="139">
        <v>0</v>
      </c>
      <c r="P41" s="140">
        <f t="shared" si="2"/>
        <v>0</v>
      </c>
      <c r="Q41" s="150">
        <v>0</v>
      </c>
      <c r="R41" s="569">
        <f t="shared" si="3"/>
        <v>0</v>
      </c>
      <c r="S41" s="572">
        <f t="shared" si="6"/>
        <v>0</v>
      </c>
      <c r="U41" s="122"/>
      <c r="V41" s="119" t="s">
        <v>35</v>
      </c>
      <c r="W41" s="125">
        <f>SUM(W42:W45)</f>
        <v>935000</v>
      </c>
      <c r="AG41" s="28"/>
    </row>
    <row r="42" spans="1:33" s="39" customFormat="1" ht="12.75" customHeight="1" x14ac:dyDescent="0.2">
      <c r="A42" s="920"/>
      <c r="B42" s="926"/>
      <c r="C42" s="385"/>
      <c r="D42" s="386"/>
      <c r="E42" s="387"/>
      <c r="F42" s="389"/>
      <c r="G42" s="86">
        <v>0</v>
      </c>
      <c r="H42" s="86">
        <v>0</v>
      </c>
      <c r="I42" s="106">
        <v>0</v>
      </c>
      <c r="J42" s="112">
        <f t="shared" si="8"/>
        <v>0</v>
      </c>
      <c r="K42" s="114">
        <f t="shared" si="0"/>
        <v>0</v>
      </c>
      <c r="L42" s="37"/>
      <c r="M42" s="139">
        <v>0</v>
      </c>
      <c r="N42" s="142">
        <f t="shared" si="1"/>
        <v>0</v>
      </c>
      <c r="O42" s="139">
        <v>0</v>
      </c>
      <c r="P42" s="140">
        <f t="shared" si="2"/>
        <v>0</v>
      </c>
      <c r="Q42" s="150">
        <v>0</v>
      </c>
      <c r="R42" s="569">
        <f t="shared" si="3"/>
        <v>0</v>
      </c>
      <c r="S42" s="572">
        <f t="shared" si="6"/>
        <v>0</v>
      </c>
      <c r="U42" s="123">
        <v>53202020100000</v>
      </c>
      <c r="V42" s="120" t="s">
        <v>39</v>
      </c>
      <c r="W42" s="126">
        <v>345000</v>
      </c>
      <c r="X42" s="39" t="s">
        <v>401</v>
      </c>
      <c r="AG42" s="28"/>
    </row>
    <row r="43" spans="1:33" s="39" customFormat="1" ht="12.75" customHeight="1" x14ac:dyDescent="0.2">
      <c r="A43" s="920"/>
      <c r="B43" s="926"/>
      <c r="C43" s="70"/>
      <c r="D43" s="72"/>
      <c r="E43" s="73"/>
      <c r="F43" s="78"/>
      <c r="G43" s="86">
        <v>0</v>
      </c>
      <c r="H43" s="86">
        <v>0</v>
      </c>
      <c r="I43" s="106">
        <v>0</v>
      </c>
      <c r="J43" s="112">
        <f t="shared" si="8"/>
        <v>0</v>
      </c>
      <c r="K43" s="114">
        <f t="shared" si="0"/>
        <v>0</v>
      </c>
      <c r="L43" s="37"/>
      <c r="M43" s="139">
        <v>0</v>
      </c>
      <c r="N43" s="142">
        <f t="shared" si="1"/>
        <v>0</v>
      </c>
      <c r="O43" s="139">
        <v>0</v>
      </c>
      <c r="P43" s="140">
        <f t="shared" si="2"/>
        <v>0</v>
      </c>
      <c r="Q43" s="150">
        <v>0</v>
      </c>
      <c r="R43" s="569">
        <f t="shared" si="3"/>
        <v>0</v>
      </c>
      <c r="S43" s="572">
        <f t="shared" si="6"/>
        <v>0</v>
      </c>
      <c r="U43" s="123">
        <v>53202030000000</v>
      </c>
      <c r="V43" s="120" t="s">
        <v>40</v>
      </c>
      <c r="W43" s="126">
        <v>590000</v>
      </c>
      <c r="X43" s="39" t="s">
        <v>401</v>
      </c>
      <c r="AG43" s="28"/>
    </row>
    <row r="44" spans="1:33" s="39" customFormat="1" ht="12.75" customHeight="1" x14ac:dyDescent="0.2">
      <c r="A44" s="920"/>
      <c r="B44" s="926"/>
      <c r="C44" s="70"/>
      <c r="D44" s="72"/>
      <c r="E44" s="73"/>
      <c r="F44" s="78"/>
      <c r="G44" s="86">
        <v>0</v>
      </c>
      <c r="H44" s="86">
        <v>0</v>
      </c>
      <c r="I44" s="106">
        <v>0</v>
      </c>
      <c r="J44" s="112">
        <f t="shared" si="8"/>
        <v>0</v>
      </c>
      <c r="K44" s="114">
        <f t="shared" si="0"/>
        <v>0</v>
      </c>
      <c r="L44" s="37"/>
      <c r="M44" s="139">
        <v>0</v>
      </c>
      <c r="N44" s="142">
        <f t="shared" si="1"/>
        <v>0</v>
      </c>
      <c r="O44" s="139">
        <v>0</v>
      </c>
      <c r="P44" s="140">
        <f t="shared" si="2"/>
        <v>0</v>
      </c>
      <c r="Q44" s="150">
        <v>0</v>
      </c>
      <c r="R44" s="569">
        <f t="shared" si="3"/>
        <v>0</v>
      </c>
      <c r="S44" s="572">
        <f t="shared" si="6"/>
        <v>0</v>
      </c>
      <c r="U44" s="123">
        <v>53211020000000</v>
      </c>
      <c r="V44" s="120" t="s">
        <v>41</v>
      </c>
      <c r="W44" s="126">
        <v>0</v>
      </c>
      <c r="AG44" s="28"/>
    </row>
    <row r="45" spans="1:33" s="39" customFormat="1" ht="12.75" customHeight="1" x14ac:dyDescent="0.2">
      <c r="A45" s="920"/>
      <c r="B45" s="926"/>
      <c r="C45" s="70"/>
      <c r="D45" s="72"/>
      <c r="E45" s="73"/>
      <c r="F45" s="78"/>
      <c r="G45" s="86">
        <v>0</v>
      </c>
      <c r="H45" s="86">
        <v>0</v>
      </c>
      <c r="I45" s="106">
        <v>0</v>
      </c>
      <c r="J45" s="112">
        <f t="shared" si="8"/>
        <v>0</v>
      </c>
      <c r="K45" s="114">
        <f t="shared" si="0"/>
        <v>0</v>
      </c>
      <c r="L45" s="37"/>
      <c r="M45" s="139">
        <v>0</v>
      </c>
      <c r="N45" s="142">
        <f t="shared" si="1"/>
        <v>0</v>
      </c>
      <c r="O45" s="139">
        <v>0</v>
      </c>
      <c r="P45" s="140">
        <f t="shared" si="2"/>
        <v>0</v>
      </c>
      <c r="Q45" s="150">
        <v>0</v>
      </c>
      <c r="R45" s="569">
        <f t="shared" si="3"/>
        <v>0</v>
      </c>
      <c r="S45" s="572">
        <f t="shared" si="6"/>
        <v>0</v>
      </c>
      <c r="U45" s="123">
        <v>53101004030000</v>
      </c>
      <c r="V45" s="120" t="s">
        <v>38</v>
      </c>
      <c r="W45" s="126">
        <v>0</v>
      </c>
      <c r="AG45" s="28"/>
    </row>
    <row r="46" spans="1:33" s="39" customFormat="1" ht="12.75" customHeight="1" x14ac:dyDescent="0.2">
      <c r="A46" s="920"/>
      <c r="B46" s="926"/>
      <c r="C46" s="70"/>
      <c r="D46" s="72"/>
      <c r="E46" s="73"/>
      <c r="F46" s="78"/>
      <c r="G46" s="86">
        <v>0</v>
      </c>
      <c r="H46" s="86">
        <v>0</v>
      </c>
      <c r="I46" s="106">
        <v>0</v>
      </c>
      <c r="J46" s="112">
        <f t="shared" si="8"/>
        <v>0</v>
      </c>
      <c r="K46" s="114">
        <f t="shared" si="0"/>
        <v>0</v>
      </c>
      <c r="L46" s="37"/>
      <c r="M46" s="139">
        <v>0</v>
      </c>
      <c r="N46" s="142">
        <f t="shared" si="1"/>
        <v>0</v>
      </c>
      <c r="O46" s="139">
        <v>0</v>
      </c>
      <c r="P46" s="140">
        <f t="shared" si="2"/>
        <v>0</v>
      </c>
      <c r="Q46" s="150">
        <v>0</v>
      </c>
      <c r="R46" s="569">
        <f t="shared" si="3"/>
        <v>0</v>
      </c>
      <c r="S46" s="572">
        <f t="shared" si="6"/>
        <v>0</v>
      </c>
      <c r="U46" s="122"/>
      <c r="V46" s="119" t="s">
        <v>42</v>
      </c>
      <c r="W46" s="125">
        <f>SUM(W47:W48)</f>
        <v>0</v>
      </c>
      <c r="AG46" s="28"/>
    </row>
    <row r="47" spans="1:33" s="39" customFormat="1" ht="12.75" customHeight="1" x14ac:dyDescent="0.2">
      <c r="A47" s="920"/>
      <c r="B47" s="926"/>
      <c r="C47" s="70"/>
      <c r="D47" s="72"/>
      <c r="E47" s="73"/>
      <c r="F47" s="78"/>
      <c r="G47" s="86">
        <v>0</v>
      </c>
      <c r="H47" s="86">
        <v>0</v>
      </c>
      <c r="I47" s="106">
        <v>0</v>
      </c>
      <c r="J47" s="112">
        <f t="shared" si="8"/>
        <v>0</v>
      </c>
      <c r="K47" s="114">
        <f t="shared" si="0"/>
        <v>0</v>
      </c>
      <c r="L47" s="37"/>
      <c r="M47" s="139">
        <v>0</v>
      </c>
      <c r="N47" s="142">
        <f t="shared" si="1"/>
        <v>0</v>
      </c>
      <c r="O47" s="139">
        <v>0</v>
      </c>
      <c r="P47" s="140">
        <f t="shared" si="2"/>
        <v>0</v>
      </c>
      <c r="Q47" s="150">
        <v>0</v>
      </c>
      <c r="R47" s="569">
        <f t="shared" si="3"/>
        <v>0</v>
      </c>
      <c r="S47" s="572">
        <f t="shared" si="6"/>
        <v>0</v>
      </c>
      <c r="U47" s="123">
        <v>53205080000000</v>
      </c>
      <c r="V47" s="120" t="s">
        <v>43</v>
      </c>
      <c r="W47" s="126">
        <v>0</v>
      </c>
      <c r="AG47" s="28"/>
    </row>
    <row r="48" spans="1:33" s="39" customFormat="1" ht="12.75" customHeight="1" x14ac:dyDescent="0.2">
      <c r="A48" s="920"/>
      <c r="B48" s="926"/>
      <c r="C48" s="70"/>
      <c r="D48" s="72"/>
      <c r="E48" s="73"/>
      <c r="F48" s="78"/>
      <c r="G48" s="86">
        <v>0</v>
      </c>
      <c r="H48" s="86">
        <v>0</v>
      </c>
      <c r="I48" s="106">
        <v>0</v>
      </c>
      <c r="J48" s="112">
        <f t="shared" si="8"/>
        <v>0</v>
      </c>
      <c r="K48" s="114">
        <f t="shared" si="0"/>
        <v>0</v>
      </c>
      <c r="L48" s="37"/>
      <c r="M48" s="139">
        <v>0</v>
      </c>
      <c r="N48" s="142">
        <f t="shared" si="1"/>
        <v>0</v>
      </c>
      <c r="O48" s="139">
        <v>0</v>
      </c>
      <c r="P48" s="140">
        <f t="shared" si="2"/>
        <v>0</v>
      </c>
      <c r="Q48" s="150">
        <v>0</v>
      </c>
      <c r="R48" s="569">
        <f t="shared" si="3"/>
        <v>0</v>
      </c>
      <c r="S48" s="572">
        <f t="shared" si="6"/>
        <v>0</v>
      </c>
      <c r="U48" s="123">
        <v>53205990000000</v>
      </c>
      <c r="V48" s="120" t="s">
        <v>44</v>
      </c>
      <c r="W48" s="126">
        <v>0</v>
      </c>
      <c r="AG48" s="28"/>
    </row>
    <row r="49" spans="1:33" s="39" customFormat="1" ht="12.75" customHeight="1" x14ac:dyDescent="0.2">
      <c r="A49" s="920"/>
      <c r="B49" s="927"/>
      <c r="C49" s="70"/>
      <c r="D49" s="72"/>
      <c r="E49" s="73"/>
      <c r="F49" s="78"/>
      <c r="G49" s="86">
        <v>0</v>
      </c>
      <c r="H49" s="86">
        <v>0</v>
      </c>
      <c r="I49" s="106">
        <v>0</v>
      </c>
      <c r="J49" s="112">
        <f t="shared" si="7"/>
        <v>0</v>
      </c>
      <c r="K49" s="114">
        <f t="shared" si="0"/>
        <v>0</v>
      </c>
      <c r="L49" s="37"/>
      <c r="M49" s="139">
        <v>0</v>
      </c>
      <c r="N49" s="142">
        <f t="shared" si="1"/>
        <v>0</v>
      </c>
      <c r="O49" s="139">
        <v>0</v>
      </c>
      <c r="P49" s="140">
        <f t="shared" si="2"/>
        <v>0</v>
      </c>
      <c r="Q49" s="150">
        <v>0</v>
      </c>
      <c r="R49" s="569">
        <f t="shared" si="3"/>
        <v>0</v>
      </c>
      <c r="S49" s="572">
        <f t="shared" si="6"/>
        <v>0</v>
      </c>
      <c r="U49" s="122"/>
      <c r="V49" s="119" t="s">
        <v>45</v>
      </c>
      <c r="W49" s="125">
        <f>SUM(W50:W59)</f>
        <v>11046880</v>
      </c>
      <c r="AG49" s="28"/>
    </row>
    <row r="50" spans="1:33" s="39" customFormat="1" ht="12.75" customHeight="1" x14ac:dyDescent="0.2">
      <c r="A50" s="920"/>
      <c r="B50" s="926"/>
      <c r="C50" s="70"/>
      <c r="D50" s="72"/>
      <c r="E50" s="73"/>
      <c r="F50" s="78"/>
      <c r="G50" s="86">
        <v>0</v>
      </c>
      <c r="H50" s="86">
        <v>0</v>
      </c>
      <c r="I50" s="106">
        <v>0</v>
      </c>
      <c r="J50" s="112">
        <f t="shared" ref="J50:J53" si="9">SUM(G50:I50)</f>
        <v>0</v>
      </c>
      <c r="K50" s="114">
        <f t="shared" si="0"/>
        <v>0</v>
      </c>
      <c r="L50" s="37"/>
      <c r="M50" s="139">
        <v>0</v>
      </c>
      <c r="N50" s="142">
        <f t="shared" si="1"/>
        <v>0</v>
      </c>
      <c r="O50" s="139">
        <v>0</v>
      </c>
      <c r="P50" s="140">
        <f t="shared" si="2"/>
        <v>0</v>
      </c>
      <c r="Q50" s="150">
        <v>0</v>
      </c>
      <c r="R50" s="569">
        <f t="shared" si="3"/>
        <v>0</v>
      </c>
      <c r="S50" s="572">
        <f t="shared" si="6"/>
        <v>0</v>
      </c>
      <c r="U50" s="123">
        <v>53203010200000</v>
      </c>
      <c r="V50" s="120" t="s">
        <v>46</v>
      </c>
      <c r="W50" s="126">
        <v>2500000</v>
      </c>
      <c r="X50" s="39" t="s">
        <v>409</v>
      </c>
      <c r="AG50" s="28"/>
    </row>
    <row r="51" spans="1:33" s="39" customFormat="1" ht="12.75" customHeight="1" x14ac:dyDescent="0.2">
      <c r="A51" s="920"/>
      <c r="B51" s="926"/>
      <c r="C51" s="70"/>
      <c r="D51" s="72"/>
      <c r="E51" s="73"/>
      <c r="F51" s="78"/>
      <c r="G51" s="86">
        <v>0</v>
      </c>
      <c r="H51" s="86">
        <v>0</v>
      </c>
      <c r="I51" s="106">
        <v>0</v>
      </c>
      <c r="J51" s="112">
        <f t="shared" si="9"/>
        <v>0</v>
      </c>
      <c r="K51" s="114">
        <f t="shared" si="0"/>
        <v>0</v>
      </c>
      <c r="L51" s="37"/>
      <c r="M51" s="139">
        <v>0</v>
      </c>
      <c r="N51" s="142">
        <f t="shared" si="1"/>
        <v>0</v>
      </c>
      <c r="O51" s="139">
        <v>0</v>
      </c>
      <c r="P51" s="140">
        <f t="shared" si="2"/>
        <v>0</v>
      </c>
      <c r="Q51" s="150">
        <v>0</v>
      </c>
      <c r="R51" s="569">
        <f t="shared" si="3"/>
        <v>0</v>
      </c>
      <c r="S51" s="572">
        <f t="shared" si="6"/>
        <v>0</v>
      </c>
      <c r="U51" s="123">
        <v>53204010000000</v>
      </c>
      <c r="V51" s="120" t="s">
        <v>47</v>
      </c>
      <c r="W51" s="126">
        <v>2160000</v>
      </c>
      <c r="X51" s="39" t="s">
        <v>408</v>
      </c>
      <c r="AG51" s="28"/>
    </row>
    <row r="52" spans="1:33" s="39" customFormat="1" ht="12.75" customHeight="1" x14ac:dyDescent="0.2">
      <c r="A52" s="920"/>
      <c r="B52" s="926"/>
      <c r="C52" s="70"/>
      <c r="D52" s="72"/>
      <c r="E52" s="73"/>
      <c r="F52" s="78"/>
      <c r="G52" s="86">
        <v>0</v>
      </c>
      <c r="H52" s="86">
        <v>0</v>
      </c>
      <c r="I52" s="106">
        <v>0</v>
      </c>
      <c r="J52" s="112">
        <f t="shared" si="9"/>
        <v>0</v>
      </c>
      <c r="K52" s="114">
        <f t="shared" si="0"/>
        <v>0</v>
      </c>
      <c r="L52" s="37"/>
      <c r="M52" s="139">
        <v>0</v>
      </c>
      <c r="N52" s="142">
        <f t="shared" si="1"/>
        <v>0</v>
      </c>
      <c r="O52" s="139">
        <v>0</v>
      </c>
      <c r="P52" s="140">
        <f t="shared" si="2"/>
        <v>0</v>
      </c>
      <c r="Q52" s="150">
        <v>0</v>
      </c>
      <c r="R52" s="569">
        <f t="shared" si="3"/>
        <v>0</v>
      </c>
      <c r="S52" s="572">
        <f t="shared" si="6"/>
        <v>0</v>
      </c>
      <c r="U52" s="123">
        <v>53204040200000</v>
      </c>
      <c r="V52" s="120" t="s">
        <v>48</v>
      </c>
      <c r="W52" s="126">
        <v>0</v>
      </c>
      <c r="AG52" s="28"/>
    </row>
    <row r="53" spans="1:33" s="39" customFormat="1" ht="12.75" customHeight="1" x14ac:dyDescent="0.2">
      <c r="A53" s="920"/>
      <c r="B53" s="926"/>
      <c r="C53" s="70"/>
      <c r="D53" s="72"/>
      <c r="E53" s="73"/>
      <c r="F53" s="78"/>
      <c r="G53" s="86">
        <v>0</v>
      </c>
      <c r="H53" s="86">
        <v>0</v>
      </c>
      <c r="I53" s="106">
        <v>0</v>
      </c>
      <c r="J53" s="112">
        <f t="shared" si="9"/>
        <v>0</v>
      </c>
      <c r="K53" s="114">
        <f t="shared" si="0"/>
        <v>0</v>
      </c>
      <c r="L53" s="37"/>
      <c r="M53" s="139">
        <v>0</v>
      </c>
      <c r="N53" s="142">
        <f t="shared" si="1"/>
        <v>0</v>
      </c>
      <c r="O53" s="139">
        <v>0</v>
      </c>
      <c r="P53" s="140">
        <f t="shared" si="2"/>
        <v>0</v>
      </c>
      <c r="Q53" s="150">
        <v>0</v>
      </c>
      <c r="R53" s="569">
        <f t="shared" si="3"/>
        <v>0</v>
      </c>
      <c r="S53" s="572">
        <f t="shared" si="6"/>
        <v>0</v>
      </c>
      <c r="U53" s="123">
        <v>53204060000000</v>
      </c>
      <c r="V53" s="120" t="s">
        <v>49</v>
      </c>
      <c r="W53" s="126">
        <v>167040</v>
      </c>
      <c r="AG53" s="28"/>
    </row>
    <row r="54" spans="1:33" s="39" customFormat="1" ht="12.75" customHeight="1" x14ac:dyDescent="0.2">
      <c r="A54" s="920"/>
      <c r="B54" s="927"/>
      <c r="C54" s="70"/>
      <c r="D54" s="72"/>
      <c r="E54" s="73"/>
      <c r="F54" s="78"/>
      <c r="G54" s="86">
        <v>0</v>
      </c>
      <c r="H54" s="86">
        <v>0</v>
      </c>
      <c r="I54" s="106">
        <v>0</v>
      </c>
      <c r="J54" s="112">
        <f t="shared" si="7"/>
        <v>0</v>
      </c>
      <c r="K54" s="114">
        <f t="shared" si="0"/>
        <v>0</v>
      </c>
      <c r="L54" s="37"/>
      <c r="M54" s="139">
        <v>0</v>
      </c>
      <c r="N54" s="142">
        <f t="shared" si="1"/>
        <v>0</v>
      </c>
      <c r="O54" s="139">
        <v>0</v>
      </c>
      <c r="P54" s="140">
        <f t="shared" si="2"/>
        <v>0</v>
      </c>
      <c r="Q54" s="150">
        <v>0</v>
      </c>
      <c r="R54" s="569">
        <f t="shared" si="3"/>
        <v>0</v>
      </c>
      <c r="S54" s="572">
        <f t="shared" si="6"/>
        <v>0</v>
      </c>
      <c r="U54" s="123">
        <v>53204070000000</v>
      </c>
      <c r="V54" s="120" t="s">
        <v>50</v>
      </c>
      <c r="W54" s="126">
        <v>2255000</v>
      </c>
      <c r="AG54" s="28"/>
    </row>
    <row r="55" spans="1:33" s="39" customFormat="1" ht="12.75" customHeight="1" x14ac:dyDescent="0.2">
      <c r="A55" s="920"/>
      <c r="B55" s="927"/>
      <c r="C55" s="70"/>
      <c r="D55" s="72"/>
      <c r="E55" s="73"/>
      <c r="F55" s="78"/>
      <c r="G55" s="86">
        <v>0</v>
      </c>
      <c r="H55" s="86">
        <v>0</v>
      </c>
      <c r="I55" s="106">
        <v>0</v>
      </c>
      <c r="J55" s="112">
        <f t="shared" si="7"/>
        <v>0</v>
      </c>
      <c r="K55" s="114">
        <f t="shared" si="0"/>
        <v>0</v>
      </c>
      <c r="L55" s="37"/>
      <c r="M55" s="139">
        <v>0</v>
      </c>
      <c r="N55" s="142">
        <f t="shared" si="1"/>
        <v>0</v>
      </c>
      <c r="O55" s="139">
        <v>0</v>
      </c>
      <c r="P55" s="140">
        <f t="shared" si="2"/>
        <v>0</v>
      </c>
      <c r="Q55" s="150">
        <v>0</v>
      </c>
      <c r="R55" s="569">
        <f t="shared" si="3"/>
        <v>0</v>
      </c>
      <c r="S55" s="572">
        <f t="shared" si="6"/>
        <v>0</v>
      </c>
      <c r="U55" s="123">
        <v>53204080000000</v>
      </c>
      <c r="V55" s="120" t="s">
        <v>51</v>
      </c>
      <c r="W55" s="126">
        <v>114840</v>
      </c>
      <c r="AG55" s="28"/>
    </row>
    <row r="56" spans="1:33" s="39" customFormat="1" ht="12.75" customHeight="1" x14ac:dyDescent="0.2">
      <c r="A56" s="920"/>
      <c r="B56" s="927"/>
      <c r="C56" s="70"/>
      <c r="D56" s="72"/>
      <c r="E56" s="73"/>
      <c r="F56" s="78"/>
      <c r="G56" s="86">
        <v>0</v>
      </c>
      <c r="H56" s="86">
        <v>0</v>
      </c>
      <c r="I56" s="106">
        <v>0</v>
      </c>
      <c r="J56" s="112">
        <f t="shared" si="7"/>
        <v>0</v>
      </c>
      <c r="K56" s="114">
        <f t="shared" si="0"/>
        <v>0</v>
      </c>
      <c r="L56" s="37"/>
      <c r="M56" s="139">
        <v>0</v>
      </c>
      <c r="N56" s="142">
        <f t="shared" si="1"/>
        <v>0</v>
      </c>
      <c r="O56" s="139">
        <v>0</v>
      </c>
      <c r="P56" s="140">
        <f t="shared" si="2"/>
        <v>0</v>
      </c>
      <c r="Q56" s="150">
        <v>0</v>
      </c>
      <c r="R56" s="569">
        <f t="shared" si="3"/>
        <v>0</v>
      </c>
      <c r="S56" s="572">
        <f t="shared" si="6"/>
        <v>0</v>
      </c>
      <c r="U56" s="123">
        <v>53214010000000</v>
      </c>
      <c r="V56" s="120" t="s">
        <v>52</v>
      </c>
      <c r="W56" s="126">
        <v>350000</v>
      </c>
      <c r="AG56" s="28"/>
    </row>
    <row r="57" spans="1:33" s="39" customFormat="1" ht="12.75" customHeight="1" x14ac:dyDescent="0.2">
      <c r="A57" s="920"/>
      <c r="B57" s="927"/>
      <c r="C57" s="70"/>
      <c r="D57" s="72"/>
      <c r="E57" s="73"/>
      <c r="F57" s="78"/>
      <c r="G57" s="86">
        <v>0</v>
      </c>
      <c r="H57" s="86">
        <v>0</v>
      </c>
      <c r="I57" s="106">
        <v>0</v>
      </c>
      <c r="J57" s="112">
        <f t="shared" si="7"/>
        <v>0</v>
      </c>
      <c r="K57" s="114">
        <f t="shared" si="0"/>
        <v>0</v>
      </c>
      <c r="L57" s="37"/>
      <c r="M57" s="139">
        <v>0</v>
      </c>
      <c r="N57" s="142">
        <f t="shared" si="1"/>
        <v>0</v>
      </c>
      <c r="O57" s="139">
        <v>0</v>
      </c>
      <c r="P57" s="140">
        <f t="shared" si="2"/>
        <v>0</v>
      </c>
      <c r="Q57" s="150">
        <v>0</v>
      </c>
      <c r="R57" s="569">
        <f t="shared" si="3"/>
        <v>0</v>
      </c>
      <c r="S57" s="572">
        <f t="shared" si="6"/>
        <v>0</v>
      </c>
      <c r="U57" s="123">
        <v>53214040000000</v>
      </c>
      <c r="V57" s="120" t="s">
        <v>132</v>
      </c>
      <c r="W57" s="126">
        <v>3500000</v>
      </c>
      <c r="X57" s="39" t="s">
        <v>402</v>
      </c>
      <c r="AG57" s="28"/>
    </row>
    <row r="58" spans="1:33" s="39" customFormat="1" ht="12.75" customHeight="1" x14ac:dyDescent="0.2">
      <c r="A58" s="920"/>
      <c r="B58" s="927"/>
      <c r="C58" s="70"/>
      <c r="D58" s="72"/>
      <c r="E58" s="73"/>
      <c r="F58" s="78"/>
      <c r="G58" s="86">
        <v>0</v>
      </c>
      <c r="H58" s="86">
        <v>0</v>
      </c>
      <c r="I58" s="106">
        <v>0</v>
      </c>
      <c r="J58" s="112">
        <f t="shared" si="7"/>
        <v>0</v>
      </c>
      <c r="K58" s="114">
        <f t="shared" si="0"/>
        <v>0</v>
      </c>
      <c r="L58" s="37"/>
      <c r="M58" s="139">
        <v>0</v>
      </c>
      <c r="N58" s="142">
        <f t="shared" si="1"/>
        <v>0</v>
      </c>
      <c r="O58" s="139">
        <v>0</v>
      </c>
      <c r="P58" s="140">
        <f t="shared" si="2"/>
        <v>0</v>
      </c>
      <c r="Q58" s="150">
        <v>0</v>
      </c>
      <c r="R58" s="569">
        <f t="shared" si="3"/>
        <v>0</v>
      </c>
      <c r="S58" s="572">
        <f t="shared" si="6"/>
        <v>0</v>
      </c>
      <c r="U58" s="123">
        <v>55201010100004</v>
      </c>
      <c r="V58" s="120" t="s">
        <v>53</v>
      </c>
      <c r="W58" s="126">
        <v>0</v>
      </c>
      <c r="AG58" s="28"/>
    </row>
    <row r="59" spans="1:33" s="39" customFormat="1" ht="12.75" customHeight="1" x14ac:dyDescent="0.2">
      <c r="A59" s="920"/>
      <c r="B59" s="927"/>
      <c r="C59" s="70"/>
      <c r="D59" s="72"/>
      <c r="E59" s="73"/>
      <c r="F59" s="78"/>
      <c r="G59" s="86">
        <v>0</v>
      </c>
      <c r="H59" s="86">
        <v>0</v>
      </c>
      <c r="I59" s="106">
        <v>0</v>
      </c>
      <c r="J59" s="112">
        <f t="shared" si="7"/>
        <v>0</v>
      </c>
      <c r="K59" s="114">
        <f t="shared" si="0"/>
        <v>0</v>
      </c>
      <c r="L59" s="37"/>
      <c r="M59" s="139">
        <v>0</v>
      </c>
      <c r="N59" s="142">
        <f t="shared" si="1"/>
        <v>0</v>
      </c>
      <c r="O59" s="139">
        <v>0</v>
      </c>
      <c r="P59" s="140">
        <f t="shared" si="2"/>
        <v>0</v>
      </c>
      <c r="Q59" s="150">
        <v>0</v>
      </c>
      <c r="R59" s="569">
        <f t="shared" si="3"/>
        <v>0</v>
      </c>
      <c r="S59" s="572">
        <f t="shared" si="6"/>
        <v>0</v>
      </c>
      <c r="U59" s="123">
        <v>55201010100005</v>
      </c>
      <c r="V59" s="120" t="s">
        <v>54</v>
      </c>
      <c r="W59" s="126">
        <v>0</v>
      </c>
      <c r="AG59" s="28"/>
    </row>
    <row r="60" spans="1:33" s="39" customFormat="1" ht="12.75" customHeight="1" x14ac:dyDescent="0.2">
      <c r="A60" s="920"/>
      <c r="B60" s="927"/>
      <c r="C60" s="70"/>
      <c r="D60" s="72"/>
      <c r="E60" s="73"/>
      <c r="F60" s="78"/>
      <c r="G60" s="86">
        <v>0</v>
      </c>
      <c r="H60" s="86">
        <v>0</v>
      </c>
      <c r="I60" s="106">
        <v>0</v>
      </c>
      <c r="J60" s="112">
        <f t="shared" si="7"/>
        <v>0</v>
      </c>
      <c r="K60" s="114">
        <f t="shared" si="0"/>
        <v>0</v>
      </c>
      <c r="L60" s="37"/>
      <c r="M60" s="139">
        <v>0</v>
      </c>
      <c r="N60" s="142">
        <f t="shared" si="1"/>
        <v>0</v>
      </c>
      <c r="O60" s="139">
        <v>0</v>
      </c>
      <c r="P60" s="140">
        <f t="shared" si="2"/>
        <v>0</v>
      </c>
      <c r="Q60" s="150">
        <v>0</v>
      </c>
      <c r="R60" s="569">
        <f t="shared" si="3"/>
        <v>0</v>
      </c>
      <c r="S60" s="572">
        <f t="shared" si="6"/>
        <v>0</v>
      </c>
      <c r="U60" s="122"/>
      <c r="V60" s="119" t="s">
        <v>55</v>
      </c>
      <c r="W60" s="125">
        <f>SUM(W61:W69)</f>
        <v>2600000</v>
      </c>
      <c r="AG60" s="28"/>
    </row>
    <row r="61" spans="1:33" s="39" customFormat="1" ht="12.75" customHeight="1" thickBot="1" x14ac:dyDescent="0.25">
      <c r="A61" s="921"/>
      <c r="B61" s="928"/>
      <c r="C61" s="116"/>
      <c r="D61" s="87"/>
      <c r="E61" s="88"/>
      <c r="F61" s="89"/>
      <c r="G61" s="90">
        <v>0</v>
      </c>
      <c r="H61" s="90">
        <v>0</v>
      </c>
      <c r="I61" s="107">
        <v>0</v>
      </c>
      <c r="J61" s="110">
        <f t="shared" si="7"/>
        <v>0</v>
      </c>
      <c r="K61" s="99">
        <f t="shared" si="0"/>
        <v>0</v>
      </c>
      <c r="L61" s="37"/>
      <c r="M61" s="314">
        <v>0</v>
      </c>
      <c r="N61" s="315">
        <f t="shared" si="1"/>
        <v>0</v>
      </c>
      <c r="O61" s="314">
        <v>0</v>
      </c>
      <c r="P61" s="316">
        <f t="shared" si="2"/>
        <v>0</v>
      </c>
      <c r="Q61" s="317">
        <v>0</v>
      </c>
      <c r="R61" s="570">
        <f t="shared" si="3"/>
        <v>0</v>
      </c>
      <c r="S61" s="573">
        <f t="shared" si="6"/>
        <v>0</v>
      </c>
      <c r="U61" s="123">
        <v>53207010000000</v>
      </c>
      <c r="V61" s="120" t="s">
        <v>56</v>
      </c>
      <c r="W61" s="126">
        <v>0</v>
      </c>
      <c r="AG61" s="28"/>
    </row>
    <row r="62" spans="1:33" s="39" customFormat="1" ht="12.75" customHeight="1" thickBot="1" x14ac:dyDescent="0.25">
      <c r="A62" s="28"/>
      <c r="B62" s="28"/>
      <c r="C62" s="28"/>
      <c r="D62" s="28"/>
      <c r="E62" s="28"/>
      <c r="F62" s="28"/>
      <c r="G62" s="28"/>
      <c r="H62" s="28"/>
      <c r="I62" s="28"/>
      <c r="J62" s="28"/>
      <c r="K62" s="313">
        <f>SUM(K15:K61)</f>
        <v>112194621.66400002</v>
      </c>
      <c r="L62" s="28"/>
      <c r="M62" s="318">
        <f>+N62/$K$62</f>
        <v>0.48537253642447464</v>
      </c>
      <c r="N62" s="319">
        <f>SUM(N15:N61)</f>
        <v>54456188.090240002</v>
      </c>
      <c r="O62" s="318">
        <f>+P62/$K$62</f>
        <v>0.15795262635487181</v>
      </c>
      <c r="P62" s="319">
        <f>SUM(P15:P61)</f>
        <v>17721435.154720001</v>
      </c>
      <c r="Q62" s="318">
        <f>+R62/$K$62</f>
        <v>0.16060402241707225</v>
      </c>
      <c r="R62" s="319">
        <f>SUM(R15:R61)</f>
        <v>18018907.5328</v>
      </c>
      <c r="S62" s="28"/>
      <c r="U62" s="123">
        <v>53207020000000</v>
      </c>
      <c r="V62" s="120" t="s">
        <v>57</v>
      </c>
      <c r="W62" s="126">
        <v>0</v>
      </c>
      <c r="AG62" s="28"/>
    </row>
    <row r="63" spans="1:33" s="39" customFormat="1" ht="12.75" customHeight="1" x14ac:dyDescent="0.2">
      <c r="A63" s="28"/>
      <c r="B63" s="28"/>
      <c r="C63" s="28"/>
      <c r="D63" s="28"/>
      <c r="E63" s="28"/>
      <c r="F63" s="28"/>
      <c r="G63" s="28"/>
      <c r="H63" s="28"/>
      <c r="I63" s="28"/>
      <c r="J63" s="28"/>
      <c r="K63" s="64">
        <v>1</v>
      </c>
      <c r="L63" s="28"/>
      <c r="M63" s="28"/>
      <c r="O63" s="28"/>
      <c r="P63" s="28"/>
      <c r="Q63" s="28"/>
      <c r="R63" s="28"/>
      <c r="S63" s="28"/>
      <c r="U63" s="123">
        <v>53208020000000</v>
      </c>
      <c r="V63" s="120" t="s">
        <v>58</v>
      </c>
      <c r="W63" s="126">
        <v>0</v>
      </c>
      <c r="AG63" s="28"/>
    </row>
    <row r="64" spans="1:33" s="39" customFormat="1" ht="12.75" customHeight="1" thickBot="1" x14ac:dyDescent="0.25">
      <c r="A64" s="28"/>
      <c r="B64" s="28"/>
      <c r="C64" s="28"/>
      <c r="D64" s="28"/>
      <c r="E64" s="28"/>
      <c r="F64" s="28"/>
      <c r="G64" s="28"/>
      <c r="H64" s="28"/>
      <c r="I64" s="28"/>
      <c r="J64" s="28"/>
      <c r="K64" s="28"/>
      <c r="L64" s="28"/>
      <c r="M64" s="28"/>
      <c r="N64" s="28"/>
      <c r="O64" s="28"/>
      <c r="P64" s="28"/>
      <c r="Q64" s="28"/>
      <c r="R64" s="28"/>
      <c r="S64" s="28"/>
      <c r="U64" s="123">
        <v>53208990000000</v>
      </c>
      <c r="V64" s="120" t="s">
        <v>59</v>
      </c>
      <c r="W64" s="126">
        <v>600000</v>
      </c>
      <c r="X64" s="39" t="s">
        <v>407</v>
      </c>
      <c r="AG64" s="28"/>
    </row>
    <row r="65" spans="1:33" s="39" customFormat="1" ht="12.75" customHeight="1" x14ac:dyDescent="0.2">
      <c r="A65" s="913" t="s">
        <v>137</v>
      </c>
      <c r="B65" s="916" t="s">
        <v>122</v>
      </c>
      <c r="C65" s="115"/>
      <c r="D65" s="91"/>
      <c r="E65" s="92"/>
      <c r="F65" s="93" t="s">
        <v>121</v>
      </c>
      <c r="G65" s="85">
        <v>0</v>
      </c>
      <c r="H65" s="85">
        <v>0</v>
      </c>
      <c r="I65" s="105">
        <v>0</v>
      </c>
      <c r="J65" s="108">
        <f t="shared" si="5"/>
        <v>0</v>
      </c>
      <c r="K65" s="100">
        <f t="shared" si="0"/>
        <v>0</v>
      </c>
      <c r="L65" s="37"/>
      <c r="M65" s="28"/>
      <c r="N65" s="28"/>
      <c r="O65" s="28"/>
      <c r="P65" s="28"/>
      <c r="Q65" s="28"/>
      <c r="R65" s="28"/>
      <c r="S65" s="28"/>
      <c r="U65" s="123">
        <v>53209010000000</v>
      </c>
      <c r="V65" s="120" t="s">
        <v>60</v>
      </c>
      <c r="W65" s="126">
        <v>0</v>
      </c>
      <c r="AG65" s="28"/>
    </row>
    <row r="66" spans="1:33" s="39" customFormat="1" ht="12.75" customHeight="1" x14ac:dyDescent="0.2">
      <c r="A66" s="914"/>
      <c r="B66" s="917"/>
      <c r="C66" s="71"/>
      <c r="D66" s="94"/>
      <c r="E66" s="95"/>
      <c r="F66" s="74" t="s">
        <v>121</v>
      </c>
      <c r="G66" s="86">
        <v>0</v>
      </c>
      <c r="H66" s="86">
        <v>0</v>
      </c>
      <c r="I66" s="106">
        <v>0</v>
      </c>
      <c r="J66" s="109">
        <f t="shared" si="5"/>
        <v>0</v>
      </c>
      <c r="K66" s="101">
        <f t="shared" si="0"/>
        <v>0</v>
      </c>
      <c r="L66" s="37"/>
      <c r="M66" s="28"/>
      <c r="N66" s="28"/>
      <c r="O66" s="28"/>
      <c r="P66" s="28"/>
      <c r="Q66" s="28"/>
      <c r="R66" s="28"/>
      <c r="S66" s="28"/>
      <c r="U66" s="123">
        <v>53209040000000</v>
      </c>
      <c r="V66" s="120" t="s">
        <v>61</v>
      </c>
      <c r="W66" s="126">
        <v>0</v>
      </c>
      <c r="AG66" s="28"/>
    </row>
    <row r="67" spans="1:33" s="39" customFormat="1" ht="12.75" customHeight="1" x14ac:dyDescent="0.2">
      <c r="A67" s="914"/>
      <c r="B67" s="917"/>
      <c r="C67" s="71"/>
      <c r="D67" s="94"/>
      <c r="E67" s="95"/>
      <c r="F67" s="74" t="s">
        <v>121</v>
      </c>
      <c r="G67" s="86">
        <v>0</v>
      </c>
      <c r="H67" s="86">
        <v>0</v>
      </c>
      <c r="I67" s="106">
        <v>0</v>
      </c>
      <c r="J67" s="109">
        <f t="shared" si="5"/>
        <v>0</v>
      </c>
      <c r="K67" s="101">
        <f t="shared" si="0"/>
        <v>0</v>
      </c>
      <c r="L67" s="37"/>
      <c r="M67" s="28"/>
      <c r="N67" s="28"/>
      <c r="O67" s="28"/>
      <c r="P67" s="28"/>
      <c r="Q67" s="28"/>
      <c r="R67" s="28"/>
      <c r="S67" s="28"/>
      <c r="U67" s="123">
        <v>53209050000000</v>
      </c>
      <c r="V67" s="120" t="s">
        <v>62</v>
      </c>
      <c r="W67" s="126">
        <v>2000000</v>
      </c>
      <c r="X67" s="39" t="s">
        <v>410</v>
      </c>
      <c r="AG67" s="28"/>
    </row>
    <row r="68" spans="1:33" s="39" customFormat="1" ht="12.75" customHeight="1" x14ac:dyDescent="0.2">
      <c r="A68" s="914"/>
      <c r="B68" s="917"/>
      <c r="C68" s="69"/>
      <c r="D68" s="96"/>
      <c r="E68" s="97"/>
      <c r="F68" s="98" t="s">
        <v>121</v>
      </c>
      <c r="G68" s="86">
        <v>0</v>
      </c>
      <c r="H68" s="86">
        <v>0</v>
      </c>
      <c r="I68" s="106">
        <v>0</v>
      </c>
      <c r="J68" s="109">
        <f t="shared" si="5"/>
        <v>0</v>
      </c>
      <c r="K68" s="101">
        <f t="shared" si="0"/>
        <v>0</v>
      </c>
      <c r="L68" s="37"/>
      <c r="M68" s="28"/>
      <c r="N68" s="28"/>
      <c r="O68" s="28"/>
      <c r="P68" s="28"/>
      <c r="Q68" s="28"/>
      <c r="R68" s="28"/>
      <c r="S68" s="28"/>
      <c r="U68" s="123">
        <v>53209990000000</v>
      </c>
      <c r="V68" s="120" t="s">
        <v>63</v>
      </c>
      <c r="W68" s="126">
        <v>0</v>
      </c>
      <c r="AG68" s="28"/>
    </row>
    <row r="69" spans="1:33" s="39" customFormat="1" ht="12.75" customHeight="1" thickBot="1" x14ac:dyDescent="0.25">
      <c r="A69" s="915"/>
      <c r="B69" s="918"/>
      <c r="C69" s="116"/>
      <c r="D69" s="87"/>
      <c r="E69" s="88"/>
      <c r="F69" s="89" t="s">
        <v>121</v>
      </c>
      <c r="G69" s="90">
        <v>0</v>
      </c>
      <c r="H69" s="90">
        <v>0</v>
      </c>
      <c r="I69" s="107">
        <v>0</v>
      </c>
      <c r="J69" s="110">
        <f t="shared" si="5"/>
        <v>0</v>
      </c>
      <c r="K69" s="99">
        <f t="shared" si="0"/>
        <v>0</v>
      </c>
      <c r="L69" s="37"/>
      <c r="M69" s="28"/>
      <c r="N69" s="28"/>
      <c r="O69" s="28"/>
      <c r="P69" s="28"/>
      <c r="Q69" s="28"/>
      <c r="R69" s="28"/>
      <c r="S69" s="28"/>
      <c r="U69" s="123">
        <v>53210020100000</v>
      </c>
      <c r="V69" s="120" t="s">
        <v>64</v>
      </c>
      <c r="W69" s="126">
        <v>0</v>
      </c>
      <c r="AG69" s="28"/>
    </row>
    <row r="70" spans="1:33" ht="15.75" x14ac:dyDescent="0.2">
      <c r="C70" s="26"/>
      <c r="D70" s="26"/>
      <c r="E70" s="41"/>
      <c r="F70" s="41"/>
      <c r="G70" s="41"/>
      <c r="H70" s="41"/>
      <c r="I70" s="41"/>
      <c r="K70" s="63">
        <f>SUM(K65:K69)</f>
        <v>0</v>
      </c>
      <c r="L70" s="37"/>
      <c r="U70" s="122"/>
      <c r="V70" s="119" t="s">
        <v>65</v>
      </c>
      <c r="W70" s="125">
        <f>SUM(W71:W77)</f>
        <v>1121000</v>
      </c>
    </row>
    <row r="71" spans="1:33" x14ac:dyDescent="0.2">
      <c r="K71" s="64">
        <v>1</v>
      </c>
      <c r="L71" s="37"/>
      <c r="M71" s="42"/>
      <c r="O71" s="42"/>
      <c r="Q71" s="42"/>
      <c r="U71" s="123">
        <v>53206030000000</v>
      </c>
      <c r="V71" s="120" t="s">
        <v>100</v>
      </c>
      <c r="W71" s="126">
        <v>0</v>
      </c>
    </row>
    <row r="72" spans="1:33" x14ac:dyDescent="0.2">
      <c r="L72" s="37"/>
      <c r="U72" s="123">
        <v>53206040000000</v>
      </c>
      <c r="V72" s="120" t="s">
        <v>101</v>
      </c>
      <c r="W72" s="126">
        <v>0</v>
      </c>
    </row>
    <row r="73" spans="1:33" x14ac:dyDescent="0.2">
      <c r="U73" s="123">
        <v>53206060000000</v>
      </c>
      <c r="V73" s="120" t="s">
        <v>102</v>
      </c>
      <c r="W73" s="126">
        <v>0</v>
      </c>
    </row>
    <row r="74" spans="1:33" x14ac:dyDescent="0.2">
      <c r="U74" s="123">
        <v>53206070000000</v>
      </c>
      <c r="V74" s="120" t="s">
        <v>103</v>
      </c>
      <c r="W74" s="126">
        <v>251000</v>
      </c>
    </row>
    <row r="75" spans="1:33" ht="15.75" customHeight="1" x14ac:dyDescent="0.2">
      <c r="F75" s="687" t="s">
        <v>377</v>
      </c>
      <c r="G75" s="687" t="s">
        <v>376</v>
      </c>
      <c r="H75" s="117"/>
      <c r="U75" s="123">
        <v>53206990000000</v>
      </c>
      <c r="V75" s="120" t="s">
        <v>104</v>
      </c>
      <c r="W75" s="126">
        <v>870000</v>
      </c>
    </row>
    <row r="76" spans="1:33" x14ac:dyDescent="0.2">
      <c r="F76" s="687" t="s">
        <v>378</v>
      </c>
      <c r="G76" s="687" t="s">
        <v>379</v>
      </c>
      <c r="U76" s="123">
        <v>53208030000000</v>
      </c>
      <c r="V76" s="120" t="s">
        <v>105</v>
      </c>
      <c r="W76" s="126">
        <v>0</v>
      </c>
    </row>
    <row r="77" spans="1:33" x14ac:dyDescent="0.2">
      <c r="U77" s="123">
        <v>53212060000000</v>
      </c>
      <c r="V77" s="120" t="s">
        <v>98</v>
      </c>
      <c r="W77" s="126">
        <v>0</v>
      </c>
    </row>
    <row r="78" spans="1:33" x14ac:dyDescent="0.2">
      <c r="U78" s="122"/>
      <c r="V78" s="119" t="s">
        <v>66</v>
      </c>
      <c r="W78" s="125">
        <f>SUM(W79:W79)</f>
        <v>1000000</v>
      </c>
    </row>
    <row r="79" spans="1:33" x14ac:dyDescent="0.2">
      <c r="U79" s="123">
        <v>53204999000000</v>
      </c>
      <c r="V79" s="120" t="s">
        <v>97</v>
      </c>
      <c r="W79" s="126">
        <v>1000000</v>
      </c>
    </row>
    <row r="80" spans="1:33" x14ac:dyDescent="0.2">
      <c r="U80" s="127"/>
      <c r="V80" s="128" t="s">
        <v>139</v>
      </c>
      <c r="W80" s="129">
        <f>+W40+W15</f>
        <v>19188937</v>
      </c>
      <c r="X80" s="687"/>
    </row>
    <row r="82" spans="22:23" x14ac:dyDescent="0.2">
      <c r="V82" s="687"/>
      <c r="W82" s="696"/>
    </row>
    <row r="83" spans="22:23" ht="15.75" customHeight="1" x14ac:dyDescent="0.2">
      <c r="V83" s="687"/>
    </row>
    <row r="97" spans="11:12" x14ac:dyDescent="0.2">
      <c r="L97" s="131"/>
    </row>
    <row r="99" spans="11:12" x14ac:dyDescent="0.2">
      <c r="K99" s="138"/>
    </row>
    <row r="101" spans="11:12" x14ac:dyDescent="0.2">
      <c r="K101" s="132"/>
    </row>
  </sheetData>
  <sheetProtection algorithmName="SHA-512" hashValue="VKcjEp0x2kqK3b0nezEqBeOl0t1lTlCuqu0XoPgu05H0TZUV3kmAU7g2akYY2NBq7oKW+sLF0bex+7Sp/Akp0A==" saltValue="vxxq58RYZrjvmdYVvIoCWQ==" spinCount="100000" sheet="1" objects="1" scenarios="1"/>
  <mergeCells count="45">
    <mergeCell ref="A9:H9"/>
    <mergeCell ref="U9:W10"/>
    <mergeCell ref="U13:U14"/>
    <mergeCell ref="V13:V14"/>
    <mergeCell ref="AG13:AH13"/>
    <mergeCell ref="K13:K14"/>
    <mergeCell ref="M13:N13"/>
    <mergeCell ref="O13:P13"/>
    <mergeCell ref="Q13:R13"/>
    <mergeCell ref="A13:B14"/>
    <mergeCell ref="C13:C14"/>
    <mergeCell ref="D13:D14"/>
    <mergeCell ref="E13:E14"/>
    <mergeCell ref="F13:F14"/>
    <mergeCell ref="G13:J13"/>
    <mergeCell ref="M12:R12"/>
    <mergeCell ref="A65:A69"/>
    <mergeCell ref="B65:B69"/>
    <mergeCell ref="A15:A61"/>
    <mergeCell ref="B15:B24"/>
    <mergeCell ref="B25:B34"/>
    <mergeCell ref="B35:B39"/>
    <mergeCell ref="B40:B61"/>
    <mergeCell ref="S13:S14"/>
    <mergeCell ref="AN9:AS10"/>
    <mergeCell ref="M9:S10"/>
    <mergeCell ref="AG9:AL10"/>
    <mergeCell ref="Z9:AE10"/>
    <mergeCell ref="W13:W14"/>
    <mergeCell ref="AI13:AJ13"/>
    <mergeCell ref="AK13:AL13"/>
    <mergeCell ref="AN14:AO14"/>
    <mergeCell ref="Z13:AA13"/>
    <mergeCell ref="AB13:AC13"/>
    <mergeCell ref="AD13:AE13"/>
    <mergeCell ref="AR13:AS13"/>
    <mergeCell ref="AP13:AQ13"/>
    <mergeCell ref="AN13:AO13"/>
    <mergeCell ref="X38:Z38"/>
    <mergeCell ref="AN15:AO15"/>
    <mergeCell ref="AP14:AQ14"/>
    <mergeCell ref="AP15:AQ15"/>
    <mergeCell ref="AR14:AS14"/>
    <mergeCell ref="AR15:AS15"/>
    <mergeCell ref="X23:Y23"/>
  </mergeCells>
  <conditionalFormatting sqref="S15:S61">
    <cfRule type="cellIs" dxfId="7" priority="1" operator="equal">
      <formula>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K15"/>
  <sheetViews>
    <sheetView showGridLines="0" topLeftCell="B1" zoomScale="80" zoomScaleNormal="80" workbookViewId="0">
      <selection activeCell="Q15" sqref="Q15"/>
    </sheetView>
  </sheetViews>
  <sheetFormatPr baseColWidth="10" defaultColWidth="11.42578125" defaultRowHeight="12.75" x14ac:dyDescent="0.2"/>
  <cols>
    <col min="1" max="1" width="42.140625" style="4" bestFit="1" customWidth="1"/>
    <col min="2" max="2" width="33" style="4" bestFit="1" customWidth="1"/>
    <col min="3" max="3" width="14.140625" style="22" customWidth="1"/>
    <col min="4" max="4" width="14.140625" style="22" bestFit="1" customWidth="1"/>
    <col min="5" max="17" width="14.140625" style="22" customWidth="1"/>
    <col min="18" max="18" width="13.28515625" style="4" customWidth="1"/>
    <col min="19" max="19" width="14.140625" style="4" bestFit="1" customWidth="1"/>
    <col min="20" max="20" width="14.140625" style="4" customWidth="1"/>
    <col min="21" max="21" width="12.28515625" style="4" customWidth="1"/>
    <col min="22" max="16384" width="11.42578125" style="4"/>
  </cols>
  <sheetData>
    <row r="1" spans="1:245" s="6" customFormat="1" x14ac:dyDescent="0.2">
      <c r="B1" s="5"/>
      <c r="C1" s="7"/>
      <c r="D1" s="7"/>
      <c r="E1" s="7"/>
      <c r="F1" s="7"/>
      <c r="G1" s="44" t="s">
        <v>202</v>
      </c>
      <c r="H1" s="7"/>
      <c r="I1" s="7"/>
      <c r="J1" s="7"/>
      <c r="K1" s="7"/>
      <c r="L1" s="7"/>
      <c r="M1" s="7"/>
      <c r="N1" s="7"/>
      <c r="O1" s="7"/>
      <c r="P1" s="7"/>
      <c r="Q1" s="7"/>
      <c r="IJ1" s="4"/>
      <c r="IK1" s="4"/>
    </row>
    <row r="2" spans="1:245" s="6" customFormat="1" x14ac:dyDescent="0.2">
      <c r="B2" s="8"/>
      <c r="C2" s="7"/>
      <c r="D2" s="7"/>
      <c r="E2" s="7"/>
      <c r="F2" s="7"/>
      <c r="G2" s="44" t="s">
        <v>194</v>
      </c>
      <c r="H2" s="7"/>
      <c r="I2" s="7"/>
      <c r="J2" s="7"/>
      <c r="K2" s="7"/>
      <c r="L2" s="7"/>
      <c r="M2" s="7"/>
      <c r="N2" s="7"/>
      <c r="O2" s="7"/>
      <c r="P2" s="7"/>
      <c r="Q2" s="7"/>
      <c r="IJ2" s="4"/>
      <c r="IK2" s="4"/>
    </row>
    <row r="3" spans="1:245" s="6" customFormat="1" x14ac:dyDescent="0.2">
      <c r="B3" s="4"/>
      <c r="IJ3" s="4"/>
      <c r="IK3" s="4"/>
    </row>
    <row r="4" spans="1:245" s="6" customFormat="1" ht="17.25" customHeight="1" x14ac:dyDescent="0.2">
      <c r="B4" s="22"/>
      <c r="C4" s="82"/>
      <c r="F4" s="82" t="s">
        <v>0</v>
      </c>
      <c r="G4" s="959" t="s">
        <v>268</v>
      </c>
      <c r="H4" s="960"/>
      <c r="I4" s="82"/>
      <c r="J4" s="82"/>
      <c r="K4" s="82"/>
      <c r="L4" s="82"/>
      <c r="M4" s="82"/>
      <c r="N4" s="82"/>
      <c r="O4" s="82"/>
      <c r="P4" s="82"/>
      <c r="Q4" s="82"/>
      <c r="IA4" s="4"/>
      <c r="IB4" s="4"/>
      <c r="IC4" s="4"/>
      <c r="ID4" s="4"/>
      <c r="IE4" s="4"/>
      <c r="IF4" s="4"/>
    </row>
    <row r="5" spans="1:245" s="6" customFormat="1" x14ac:dyDescent="0.2">
      <c r="B5" s="22"/>
      <c r="C5" s="82"/>
      <c r="F5" s="82"/>
      <c r="G5" s="84"/>
      <c r="H5" s="84"/>
      <c r="I5" s="82"/>
      <c r="J5" s="82"/>
      <c r="K5" s="82"/>
      <c r="L5" s="82"/>
      <c r="M5" s="82"/>
      <c r="N5" s="82"/>
      <c r="O5" s="82"/>
      <c r="P5" s="82"/>
      <c r="Q5" s="82"/>
      <c r="IA5" s="4"/>
      <c r="IB5" s="4"/>
      <c r="IC5" s="4"/>
      <c r="ID5" s="4"/>
      <c r="IE5" s="4"/>
      <c r="IF5" s="4"/>
    </row>
    <row r="6" spans="1:245" s="6" customFormat="1" ht="15.75" x14ac:dyDescent="0.2">
      <c r="A6" s="964" t="s">
        <v>156</v>
      </c>
      <c r="B6" s="964"/>
      <c r="C6" s="964"/>
      <c r="D6" s="964"/>
      <c r="E6" s="83"/>
      <c r="F6" s="82"/>
      <c r="G6" s="84"/>
      <c r="H6" s="84"/>
      <c r="I6" s="82"/>
      <c r="J6" s="82"/>
      <c r="K6" s="82"/>
      <c r="L6" s="82"/>
      <c r="M6" s="82"/>
      <c r="N6" s="82"/>
      <c r="O6" s="82"/>
      <c r="P6" s="82"/>
      <c r="Q6" s="82"/>
      <c r="IA6" s="4"/>
      <c r="IB6" s="4"/>
      <c r="IC6" s="4"/>
      <c r="ID6" s="4"/>
      <c r="IE6" s="4"/>
      <c r="IF6" s="4"/>
    </row>
    <row r="7" spans="1:245" s="6" customFormat="1" ht="13.5" thickBot="1" x14ac:dyDescent="0.25">
      <c r="B7" s="44"/>
      <c r="C7" s="44"/>
      <c r="D7" s="44"/>
      <c r="E7" s="44"/>
      <c r="F7" s="44"/>
      <c r="G7" s="44"/>
      <c r="H7" s="44"/>
      <c r="I7" s="44"/>
      <c r="J7" s="44"/>
      <c r="K7" s="44"/>
      <c r="L7" s="44"/>
      <c r="M7" s="44"/>
      <c r="N7" s="44"/>
      <c r="O7" s="44"/>
      <c r="P7" s="44"/>
      <c r="Q7" s="44"/>
      <c r="HX7" s="4"/>
      <c r="HY7" s="4"/>
      <c r="HZ7" s="4"/>
      <c r="IA7" s="4"/>
      <c r="IB7" s="4"/>
      <c r="IC7" s="4"/>
      <c r="ID7" s="4"/>
      <c r="IE7" s="4"/>
      <c r="IF7" s="4"/>
    </row>
    <row r="8" spans="1:245" ht="16.5" customHeight="1" thickBot="1" x14ac:dyDescent="0.25">
      <c r="A8" s="965" t="s">
        <v>115</v>
      </c>
      <c r="B8" s="967" t="s">
        <v>5</v>
      </c>
      <c r="C8" s="804" t="s">
        <v>228</v>
      </c>
      <c r="D8" s="805"/>
      <c r="E8" s="805"/>
      <c r="F8" s="805"/>
      <c r="G8" s="806"/>
      <c r="H8" s="961" t="s">
        <v>210</v>
      </c>
      <c r="I8" s="962"/>
      <c r="J8" s="962"/>
      <c r="K8" s="962"/>
      <c r="L8" s="963"/>
      <c r="M8" s="957" t="s">
        <v>124</v>
      </c>
      <c r="N8" s="957"/>
      <c r="O8" s="957"/>
      <c r="P8" s="957"/>
      <c r="Q8" s="958"/>
      <c r="R8" s="957" t="s">
        <v>125</v>
      </c>
      <c r="S8" s="957"/>
      <c r="T8" s="957"/>
      <c r="U8" s="957"/>
      <c r="V8" s="958"/>
    </row>
    <row r="9" spans="1:245" ht="64.5" thickBot="1" x14ac:dyDescent="0.25">
      <c r="A9" s="966" t="e">
        <f>NA()</f>
        <v>#N/A</v>
      </c>
      <c r="B9" s="968" t="e">
        <f>NA()</f>
        <v>#N/A</v>
      </c>
      <c r="C9" s="281" t="s">
        <v>87</v>
      </c>
      <c r="D9" s="282" t="s">
        <v>135</v>
      </c>
      <c r="E9" s="282" t="s">
        <v>136</v>
      </c>
      <c r="F9" s="282" t="s">
        <v>88</v>
      </c>
      <c r="G9" s="283" t="s">
        <v>89</v>
      </c>
      <c r="H9" s="339" t="s">
        <v>87</v>
      </c>
      <c r="I9" s="340" t="s">
        <v>135</v>
      </c>
      <c r="J9" s="340" t="s">
        <v>136</v>
      </c>
      <c r="K9" s="340" t="s">
        <v>88</v>
      </c>
      <c r="L9" s="333" t="s">
        <v>89</v>
      </c>
      <c r="M9" s="332" t="s">
        <v>87</v>
      </c>
      <c r="N9" s="340" t="s">
        <v>135</v>
      </c>
      <c r="O9" s="340" t="s">
        <v>136</v>
      </c>
      <c r="P9" s="340" t="s">
        <v>88</v>
      </c>
      <c r="Q9" s="341" t="s">
        <v>89</v>
      </c>
      <c r="R9" s="342" t="s">
        <v>87</v>
      </c>
      <c r="S9" s="340" t="s">
        <v>135</v>
      </c>
      <c r="T9" s="340" t="s">
        <v>136</v>
      </c>
      <c r="U9" s="340" t="s">
        <v>88</v>
      </c>
      <c r="V9" s="333" t="s">
        <v>89</v>
      </c>
    </row>
    <row r="10" spans="1:245" s="10" customFormat="1" x14ac:dyDescent="0.2">
      <c r="A10" s="954" t="str">
        <f>+'B) Reajuste Tarifas y Ocupación'!A12</f>
        <v>Jardín Infantil Mar y Cielo</v>
      </c>
      <c r="B10" s="265" t="str">
        <f>+'B) Reajuste Tarifas y Ocupación'!B12</f>
        <v>Media jornada</v>
      </c>
      <c r="C10" s="586">
        <f>+'B) Reajuste Tarifas y Ocupación'!M12</f>
        <v>63800</v>
      </c>
      <c r="D10" s="587">
        <f>+'B) Reajuste Tarifas y Ocupación'!N12</f>
        <v>76500</v>
      </c>
      <c r="E10" s="587">
        <f>+'B) Reajuste Tarifas y Ocupación'!O12</f>
        <v>76500</v>
      </c>
      <c r="F10" s="587">
        <f>+'B) Reajuste Tarifas y Ocupación'!P12</f>
        <v>100000</v>
      </c>
      <c r="G10" s="588">
        <f>+'B) Reajuste Tarifas y Ocupación'!Q12</f>
        <v>118100</v>
      </c>
      <c r="H10" s="277">
        <f>+'B) Reajuste Tarifas y Ocupación'!C12</f>
        <v>60300</v>
      </c>
      <c r="I10" s="278">
        <f>+'B) Reajuste Tarifas y Ocupación'!D12</f>
        <v>72300</v>
      </c>
      <c r="J10" s="278">
        <f>+'B) Reajuste Tarifas y Ocupación'!E12</f>
        <v>72300</v>
      </c>
      <c r="K10" s="278">
        <f>+'B) Reajuste Tarifas y Ocupación'!F12</f>
        <v>94600</v>
      </c>
      <c r="L10" s="279">
        <f>+'B) Reajuste Tarifas y Ocupación'!G12</f>
        <v>111700</v>
      </c>
      <c r="M10" s="423">
        <f t="shared" ref="M10:Q11" si="0">C10-H10</f>
        <v>3500</v>
      </c>
      <c r="N10" s="424">
        <f t="shared" si="0"/>
        <v>4200</v>
      </c>
      <c r="O10" s="424">
        <f t="shared" si="0"/>
        <v>4200</v>
      </c>
      <c r="P10" s="424">
        <f t="shared" si="0"/>
        <v>5400</v>
      </c>
      <c r="Q10" s="425">
        <f t="shared" si="0"/>
        <v>6400</v>
      </c>
      <c r="R10" s="426">
        <f>+'B) Reajuste Tarifas y Ocupación'!H12</f>
        <v>5.7000000000000002E-2</v>
      </c>
      <c r="S10" s="427">
        <f>+'B) Reajuste Tarifas y Ocupación'!I12</f>
        <v>5.7000000000000002E-2</v>
      </c>
      <c r="T10" s="427">
        <f>+'B) Reajuste Tarifas y Ocupación'!J12</f>
        <v>5.7000000000000002E-2</v>
      </c>
      <c r="U10" s="427">
        <f>+'B) Reajuste Tarifas y Ocupación'!K12</f>
        <v>5.7000000000000002E-2</v>
      </c>
      <c r="V10" s="280">
        <f>+'B) Reajuste Tarifas y Ocupación'!L12</f>
        <v>5.7000000000000002E-2</v>
      </c>
    </row>
    <row r="11" spans="1:245" s="10" customFormat="1" x14ac:dyDescent="0.2">
      <c r="A11" s="955"/>
      <c r="B11" s="266" t="str">
        <f>+'B) Reajuste Tarifas y Ocupación'!B13</f>
        <v xml:space="preserve">Doble jornada </v>
      </c>
      <c r="C11" s="589">
        <f>+'B) Reajuste Tarifas y Ocupación'!M13</f>
        <v>95000</v>
      </c>
      <c r="D11" s="556">
        <f>+'B) Reajuste Tarifas y Ocupación'!N13</f>
        <v>114000</v>
      </c>
      <c r="E11" s="556">
        <f>+'B) Reajuste Tarifas y Ocupación'!O13</f>
        <v>114000</v>
      </c>
      <c r="F11" s="556">
        <f>+'B) Reajuste Tarifas y Ocupación'!P13</f>
        <v>142500</v>
      </c>
      <c r="G11" s="590">
        <f>+'B) Reajuste Tarifas y Ocupación'!Q13</f>
        <v>167100</v>
      </c>
      <c r="H11" s="343">
        <f>+'B) Reajuste Tarifas y Ocupación'!C13</f>
        <v>89800</v>
      </c>
      <c r="I11" s="344">
        <f>+'B) Reajuste Tarifas y Ocupación'!D13</f>
        <v>107800</v>
      </c>
      <c r="J11" s="344">
        <f>+'B) Reajuste Tarifas y Ocupación'!E13</f>
        <v>107800</v>
      </c>
      <c r="K11" s="344">
        <f>+'B) Reajuste Tarifas y Ocupación'!F13</f>
        <v>134800</v>
      </c>
      <c r="L11" s="345">
        <f>+'B) Reajuste Tarifas y Ocupación'!G13</f>
        <v>158000</v>
      </c>
      <c r="M11" s="346">
        <f t="shared" si="0"/>
        <v>5200</v>
      </c>
      <c r="N11" s="347">
        <f t="shared" si="0"/>
        <v>6200</v>
      </c>
      <c r="O11" s="347">
        <f t="shared" si="0"/>
        <v>6200</v>
      </c>
      <c r="P11" s="347">
        <f t="shared" si="0"/>
        <v>7700</v>
      </c>
      <c r="Q11" s="428">
        <f t="shared" si="0"/>
        <v>9100</v>
      </c>
      <c r="R11" s="348">
        <f>+'B) Reajuste Tarifas y Ocupación'!H13</f>
        <v>5.7000000000000002E-2</v>
      </c>
      <c r="S11" s="349">
        <f>+'B) Reajuste Tarifas y Ocupación'!I13</f>
        <v>5.7000000000000002E-2</v>
      </c>
      <c r="T11" s="349">
        <f>+'B) Reajuste Tarifas y Ocupación'!J13</f>
        <v>5.7000000000000002E-2</v>
      </c>
      <c r="U11" s="349">
        <f>+'B) Reajuste Tarifas y Ocupación'!K13</f>
        <v>5.7000000000000002E-2</v>
      </c>
      <c r="V11" s="350">
        <f>+'B) Reajuste Tarifas y Ocupación'!L13</f>
        <v>5.7000000000000002E-2</v>
      </c>
    </row>
    <row r="12" spans="1:245" s="10" customFormat="1" ht="13.5" thickBot="1" x14ac:dyDescent="0.25">
      <c r="A12" s="956"/>
      <c r="B12" s="267" t="str">
        <f>+'B) Reajuste Tarifas y Ocupación'!B14</f>
        <v>Jornada completa</v>
      </c>
      <c r="C12" s="591">
        <f>+'B) Reajuste Tarifas y Ocupación'!M14</f>
        <v>148200</v>
      </c>
      <c r="D12" s="592">
        <f>+'B) Reajuste Tarifas y Ocupación'!N14</f>
        <v>177900</v>
      </c>
      <c r="E12" s="592">
        <f>+'B) Reajuste Tarifas y Ocupación'!O14</f>
        <v>177900</v>
      </c>
      <c r="F12" s="592">
        <f>+'B) Reajuste Tarifas y Ocupación'!P14</f>
        <v>185300</v>
      </c>
      <c r="G12" s="593">
        <f>+'B) Reajuste Tarifas y Ocupación'!Q14</f>
        <v>192700</v>
      </c>
      <c r="H12" s="597">
        <f>+'B) Reajuste Tarifas y Ocupación'!C14</f>
        <v>140200</v>
      </c>
      <c r="I12" s="598">
        <f>+'B) Reajuste Tarifas y Ocupación'!D14</f>
        <v>168300</v>
      </c>
      <c r="J12" s="598">
        <f>+'B) Reajuste Tarifas y Ocupación'!E14</f>
        <v>168300</v>
      </c>
      <c r="K12" s="598">
        <f>+'B) Reajuste Tarifas y Ocupación'!F14</f>
        <v>175300</v>
      </c>
      <c r="L12" s="599">
        <f>+'B) Reajuste Tarifas y Ocupación'!G14</f>
        <v>182300</v>
      </c>
      <c r="M12" s="604">
        <f t="shared" ref="M12" si="1">C12-H12</f>
        <v>8000</v>
      </c>
      <c r="N12" s="605">
        <f t="shared" ref="N12" si="2">D12-I12</f>
        <v>9600</v>
      </c>
      <c r="O12" s="605">
        <f t="shared" ref="O12" si="3">E12-J12</f>
        <v>9600</v>
      </c>
      <c r="P12" s="605">
        <f t="shared" ref="P12" si="4">F12-K12</f>
        <v>10000</v>
      </c>
      <c r="Q12" s="606">
        <f t="shared" ref="Q12" si="5">G12-L12</f>
        <v>10400</v>
      </c>
      <c r="R12" s="607">
        <f>+'B) Reajuste Tarifas y Ocupación'!H14</f>
        <v>5.7000000000000002E-2</v>
      </c>
      <c r="S12" s="608">
        <f>+'B) Reajuste Tarifas y Ocupación'!I14</f>
        <v>5.7000000000000002E-2</v>
      </c>
      <c r="T12" s="608">
        <f>+'B) Reajuste Tarifas y Ocupación'!J14</f>
        <v>5.7000000000000002E-2</v>
      </c>
      <c r="U12" s="608">
        <f>+'B) Reajuste Tarifas y Ocupación'!K14</f>
        <v>5.7000000000000002E-2</v>
      </c>
      <c r="V12" s="609">
        <f>+'B) Reajuste Tarifas y Ocupación'!L14</f>
        <v>5.7000000000000002E-2</v>
      </c>
    </row>
    <row r="13" spans="1:245" s="393" customFormat="1" x14ac:dyDescent="0.2">
      <c r="A13" s="951" t="str">
        <f>+'B) Reajuste Tarifas y Ocupación'!A15</f>
        <v>Sala Cuna Mar y Cielo Diurna</v>
      </c>
      <c r="B13" s="394" t="str">
        <f>+'[1]B) Reajuste Tarifas y Ocupación'!B15</f>
        <v>Diurna</v>
      </c>
      <c r="C13" s="395">
        <f>+'B) Reajuste Tarifas y Ocupación'!M15</f>
        <v>327700</v>
      </c>
      <c r="D13" s="396">
        <f>+'B) Reajuste Tarifas y Ocupación'!N15</f>
        <v>393300</v>
      </c>
      <c r="E13" s="396">
        <f>+'B) Reajuste Tarifas y Ocupación'!O15</f>
        <v>393300</v>
      </c>
      <c r="F13" s="396">
        <f>+'B) Reajuste Tarifas y Ocupación'!P15</f>
        <v>409600</v>
      </c>
      <c r="G13" s="594">
        <f>+'B) Reajuste Tarifas y Ocupación'!Q15</f>
        <v>491600</v>
      </c>
      <c r="H13" s="600">
        <f>+'B) Reajuste Tarifas y Ocupación'!C15</f>
        <v>310000</v>
      </c>
      <c r="I13" s="601">
        <f>+'B) Reajuste Tarifas y Ocupación'!D15</f>
        <v>372000</v>
      </c>
      <c r="J13" s="601">
        <f>+'B) Reajuste Tarifas y Ocupación'!E15</f>
        <v>372000</v>
      </c>
      <c r="K13" s="601">
        <f>+'B) Reajuste Tarifas y Ocupación'!F15</f>
        <v>387500</v>
      </c>
      <c r="L13" s="602">
        <f>+'B) Reajuste Tarifas y Ocupación'!G15</f>
        <v>465000</v>
      </c>
      <c r="M13" s="423">
        <f t="shared" ref="M13" si="6">C13-H13</f>
        <v>17700</v>
      </c>
      <c r="N13" s="424">
        <f t="shared" ref="N13" si="7">D13-I13</f>
        <v>21300</v>
      </c>
      <c r="O13" s="424">
        <f t="shared" ref="O13" si="8">E13-J13</f>
        <v>21300</v>
      </c>
      <c r="P13" s="424">
        <f t="shared" ref="P13" si="9">F13-K13</f>
        <v>22100</v>
      </c>
      <c r="Q13" s="425">
        <f t="shared" ref="Q13" si="10">G13-L13</f>
        <v>26600</v>
      </c>
      <c r="R13" s="426">
        <f>+'B) Reajuste Tarifas y Ocupación'!H15</f>
        <v>5.7000000000000002E-2</v>
      </c>
      <c r="S13" s="427">
        <f>+'B) Reajuste Tarifas y Ocupación'!I15</f>
        <v>5.7000000000000002E-2</v>
      </c>
      <c r="T13" s="427">
        <f>+'B) Reajuste Tarifas y Ocupación'!J15</f>
        <v>5.7000000000000002E-2</v>
      </c>
      <c r="U13" s="427">
        <f>+'B) Reajuste Tarifas y Ocupación'!K15</f>
        <v>5.7000000000000002E-2</v>
      </c>
      <c r="V13" s="610">
        <f>+'B) Reajuste Tarifas y Ocupación'!L15</f>
        <v>5.7000000000000002E-2</v>
      </c>
    </row>
    <row r="14" spans="1:245" s="393" customFormat="1" x14ac:dyDescent="0.2">
      <c r="A14" s="952"/>
      <c r="B14" s="397" t="str">
        <f>+'[1]B) Reajuste Tarifas y Ocupación'!B16</f>
        <v>Nocturna</v>
      </c>
      <c r="C14" s="398"/>
      <c r="D14" s="399"/>
      <c r="E14" s="399"/>
      <c r="F14" s="399"/>
      <c r="G14" s="595"/>
      <c r="H14" s="422"/>
      <c r="I14" s="400"/>
      <c r="J14" s="400"/>
      <c r="K14" s="400"/>
      <c r="L14" s="603"/>
      <c r="M14" s="401"/>
      <c r="N14" s="402"/>
      <c r="O14" s="402"/>
      <c r="P14" s="402"/>
      <c r="Q14" s="429"/>
      <c r="R14" s="401"/>
      <c r="S14" s="402"/>
      <c r="T14" s="402"/>
      <c r="U14" s="402"/>
      <c r="V14" s="430"/>
    </row>
    <row r="15" spans="1:245" s="393" customFormat="1" ht="13.5" thickBot="1" x14ac:dyDescent="0.25">
      <c r="A15" s="953"/>
      <c r="B15" s="403" t="str">
        <f>+'[1]B) Reajuste Tarifas y Ocupación'!B17</f>
        <v>Media Jornada</v>
      </c>
      <c r="C15" s="274">
        <f>+'B) Reajuste Tarifas y Ocupación'!M17</f>
        <v>196700</v>
      </c>
      <c r="D15" s="275">
        <f>+'B) Reajuste Tarifas y Ocupación'!N17</f>
        <v>283200</v>
      </c>
      <c r="E15" s="275">
        <f>+'B) Reajuste Tarifas y Ocupación'!O17</f>
        <v>283200</v>
      </c>
      <c r="F15" s="275">
        <f>+'B) Reajuste Tarifas y Ocupación'!P17</f>
        <v>295000</v>
      </c>
      <c r="G15" s="596">
        <f>+'B) Reajuste Tarifas y Ocupación'!Q17</f>
        <v>393300</v>
      </c>
      <c r="H15" s="351">
        <f>+'B) Reajuste Tarifas y Ocupación'!C17</f>
        <v>186000</v>
      </c>
      <c r="I15" s="352">
        <f>+'B) Reajuste Tarifas y Ocupación'!D17</f>
        <v>223200</v>
      </c>
      <c r="J15" s="352">
        <f>+'B) Reajuste Tarifas y Ocupación'!E17</f>
        <v>223200</v>
      </c>
      <c r="K15" s="352">
        <f>+'B) Reajuste Tarifas y Ocupación'!F17</f>
        <v>279000</v>
      </c>
      <c r="L15" s="353">
        <f>+'B) Reajuste Tarifas y Ocupación'!G17</f>
        <v>372000</v>
      </c>
      <c r="M15" s="354">
        <f t="shared" ref="M15" si="11">C15-H15</f>
        <v>10700</v>
      </c>
      <c r="N15" s="355">
        <f t="shared" ref="N15" si="12">D15-I15</f>
        <v>60000</v>
      </c>
      <c r="O15" s="355">
        <f t="shared" ref="O15" si="13">E15-J15</f>
        <v>60000</v>
      </c>
      <c r="P15" s="355">
        <f t="shared" ref="P15" si="14">F15-K15</f>
        <v>16000</v>
      </c>
      <c r="Q15" s="356">
        <f t="shared" ref="Q15" si="15">G15-L15</f>
        <v>21300</v>
      </c>
      <c r="R15" s="357">
        <f>+'B) Reajuste Tarifas y Ocupación'!H17</f>
        <v>5.7000000000000002E-2</v>
      </c>
      <c r="S15" s="358">
        <f>+'B) Reajuste Tarifas y Ocupación'!I17</f>
        <v>5.7000000000000002E-2</v>
      </c>
      <c r="T15" s="358">
        <f>+'B) Reajuste Tarifas y Ocupación'!J17</f>
        <v>5.7000000000000002E-2</v>
      </c>
      <c r="U15" s="358">
        <f>+'B) Reajuste Tarifas y Ocupación'!K17</f>
        <v>5.7000000000000002E-2</v>
      </c>
      <c r="V15" s="359">
        <f>+'B) Reajuste Tarifas y Ocupación'!L17</f>
        <v>5.7000000000000002E-2</v>
      </c>
    </row>
  </sheetData>
  <sheetProtection algorithmName="SHA-512" hashValue="yijBx/jMDl1qrSHtlurFHMBFMYzwsxRULnTZrqjsDbCN63A8TeoiDfVIOFi9pO00YtYY3uHc7O4ezn1JL0o2Kg==" saltValue="T0/Apgb4wG1ksTDHljsfPw==" spinCount="100000" sheet="1" objects="1" scenarios="1"/>
  <mergeCells count="10">
    <mergeCell ref="A13:A15"/>
    <mergeCell ref="A10:A12"/>
    <mergeCell ref="R8:V8"/>
    <mergeCell ref="G4:H4"/>
    <mergeCell ref="H8:L8"/>
    <mergeCell ref="M8:Q8"/>
    <mergeCell ref="C8:G8"/>
    <mergeCell ref="A6:D6"/>
    <mergeCell ref="A8:A9"/>
    <mergeCell ref="B8:B9"/>
  </mergeCells>
  <conditionalFormatting sqref="M10:Q15">
    <cfRule type="cellIs" dxfId="6" priority="7" operator="lessThan">
      <formula>0</formula>
    </cfRule>
  </conditionalFormatting>
  <conditionalFormatting sqref="M13:Q15">
    <cfRule type="cellIs" dxfId="5" priority="6" operator="lessThan">
      <formula>0</formula>
    </cfRule>
  </conditionalFormatting>
  <conditionalFormatting sqref="R14:V14">
    <cfRule type="cellIs" dxfId="4" priority="5" operator="lessThan">
      <formula>0</formula>
    </cfRule>
  </conditionalFormatting>
  <conditionalFormatting sqref="M14:Q14">
    <cfRule type="cellIs" dxfId="3" priority="4" operator="lessThan">
      <formula>0</formula>
    </cfRule>
  </conditionalFormatting>
  <conditionalFormatting sqref="H14:L14">
    <cfRule type="cellIs" dxfId="2" priority="3" operator="lessThan">
      <formula>0</formula>
    </cfRule>
  </conditionalFormatting>
  <conditionalFormatting sqref="H14:L14">
    <cfRule type="cellIs" dxfId="1" priority="2" operator="lessThan">
      <formula>0</formula>
    </cfRule>
  </conditionalFormatting>
  <conditionalFormatting sqref="H14:L14">
    <cfRule type="cellIs" dxfId="0" priority="1" operator="lessThan">
      <formula>0</formula>
    </cfRule>
  </conditionalFormatting>
  <pageMargins left="0.75" right="0.75" top="1" bottom="0.64583333333333337" header="0" footer="0.51180555555555551"/>
  <pageSetup firstPageNumber="0" fitToHeight="14" orientation="landscape" horizontalDpi="300" verticalDpi="300" r:id="rId1"/>
  <headerFooter alignWithMargins="0">
    <oddHeader>&amp;LSEPT - 2004&amp;CDIRECTIVA D.B.S.A.ORDINARIA&amp;R02-BS0307/02Pag &amp;P de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IY47"/>
  <sheetViews>
    <sheetView showGridLines="0" tabSelected="1" zoomScale="80" zoomScaleNormal="80" workbookViewId="0">
      <selection activeCell="L26" sqref="L26:L40"/>
    </sheetView>
  </sheetViews>
  <sheetFormatPr baseColWidth="10" defaultColWidth="11.42578125" defaultRowHeight="12.75" x14ac:dyDescent="0.2"/>
  <cols>
    <col min="1" max="1" width="7.140625" style="28" customWidth="1"/>
    <col min="2" max="2" width="37.28515625" style="28" customWidth="1"/>
    <col min="3" max="3" width="28" style="28" customWidth="1"/>
    <col min="4" max="4" width="24.140625" style="28" customWidth="1"/>
    <col min="5" max="5" width="25.140625" style="28" customWidth="1"/>
    <col min="6" max="6" width="25.140625" style="28" bestFit="1" customWidth="1"/>
    <col min="7" max="7" width="14.85546875" style="28" customWidth="1"/>
    <col min="8" max="8" width="15" style="28" customWidth="1"/>
    <col min="9" max="9" width="15.140625" style="28" customWidth="1"/>
    <col min="10" max="10" width="17.42578125" style="28" customWidth="1"/>
    <col min="11" max="11" width="19.140625" style="28" customWidth="1"/>
    <col min="12" max="12" width="22.5703125" style="28" customWidth="1"/>
    <col min="13" max="13" width="27" style="28" customWidth="1"/>
    <col min="14" max="14" width="17.140625" style="28" customWidth="1"/>
    <col min="15" max="15" width="14.85546875" style="28" customWidth="1"/>
    <col min="16" max="16" width="17.7109375" style="28" customWidth="1"/>
    <col min="17" max="17" width="17.140625" style="28" customWidth="1"/>
    <col min="18" max="18" width="18.140625" style="43" customWidth="1"/>
    <col min="19" max="19" width="16.28515625" style="28" customWidth="1"/>
    <col min="20" max="20" width="15.85546875" style="28" customWidth="1"/>
    <col min="21" max="21" width="14.85546875" style="28" customWidth="1"/>
    <col min="22" max="22" width="15.85546875" style="28" customWidth="1"/>
    <col min="23" max="23" width="14.28515625" style="28" customWidth="1"/>
    <col min="24" max="24" width="14.85546875" style="28" customWidth="1"/>
    <col min="25" max="25" width="14.140625" style="28" customWidth="1"/>
    <col min="26" max="26" width="16.85546875" style="28" customWidth="1"/>
    <col min="27" max="27" width="17.42578125" style="28" customWidth="1"/>
    <col min="28" max="28" width="15.28515625" style="28" customWidth="1"/>
    <col min="29" max="29" width="19.7109375" style="28" customWidth="1"/>
    <col min="30" max="30" width="17.42578125" style="28" customWidth="1"/>
    <col min="31" max="31" width="12" style="28" customWidth="1"/>
    <col min="32" max="16384" width="11.42578125" style="28"/>
  </cols>
  <sheetData>
    <row r="1" spans="2:259" s="6" customFormat="1" x14ac:dyDescent="0.2">
      <c r="C1" s="7"/>
      <c r="D1" s="7"/>
      <c r="E1" s="44" t="s">
        <v>203</v>
      </c>
      <c r="F1" s="44"/>
      <c r="G1" s="44"/>
      <c r="H1" s="44"/>
      <c r="I1" s="44"/>
      <c r="J1" s="7"/>
      <c r="K1" s="7"/>
      <c r="IM1" s="4"/>
      <c r="IN1" s="4"/>
    </row>
    <row r="2" spans="2:259" s="6" customFormat="1" x14ac:dyDescent="0.2">
      <c r="E2" s="44" t="s">
        <v>195</v>
      </c>
      <c r="F2" s="44"/>
      <c r="G2" s="44"/>
      <c r="H2" s="44"/>
      <c r="I2" s="44"/>
      <c r="IM2" s="4"/>
      <c r="IN2" s="4"/>
    </row>
    <row r="3" spans="2:259" s="6" customFormat="1" x14ac:dyDescent="0.2">
      <c r="B3" s="23"/>
      <c r="C3" s="7"/>
      <c r="D3" s="7"/>
      <c r="E3" s="7"/>
      <c r="F3" s="7"/>
      <c r="G3" s="7"/>
      <c r="H3" s="7"/>
      <c r="I3" s="7"/>
      <c r="J3" s="7"/>
      <c r="K3" s="7"/>
      <c r="L3" s="7"/>
      <c r="M3" s="7"/>
      <c r="N3" s="7"/>
      <c r="O3" s="7"/>
      <c r="P3" s="7"/>
      <c r="ID3" s="4"/>
      <c r="IE3" s="4"/>
      <c r="IF3" s="4"/>
      <c r="IG3" s="4"/>
      <c r="IH3" s="4"/>
      <c r="II3" s="4"/>
    </row>
    <row r="4" spans="2:259" s="6" customFormat="1" ht="18.75" customHeight="1" x14ac:dyDescent="0.2">
      <c r="B4" s="23"/>
      <c r="D4" s="705" t="s">
        <v>0</v>
      </c>
      <c r="E4" s="765" t="str">
        <f>+'B) Reajuste Tarifas y Ocupación'!F5</f>
        <v xml:space="preserve">BIENMAG </v>
      </c>
      <c r="F4" s="58"/>
      <c r="G4" s="59"/>
      <c r="H4" s="59"/>
      <c r="I4" s="59"/>
      <c r="J4" s="59"/>
      <c r="N4" s="3"/>
      <c r="ID4" s="4"/>
      <c r="IE4" s="4"/>
      <c r="IF4" s="4"/>
      <c r="IG4" s="4"/>
      <c r="IH4" s="4"/>
      <c r="II4" s="4"/>
    </row>
    <row r="5" spans="2:259" s="6" customFormat="1" x14ac:dyDescent="0.2">
      <c r="B5" s="23"/>
      <c r="D5" s="708"/>
      <c r="E5" s="710"/>
      <c r="F5" s="710"/>
      <c r="G5" s="710"/>
      <c r="H5" s="710"/>
      <c r="I5" s="710"/>
      <c r="J5" s="710"/>
      <c r="N5" s="3"/>
      <c r="ID5" s="4"/>
      <c r="IE5" s="4"/>
      <c r="IF5" s="4"/>
      <c r="IG5" s="4"/>
      <c r="IH5" s="4"/>
      <c r="II5" s="4"/>
    </row>
    <row r="6" spans="2:259" s="6" customFormat="1" x14ac:dyDescent="0.2">
      <c r="B6" s="23"/>
      <c r="D6" s="708"/>
      <c r="E6" s="710"/>
      <c r="F6" s="710"/>
      <c r="G6" s="710"/>
      <c r="H6" s="710"/>
      <c r="I6" s="710"/>
      <c r="J6" s="710"/>
      <c r="N6" s="3"/>
      <c r="ID6" s="4"/>
      <c r="IE6" s="4"/>
      <c r="IF6" s="4"/>
      <c r="IG6" s="4"/>
      <c r="IH6" s="4"/>
      <c r="II6" s="4"/>
    </row>
    <row r="7" spans="2:259" s="14" customFormat="1" ht="15.75" x14ac:dyDescent="0.2">
      <c r="B7" s="836" t="s">
        <v>157</v>
      </c>
      <c r="C7" s="836"/>
      <c r="D7" s="836"/>
      <c r="E7" s="836"/>
      <c r="F7" s="706"/>
      <c r="G7" s="60" t="s">
        <v>4</v>
      </c>
      <c r="H7" s="61">
        <v>7.1999999999999995E-2</v>
      </c>
      <c r="I7" s="706"/>
      <c r="J7" s="710"/>
      <c r="N7" s="25"/>
      <c r="ID7" s="10"/>
      <c r="IE7" s="10"/>
      <c r="IF7" s="10"/>
      <c r="IG7" s="10"/>
      <c r="IH7" s="10"/>
      <c r="II7" s="10"/>
    </row>
    <row r="8" spans="2:259" ht="13.5" thickBot="1" x14ac:dyDescent="0.25"/>
    <row r="9" spans="2:259" x14ac:dyDescent="0.2">
      <c r="B9" s="984" t="s">
        <v>115</v>
      </c>
      <c r="C9" s="986" t="s">
        <v>73</v>
      </c>
      <c r="D9" s="988" t="s">
        <v>74</v>
      </c>
      <c r="E9" s="978" t="s">
        <v>3</v>
      </c>
      <c r="F9" s="978" t="s">
        <v>82</v>
      </c>
      <c r="G9" s="980" t="s">
        <v>262</v>
      </c>
      <c r="H9" s="984" t="s">
        <v>263</v>
      </c>
      <c r="I9" s="982" t="s">
        <v>117</v>
      </c>
      <c r="J9" s="980" t="s">
        <v>118</v>
      </c>
      <c r="K9" s="975" t="s">
        <v>234</v>
      </c>
      <c r="L9" s="975" t="s">
        <v>116</v>
      </c>
      <c r="O9" s="27"/>
      <c r="P9" s="27"/>
      <c r="Q9" s="27"/>
      <c r="R9" s="27"/>
      <c r="S9" s="27"/>
      <c r="T9" s="27"/>
    </row>
    <row r="10" spans="2:259" ht="27.75" customHeight="1" thickBot="1" x14ac:dyDescent="0.25">
      <c r="B10" s="985"/>
      <c r="C10" s="987"/>
      <c r="D10" s="989"/>
      <c r="E10" s="979"/>
      <c r="F10" s="979"/>
      <c r="G10" s="981"/>
      <c r="H10" s="985"/>
      <c r="I10" s="983"/>
      <c r="J10" s="981"/>
      <c r="K10" s="976"/>
      <c r="L10" s="976"/>
      <c r="M10" s="29"/>
      <c r="N10" s="52"/>
      <c r="O10" s="52"/>
      <c r="P10" s="20"/>
      <c r="Q10" s="20"/>
      <c r="R10" s="20"/>
      <c r="S10" s="29"/>
      <c r="T10" s="977"/>
      <c r="U10" s="977"/>
      <c r="V10" s="977"/>
      <c r="W10" s="977"/>
      <c r="X10" s="29"/>
    </row>
    <row r="11" spans="2:259" s="2" customFormat="1" ht="13.5" thickBot="1" x14ac:dyDescent="0.25">
      <c r="B11" s="969" t="str">
        <f>+'B) Reajuste Tarifas y Ocupación'!A12</f>
        <v>Jardín Infantil Mar y Cielo</v>
      </c>
      <c r="C11" s="699" t="s">
        <v>385</v>
      </c>
      <c r="D11" s="700" t="s">
        <v>386</v>
      </c>
      <c r="E11" s="700" t="s">
        <v>218</v>
      </c>
      <c r="F11" s="700" t="s">
        <v>206</v>
      </c>
      <c r="G11" s="701">
        <f>(12972000/12)*10</f>
        <v>10810000</v>
      </c>
      <c r="H11" s="702">
        <f>+G11*(1+$H$7)</f>
        <v>11588320</v>
      </c>
      <c r="I11" s="703">
        <f>SUM(70713+60888)</f>
        <v>131601</v>
      </c>
      <c r="J11" s="703">
        <v>0</v>
      </c>
      <c r="K11" s="582">
        <f>SUM(H11:J11)</f>
        <v>11719921</v>
      </c>
      <c r="L11" s="972">
        <f>SUM(K11:K25)</f>
        <v>57150490</v>
      </c>
      <c r="M11" s="29"/>
      <c r="N11" s="34"/>
      <c r="O11" s="34"/>
      <c r="P11" s="53"/>
      <c r="Q11" s="53"/>
      <c r="R11" s="53"/>
      <c r="S11" s="31"/>
      <c r="T11" s="30"/>
      <c r="U11" s="30"/>
      <c r="V11" s="30"/>
      <c r="W11" s="30"/>
      <c r="X11" s="32"/>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row>
    <row r="12" spans="2:259" s="2" customFormat="1" x14ac:dyDescent="0.2">
      <c r="B12" s="970"/>
      <c r="C12" s="585"/>
      <c r="D12" s="406"/>
      <c r="E12" s="379"/>
      <c r="F12" s="406"/>
      <c r="G12" s="404"/>
      <c r="H12" s="583">
        <f t="shared" ref="H12:H40" si="0">+G12*(1+$H$7)</f>
        <v>0</v>
      </c>
      <c r="I12" s="633"/>
      <c r="J12" s="633"/>
      <c r="K12" s="583">
        <f t="shared" ref="K12:K40" si="1">SUM(H12:J12)</f>
        <v>0</v>
      </c>
      <c r="L12" s="973"/>
      <c r="M12" s="29"/>
      <c r="N12" s="34"/>
      <c r="O12" s="34"/>
      <c r="P12" s="20"/>
      <c r="Q12" s="20"/>
      <c r="R12" s="20"/>
      <c r="S12" s="31"/>
      <c r="T12" s="30"/>
      <c r="U12" s="30"/>
      <c r="V12" s="30"/>
      <c r="W12" s="30"/>
      <c r="X12" s="32"/>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row>
    <row r="13" spans="2:259" s="2" customFormat="1" x14ac:dyDescent="0.2">
      <c r="B13" s="970"/>
      <c r="C13" s="585" t="s">
        <v>270</v>
      </c>
      <c r="D13" s="406" t="s">
        <v>275</v>
      </c>
      <c r="E13" s="379" t="s">
        <v>219</v>
      </c>
      <c r="F13" s="406" t="s">
        <v>206</v>
      </c>
      <c r="G13" s="575">
        <v>6244000</v>
      </c>
      <c r="H13" s="583">
        <f t="shared" si="0"/>
        <v>6693568</v>
      </c>
      <c r="I13" s="634">
        <f>SUM(101383+125165)</f>
        <v>226548</v>
      </c>
      <c r="J13" s="634">
        <f>66655*2</f>
        <v>133310</v>
      </c>
      <c r="K13" s="583">
        <f t="shared" si="1"/>
        <v>7053426</v>
      </c>
      <c r="L13" s="973"/>
      <c r="M13" s="29"/>
      <c r="N13" s="34"/>
      <c r="O13" s="34"/>
      <c r="P13" s="20"/>
      <c r="Q13" s="20"/>
      <c r="R13" s="20"/>
      <c r="S13" s="31"/>
      <c r="T13" s="30"/>
      <c r="U13" s="30"/>
      <c r="V13" s="30"/>
      <c r="W13" s="30"/>
      <c r="X13" s="32"/>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row>
    <row r="14" spans="2:259" s="2" customFormat="1" x14ac:dyDescent="0.2">
      <c r="B14" s="970"/>
      <c r="C14" s="585" t="s">
        <v>271</v>
      </c>
      <c r="D14" s="406" t="s">
        <v>276</v>
      </c>
      <c r="E14" s="379" t="s">
        <v>219</v>
      </c>
      <c r="F14" s="406" t="s">
        <v>206</v>
      </c>
      <c r="G14" s="575">
        <v>6244000</v>
      </c>
      <c r="H14" s="583">
        <f t="shared" si="0"/>
        <v>6693568</v>
      </c>
      <c r="I14" s="634">
        <f t="shared" ref="I14:I17" si="2">SUM(101383+125165)</f>
        <v>226548</v>
      </c>
      <c r="J14" s="634">
        <f t="shared" ref="J14:J17" si="3">66655*2</f>
        <v>133310</v>
      </c>
      <c r="K14" s="583">
        <f t="shared" si="1"/>
        <v>7053426</v>
      </c>
      <c r="L14" s="973"/>
      <c r="M14" s="29"/>
      <c r="N14" s="34"/>
      <c r="O14" s="34"/>
      <c r="P14" s="20"/>
      <c r="Q14" s="20"/>
      <c r="R14" s="20"/>
      <c r="S14" s="31"/>
      <c r="T14" s="30"/>
      <c r="U14" s="30"/>
      <c r="V14" s="30"/>
      <c r="W14" s="30"/>
      <c r="X14" s="32"/>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row>
    <row r="15" spans="2:259" s="2" customFormat="1" x14ac:dyDescent="0.2">
      <c r="B15" s="970"/>
      <c r="C15" s="585" t="s">
        <v>272</v>
      </c>
      <c r="D15" s="406" t="s">
        <v>282</v>
      </c>
      <c r="E15" s="379" t="s">
        <v>219</v>
      </c>
      <c r="F15" s="406" t="s">
        <v>206</v>
      </c>
      <c r="G15" s="575">
        <v>6244000</v>
      </c>
      <c r="H15" s="583">
        <f t="shared" si="0"/>
        <v>6693568</v>
      </c>
      <c r="I15" s="634">
        <f t="shared" si="2"/>
        <v>226548</v>
      </c>
      <c r="J15" s="634">
        <f t="shared" si="3"/>
        <v>133310</v>
      </c>
      <c r="K15" s="583">
        <f t="shared" si="1"/>
        <v>7053426</v>
      </c>
      <c r="L15" s="973"/>
      <c r="M15" s="29"/>
      <c r="N15" s="34"/>
      <c r="O15" s="34"/>
      <c r="P15" s="20"/>
      <c r="Q15" s="20"/>
      <c r="R15" s="20"/>
      <c r="S15" s="31"/>
      <c r="T15" s="30"/>
      <c r="U15" s="30"/>
      <c r="V15" s="30"/>
      <c r="W15" s="30"/>
      <c r="X15" s="32"/>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row>
    <row r="16" spans="2:259" s="2" customFormat="1" x14ac:dyDescent="0.2">
      <c r="B16" s="970"/>
      <c r="C16" s="683" t="s">
        <v>383</v>
      </c>
      <c r="D16" s="684" t="s">
        <v>384</v>
      </c>
      <c r="E16" s="684" t="s">
        <v>219</v>
      </c>
      <c r="F16" s="684" t="s">
        <v>206</v>
      </c>
      <c r="G16" s="698">
        <f>(6244000/12)*10</f>
        <v>5203333.333333333</v>
      </c>
      <c r="H16" s="686">
        <f>+G16*(1+$H$7)</f>
        <v>5577973.333333333</v>
      </c>
      <c r="I16" s="673">
        <f t="shared" si="2"/>
        <v>226548</v>
      </c>
      <c r="J16" s="673">
        <v>0</v>
      </c>
      <c r="K16" s="686">
        <f t="shared" si="1"/>
        <v>5804521.333333333</v>
      </c>
      <c r="L16" s="973"/>
      <c r="M16" s="29"/>
      <c r="N16" s="34"/>
      <c r="O16" s="34"/>
      <c r="P16" s="20"/>
      <c r="Q16" s="20"/>
      <c r="R16" s="20"/>
      <c r="S16" s="31"/>
      <c r="T16" s="30"/>
      <c r="U16" s="30"/>
      <c r="V16" s="30"/>
      <c r="W16" s="30"/>
      <c r="X16" s="32"/>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row>
    <row r="17" spans="2:259" s="2" customFormat="1" x14ac:dyDescent="0.2">
      <c r="B17" s="970"/>
      <c r="C17" s="585" t="s">
        <v>273</v>
      </c>
      <c r="D17" s="406" t="s">
        <v>277</v>
      </c>
      <c r="E17" s="379" t="s">
        <v>266</v>
      </c>
      <c r="F17" s="406" t="s">
        <v>206</v>
      </c>
      <c r="G17" s="575">
        <f>602000*12</f>
        <v>7224000</v>
      </c>
      <c r="H17" s="583">
        <f>+G17*(1+$H$7)</f>
        <v>7744128</v>
      </c>
      <c r="I17" s="634">
        <f t="shared" si="2"/>
        <v>226548</v>
      </c>
      <c r="J17" s="634">
        <f t="shared" si="3"/>
        <v>133310</v>
      </c>
      <c r="K17" s="583">
        <f t="shared" si="1"/>
        <v>8103986</v>
      </c>
      <c r="L17" s="973"/>
      <c r="M17" s="29"/>
      <c r="N17" s="34"/>
      <c r="O17" s="34"/>
      <c r="P17" s="20"/>
      <c r="Q17" s="20"/>
      <c r="R17" s="20"/>
      <c r="S17" s="31"/>
      <c r="T17" s="30"/>
      <c r="U17" s="30"/>
      <c r="V17" s="30"/>
      <c r="W17" s="30"/>
      <c r="X17" s="32"/>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row>
    <row r="18" spans="2:259" s="2" customFormat="1" x14ac:dyDescent="0.2">
      <c r="B18" s="970"/>
      <c r="C18" s="585" t="s">
        <v>278</v>
      </c>
      <c r="D18" s="406" t="s">
        <v>279</v>
      </c>
      <c r="E18" s="379" t="s">
        <v>267</v>
      </c>
      <c r="F18" s="406" t="s">
        <v>206</v>
      </c>
      <c r="G18" s="575">
        <v>2080000</v>
      </c>
      <c r="H18" s="583">
        <f>+G18*(1+$H$7)</f>
        <v>2229760</v>
      </c>
      <c r="I18" s="634">
        <f>(101383+125165)/2</f>
        <v>113274</v>
      </c>
      <c r="J18" s="634">
        <f>(2*66655)/2</f>
        <v>66655</v>
      </c>
      <c r="K18" s="583">
        <f t="shared" si="1"/>
        <v>2409689</v>
      </c>
      <c r="L18" s="973"/>
      <c r="M18" s="29"/>
      <c r="N18" s="34"/>
      <c r="O18" s="34"/>
      <c r="P18" s="20"/>
      <c r="Q18" s="20"/>
      <c r="R18" s="20"/>
      <c r="S18" s="31"/>
      <c r="T18" s="30"/>
      <c r="U18" s="30"/>
      <c r="V18" s="30"/>
      <c r="W18" s="30"/>
      <c r="X18" s="32"/>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row>
    <row r="19" spans="2:259" s="2" customFormat="1" x14ac:dyDescent="0.2">
      <c r="B19" s="970"/>
      <c r="C19" s="683"/>
      <c r="D19" s="684"/>
      <c r="E19" s="379"/>
      <c r="F19" s="406"/>
      <c r="G19" s="575"/>
      <c r="H19" s="583"/>
      <c r="I19" s="634"/>
      <c r="J19" s="634"/>
      <c r="K19" s="583"/>
      <c r="L19" s="973"/>
      <c r="M19" s="678"/>
      <c r="N19" s="34"/>
      <c r="O19" s="34"/>
      <c r="P19" s="20"/>
      <c r="Q19" s="20"/>
      <c r="R19" s="20"/>
      <c r="S19" s="31"/>
      <c r="T19" s="30"/>
      <c r="U19" s="30"/>
      <c r="V19" s="30"/>
      <c r="W19" s="30"/>
      <c r="X19" s="32"/>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row>
    <row r="20" spans="2:259" s="2" customFormat="1" x14ac:dyDescent="0.2">
      <c r="B20" s="970"/>
      <c r="C20" s="683" t="s">
        <v>387</v>
      </c>
      <c r="D20" s="684" t="s">
        <v>388</v>
      </c>
      <c r="E20" s="684" t="s">
        <v>283</v>
      </c>
      <c r="F20" s="684" t="s">
        <v>206</v>
      </c>
      <c r="G20" s="685">
        <f>(G11/12)*8</f>
        <v>7206666.666666667</v>
      </c>
      <c r="H20" s="686">
        <f t="shared" si="0"/>
        <v>7725546.6666666679</v>
      </c>
      <c r="I20" s="673">
        <f t="shared" ref="I20" si="4">SUM(101383+125165)</f>
        <v>226548</v>
      </c>
      <c r="J20" s="685">
        <v>0</v>
      </c>
      <c r="K20" s="686">
        <f t="shared" si="1"/>
        <v>7952094.6666666679</v>
      </c>
      <c r="L20" s="973"/>
      <c r="M20" s="678" t="s">
        <v>381</v>
      </c>
      <c r="N20" s="34"/>
      <c r="O20" s="34"/>
      <c r="P20" s="20"/>
      <c r="Q20" s="20"/>
      <c r="R20" s="20"/>
      <c r="S20" s="31"/>
      <c r="T20" s="30"/>
      <c r="U20" s="30"/>
      <c r="V20" s="30"/>
      <c r="W20" s="30"/>
      <c r="X20" s="32"/>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row>
    <row r="21" spans="2:259" s="2" customFormat="1" x14ac:dyDescent="0.2">
      <c r="B21" s="970"/>
      <c r="C21" s="576"/>
      <c r="D21" s="379"/>
      <c r="E21" s="379"/>
      <c r="F21" s="406"/>
      <c r="G21" s="580">
        <v>0</v>
      </c>
      <c r="H21" s="583">
        <f t="shared" si="0"/>
        <v>0</v>
      </c>
      <c r="I21" s="575">
        <v>0</v>
      </c>
      <c r="J21" s="580">
        <v>0</v>
      </c>
      <c r="K21" s="583">
        <f t="shared" si="1"/>
        <v>0</v>
      </c>
      <c r="L21" s="973"/>
      <c r="M21" s="29"/>
      <c r="N21" s="34"/>
      <c r="O21" s="34"/>
      <c r="P21" s="20"/>
      <c r="Q21" s="20"/>
      <c r="R21" s="20"/>
      <c r="S21" s="31"/>
      <c r="T21" s="30"/>
      <c r="U21" s="30"/>
      <c r="V21" s="30"/>
      <c r="W21" s="30"/>
      <c r="X21" s="32"/>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row>
    <row r="22" spans="2:259" s="2" customFormat="1" x14ac:dyDescent="0.2">
      <c r="B22" s="970"/>
      <c r="C22" s="576" t="s">
        <v>286</v>
      </c>
      <c r="D22" s="379" t="s">
        <v>284</v>
      </c>
      <c r="E22" s="379" t="s">
        <v>285</v>
      </c>
      <c r="F22" s="406"/>
      <c r="G22" s="580">
        <v>0</v>
      </c>
      <c r="H22" s="583">
        <f t="shared" si="0"/>
        <v>0</v>
      </c>
      <c r="I22" s="575">
        <v>0</v>
      </c>
      <c r="J22" s="580">
        <v>0</v>
      </c>
      <c r="K22" s="583">
        <f t="shared" si="1"/>
        <v>0</v>
      </c>
      <c r="L22" s="973"/>
      <c r="M22" s="29"/>
      <c r="N22" s="34"/>
      <c r="O22" s="34"/>
      <c r="P22" s="20"/>
      <c r="Q22" s="20"/>
      <c r="R22" s="20"/>
      <c r="S22" s="31"/>
      <c r="T22" s="30"/>
      <c r="U22" s="30"/>
      <c r="V22" s="30"/>
      <c r="W22" s="30"/>
      <c r="X22" s="32"/>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row>
    <row r="23" spans="2:259" s="2" customFormat="1" x14ac:dyDescent="0.2">
      <c r="B23" s="970"/>
      <c r="C23" s="576" t="s">
        <v>287</v>
      </c>
      <c r="D23" s="379" t="s">
        <v>288</v>
      </c>
      <c r="E23" s="379" t="s">
        <v>289</v>
      </c>
      <c r="F23" s="684" t="s">
        <v>375</v>
      </c>
      <c r="G23" s="580">
        <v>0</v>
      </c>
      <c r="H23" s="583">
        <f t="shared" si="0"/>
        <v>0</v>
      </c>
      <c r="I23" s="575">
        <v>0</v>
      </c>
      <c r="J23" s="580">
        <v>0</v>
      </c>
      <c r="K23" s="583">
        <f t="shared" si="1"/>
        <v>0</v>
      </c>
      <c r="L23" s="973"/>
      <c r="M23" s="29"/>
      <c r="N23" s="34"/>
      <c r="O23" s="34"/>
      <c r="P23" s="20"/>
      <c r="Q23" s="20"/>
      <c r="R23" s="20"/>
      <c r="S23" s="31"/>
      <c r="T23" s="30"/>
      <c r="U23" s="30"/>
      <c r="V23" s="30"/>
      <c r="W23" s="30"/>
      <c r="X23" s="32"/>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row>
    <row r="24" spans="2:259" s="2" customFormat="1" x14ac:dyDescent="0.2">
      <c r="B24" s="970"/>
      <c r="C24" s="576" t="s">
        <v>290</v>
      </c>
      <c r="D24" s="379" t="s">
        <v>321</v>
      </c>
      <c r="E24" s="379" t="s">
        <v>289</v>
      </c>
      <c r="F24" s="406"/>
      <c r="G24" s="580">
        <v>0</v>
      </c>
      <c r="H24" s="583">
        <f t="shared" si="0"/>
        <v>0</v>
      </c>
      <c r="I24" s="575">
        <v>0</v>
      </c>
      <c r="J24" s="580">
        <v>0</v>
      </c>
      <c r="K24" s="583">
        <f t="shared" si="1"/>
        <v>0</v>
      </c>
      <c r="L24" s="973"/>
      <c r="M24" s="29"/>
      <c r="N24" s="34"/>
      <c r="O24" s="34"/>
      <c r="P24" s="20"/>
      <c r="Q24" s="20"/>
      <c r="R24" s="20"/>
      <c r="S24" s="31"/>
      <c r="T24" s="30"/>
      <c r="U24" s="30"/>
      <c r="V24" s="30"/>
      <c r="W24" s="30"/>
      <c r="X24" s="32"/>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row>
    <row r="25" spans="2:259" ht="13.5" thickBot="1" x14ac:dyDescent="0.25">
      <c r="B25" s="971"/>
      <c r="C25" s="382"/>
      <c r="D25" s="181"/>
      <c r="E25" s="181"/>
      <c r="F25" s="579"/>
      <c r="G25" s="581">
        <v>0</v>
      </c>
      <c r="H25" s="584">
        <f t="shared" si="0"/>
        <v>0</v>
      </c>
      <c r="I25" s="405"/>
      <c r="J25" s="581">
        <v>0</v>
      </c>
      <c r="K25" s="584">
        <f t="shared" si="1"/>
        <v>0</v>
      </c>
      <c r="L25" s="974"/>
      <c r="M25" s="29"/>
      <c r="N25" s="34"/>
      <c r="O25" s="34"/>
      <c r="P25" s="34"/>
      <c r="Q25" s="34"/>
      <c r="R25" s="34"/>
      <c r="S25" s="35"/>
      <c r="T25" s="34"/>
      <c r="U25" s="34"/>
      <c r="V25" s="34"/>
      <c r="W25" s="34"/>
      <c r="X25" s="36"/>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row>
    <row r="26" spans="2:259" x14ac:dyDescent="0.2">
      <c r="B26" s="969" t="str">
        <f>+'B) Reajuste Tarifas y Ocupación'!A15</f>
        <v>Sala Cuna Mar y Cielo Diurna</v>
      </c>
      <c r="C26" s="585" t="s">
        <v>269</v>
      </c>
      <c r="D26" s="406" t="s">
        <v>274</v>
      </c>
      <c r="E26" s="375" t="s">
        <v>218</v>
      </c>
      <c r="F26" s="574" t="s">
        <v>264</v>
      </c>
      <c r="G26" s="404">
        <v>12540000</v>
      </c>
      <c r="H26" s="582">
        <f t="shared" si="0"/>
        <v>13442880</v>
      </c>
      <c r="I26" s="633">
        <f>SUM(70713+60888)</f>
        <v>131601</v>
      </c>
      <c r="J26" s="681">
        <f>66655*2</f>
        <v>133310</v>
      </c>
      <c r="K26" s="582">
        <f>SUM(H26:J26)</f>
        <v>13707791</v>
      </c>
      <c r="L26" s="972">
        <f>SUM(K26:K40)</f>
        <v>33183765.333333332</v>
      </c>
      <c r="M26" s="704"/>
      <c r="N26" s="27"/>
      <c r="O26" s="27"/>
      <c r="P26" s="34"/>
      <c r="Q26" s="34"/>
      <c r="R26" s="34"/>
      <c r="S26" s="37"/>
      <c r="T26" s="37"/>
      <c r="U26" s="38"/>
      <c r="V26" s="38"/>
      <c r="W26" s="39"/>
      <c r="X26" s="39"/>
    </row>
    <row r="27" spans="2:259" x14ac:dyDescent="0.2">
      <c r="B27" s="970"/>
      <c r="C27" s="576" t="s">
        <v>389</v>
      </c>
      <c r="D27" s="379" t="s">
        <v>390</v>
      </c>
      <c r="E27" s="379" t="s">
        <v>219</v>
      </c>
      <c r="F27" s="406" t="s">
        <v>264</v>
      </c>
      <c r="G27" s="575">
        <v>6244000</v>
      </c>
      <c r="H27" s="583">
        <f t="shared" si="0"/>
        <v>6693568</v>
      </c>
      <c r="I27" s="634">
        <f>SUM(101383+125165)</f>
        <v>226548</v>
      </c>
      <c r="J27" s="634">
        <f t="shared" ref="J27:J29" si="5">66655*2</f>
        <v>133310</v>
      </c>
      <c r="K27" s="680">
        <f t="shared" si="1"/>
        <v>7053426</v>
      </c>
      <c r="L27" s="973"/>
      <c r="M27" s="27"/>
      <c r="N27" s="27"/>
      <c r="O27" s="27"/>
      <c r="P27" s="34"/>
      <c r="Q27" s="34"/>
      <c r="R27" s="34"/>
      <c r="S27" s="37"/>
      <c r="T27" s="37"/>
      <c r="U27" s="38"/>
      <c r="V27" s="38"/>
      <c r="W27" s="39"/>
      <c r="X27" s="39"/>
    </row>
    <row r="28" spans="2:259" x14ac:dyDescent="0.2">
      <c r="B28" s="970"/>
      <c r="C28" s="683" t="s">
        <v>391</v>
      </c>
      <c r="D28" s="684" t="s">
        <v>392</v>
      </c>
      <c r="E28" s="684" t="s">
        <v>219</v>
      </c>
      <c r="F28" s="684" t="s">
        <v>264</v>
      </c>
      <c r="G28" s="698">
        <f>(6244000/12)*10</f>
        <v>5203333.333333333</v>
      </c>
      <c r="H28" s="686">
        <f t="shared" si="0"/>
        <v>5577973.333333333</v>
      </c>
      <c r="I28" s="673">
        <f t="shared" ref="I28:I29" si="6">SUM(101383+125165)</f>
        <v>226548</v>
      </c>
      <c r="J28" s="673">
        <v>0</v>
      </c>
      <c r="K28" s="680">
        <f>SUM(H28:J28)</f>
        <v>5804521.333333333</v>
      </c>
      <c r="L28" s="973"/>
      <c r="M28" s="37"/>
      <c r="N28" s="37"/>
      <c r="O28" s="37"/>
      <c r="P28" s="37"/>
      <c r="Q28" s="37"/>
      <c r="R28" s="37"/>
      <c r="S28" s="37"/>
      <c r="T28" s="37"/>
      <c r="U28" s="38"/>
      <c r="V28" s="38"/>
      <c r="W28" s="39"/>
      <c r="X28" s="39"/>
    </row>
    <row r="29" spans="2:259" x14ac:dyDescent="0.2">
      <c r="B29" s="970"/>
      <c r="C29" s="576" t="s">
        <v>280</v>
      </c>
      <c r="D29" s="379" t="s">
        <v>281</v>
      </c>
      <c r="E29" s="379" t="s">
        <v>266</v>
      </c>
      <c r="F29" s="379" t="s">
        <v>264</v>
      </c>
      <c r="G29" s="612">
        <v>3590000</v>
      </c>
      <c r="H29" s="583">
        <f t="shared" si="0"/>
        <v>3848480</v>
      </c>
      <c r="I29" s="634">
        <f t="shared" si="6"/>
        <v>226548</v>
      </c>
      <c r="J29" s="634">
        <f t="shared" si="5"/>
        <v>133310</v>
      </c>
      <c r="K29" s="680">
        <f t="shared" si="1"/>
        <v>4208338</v>
      </c>
      <c r="L29" s="973"/>
      <c r="M29" s="37"/>
      <c r="N29" s="37"/>
      <c r="O29" s="37"/>
      <c r="P29" s="37"/>
      <c r="Q29" s="37"/>
      <c r="R29" s="37"/>
      <c r="S29" s="37"/>
      <c r="T29" s="37"/>
      <c r="U29" s="38"/>
      <c r="V29" s="38"/>
      <c r="W29" s="39"/>
      <c r="X29" s="39"/>
    </row>
    <row r="30" spans="2:259" x14ac:dyDescent="0.2">
      <c r="B30" s="970"/>
      <c r="C30" s="576" t="s">
        <v>278</v>
      </c>
      <c r="D30" s="379" t="s">
        <v>279</v>
      </c>
      <c r="E30" s="379" t="s">
        <v>267</v>
      </c>
      <c r="F30" s="379" t="s">
        <v>264</v>
      </c>
      <c r="G30" s="575">
        <v>2080000</v>
      </c>
      <c r="H30" s="583">
        <f t="shared" si="0"/>
        <v>2229760</v>
      </c>
      <c r="I30" s="634">
        <f>SUM(101383+125165)/2</f>
        <v>113274</v>
      </c>
      <c r="J30" s="634">
        <f>(66655*2)/2</f>
        <v>66655</v>
      </c>
      <c r="K30" s="680">
        <f t="shared" si="1"/>
        <v>2409689</v>
      </c>
      <c r="L30" s="973"/>
      <c r="M30" s="679" t="s">
        <v>380</v>
      </c>
      <c r="N30" s="37"/>
      <c r="O30" s="37"/>
      <c r="P30" s="37"/>
      <c r="Q30" s="37"/>
      <c r="R30" s="37"/>
      <c r="S30" s="37"/>
      <c r="T30" s="37"/>
      <c r="U30" s="38"/>
      <c r="V30" s="38"/>
      <c r="W30" s="39"/>
      <c r="X30" s="39"/>
    </row>
    <row r="31" spans="2:259" x14ac:dyDescent="0.2">
      <c r="B31" s="970"/>
      <c r="C31" s="576"/>
      <c r="D31" s="379"/>
      <c r="E31" s="379"/>
      <c r="F31" s="379"/>
      <c r="G31" s="580">
        <v>0</v>
      </c>
      <c r="H31" s="583">
        <f t="shared" si="0"/>
        <v>0</v>
      </c>
      <c r="I31" s="575">
        <v>0</v>
      </c>
      <c r="J31" s="580">
        <v>0</v>
      </c>
      <c r="K31" s="583">
        <f t="shared" si="1"/>
        <v>0</v>
      </c>
      <c r="L31" s="973"/>
      <c r="M31" s="37"/>
      <c r="N31" s="37"/>
      <c r="O31" s="37"/>
      <c r="P31" s="37"/>
      <c r="Q31" s="37"/>
      <c r="R31" s="37"/>
      <c r="S31" s="37"/>
      <c r="T31" s="37"/>
      <c r="U31" s="38"/>
      <c r="V31" s="38"/>
      <c r="W31" s="39"/>
      <c r="X31" s="39"/>
    </row>
    <row r="32" spans="2:259" x14ac:dyDescent="0.2">
      <c r="B32" s="970"/>
      <c r="C32" s="576"/>
      <c r="D32" s="379"/>
      <c r="E32" s="379"/>
      <c r="F32" s="379"/>
      <c r="G32" s="580">
        <v>0</v>
      </c>
      <c r="H32" s="583">
        <f t="shared" si="0"/>
        <v>0</v>
      </c>
      <c r="I32" s="575">
        <v>0</v>
      </c>
      <c r="J32" s="580">
        <v>0</v>
      </c>
      <c r="K32" s="583">
        <f t="shared" si="1"/>
        <v>0</v>
      </c>
      <c r="L32" s="973"/>
      <c r="M32" s="37"/>
      <c r="N32" s="37"/>
      <c r="O32" s="37"/>
      <c r="P32" s="37"/>
      <c r="Q32" s="37"/>
      <c r="R32" s="37"/>
      <c r="S32" s="37"/>
      <c r="T32" s="37"/>
      <c r="U32" s="38"/>
      <c r="V32" s="38"/>
      <c r="W32" s="39"/>
      <c r="X32" s="39"/>
    </row>
    <row r="33" spans="2:24" x14ac:dyDescent="0.2">
      <c r="B33" s="970"/>
      <c r="C33" s="576"/>
      <c r="D33" s="379"/>
      <c r="E33" s="379"/>
      <c r="F33" s="379"/>
      <c r="G33" s="580">
        <v>0</v>
      </c>
      <c r="H33" s="583">
        <f t="shared" si="0"/>
        <v>0</v>
      </c>
      <c r="I33" s="575">
        <v>0</v>
      </c>
      <c r="J33" s="580">
        <v>0</v>
      </c>
      <c r="K33" s="583">
        <f t="shared" si="1"/>
        <v>0</v>
      </c>
      <c r="L33" s="973"/>
      <c r="M33" s="37"/>
      <c r="N33" s="37"/>
      <c r="O33" s="37"/>
      <c r="P33" s="37"/>
      <c r="Q33" s="37"/>
      <c r="R33" s="37"/>
      <c r="S33" s="37"/>
      <c r="T33" s="37"/>
      <c r="U33" s="38"/>
      <c r="V33" s="38"/>
      <c r="W33" s="39"/>
      <c r="X33" s="39"/>
    </row>
    <row r="34" spans="2:24" x14ac:dyDescent="0.2">
      <c r="B34" s="970"/>
      <c r="C34" s="576"/>
      <c r="D34" s="379"/>
      <c r="E34" s="379"/>
      <c r="F34" s="379"/>
      <c r="G34" s="580">
        <v>0</v>
      </c>
      <c r="H34" s="583">
        <f t="shared" si="0"/>
        <v>0</v>
      </c>
      <c r="I34" s="575">
        <v>0</v>
      </c>
      <c r="J34" s="580">
        <v>0</v>
      </c>
      <c r="K34" s="583">
        <f t="shared" si="1"/>
        <v>0</v>
      </c>
      <c r="L34" s="973"/>
    </row>
    <row r="35" spans="2:24" x14ac:dyDescent="0.2">
      <c r="B35" s="970"/>
      <c r="C35" s="576"/>
      <c r="D35" s="379"/>
      <c r="E35" s="379"/>
      <c r="F35" s="379"/>
      <c r="G35" s="580">
        <v>0</v>
      </c>
      <c r="H35" s="583">
        <f t="shared" si="0"/>
        <v>0</v>
      </c>
      <c r="I35" s="575">
        <v>0</v>
      </c>
      <c r="J35" s="580">
        <v>0</v>
      </c>
      <c r="K35" s="583">
        <f t="shared" si="1"/>
        <v>0</v>
      </c>
      <c r="L35" s="973"/>
    </row>
    <row r="36" spans="2:24" x14ac:dyDescent="0.2">
      <c r="B36" s="970"/>
      <c r="C36" s="576"/>
      <c r="D36" s="379"/>
      <c r="E36" s="379"/>
      <c r="F36" s="379"/>
      <c r="G36" s="580">
        <v>0</v>
      </c>
      <c r="H36" s="583">
        <f t="shared" si="0"/>
        <v>0</v>
      </c>
      <c r="I36" s="575">
        <v>0</v>
      </c>
      <c r="J36" s="580">
        <v>0</v>
      </c>
      <c r="K36" s="583">
        <f t="shared" si="1"/>
        <v>0</v>
      </c>
      <c r="L36" s="973"/>
    </row>
    <row r="37" spans="2:24" x14ac:dyDescent="0.2">
      <c r="B37" s="970"/>
      <c r="C37" s="576"/>
      <c r="D37" s="379"/>
      <c r="E37" s="379"/>
      <c r="F37" s="379"/>
      <c r="G37" s="580">
        <v>0</v>
      </c>
      <c r="H37" s="583">
        <f t="shared" si="0"/>
        <v>0</v>
      </c>
      <c r="I37" s="575">
        <v>0</v>
      </c>
      <c r="J37" s="580">
        <v>0</v>
      </c>
      <c r="K37" s="583">
        <f t="shared" si="1"/>
        <v>0</v>
      </c>
      <c r="L37" s="973"/>
    </row>
    <row r="38" spans="2:24" x14ac:dyDescent="0.2">
      <c r="B38" s="970"/>
      <c r="C38" s="576"/>
      <c r="D38" s="379"/>
      <c r="E38" s="379"/>
      <c r="F38" s="379"/>
      <c r="G38" s="580">
        <v>0</v>
      </c>
      <c r="H38" s="583">
        <f t="shared" si="0"/>
        <v>0</v>
      </c>
      <c r="I38" s="575">
        <v>0</v>
      </c>
      <c r="J38" s="580">
        <v>0</v>
      </c>
      <c r="K38" s="583">
        <f t="shared" si="1"/>
        <v>0</v>
      </c>
      <c r="L38" s="973"/>
    </row>
    <row r="39" spans="2:24" x14ac:dyDescent="0.2">
      <c r="B39" s="970"/>
      <c r="C39" s="576"/>
      <c r="D39" s="379"/>
      <c r="E39" s="379"/>
      <c r="F39" s="379"/>
      <c r="G39" s="580">
        <v>0</v>
      </c>
      <c r="H39" s="583">
        <f t="shared" si="0"/>
        <v>0</v>
      </c>
      <c r="I39" s="575">
        <v>0</v>
      </c>
      <c r="J39" s="580">
        <v>0</v>
      </c>
      <c r="K39" s="583">
        <f t="shared" si="1"/>
        <v>0</v>
      </c>
      <c r="L39" s="973"/>
    </row>
    <row r="40" spans="2:24" ht="13.5" thickBot="1" x14ac:dyDescent="0.25">
      <c r="B40" s="971"/>
      <c r="C40" s="382"/>
      <c r="D40" s="181"/>
      <c r="E40" s="181"/>
      <c r="F40" s="181"/>
      <c r="G40" s="581">
        <v>0</v>
      </c>
      <c r="H40" s="584">
        <f t="shared" si="0"/>
        <v>0</v>
      </c>
      <c r="I40" s="405">
        <v>0</v>
      </c>
      <c r="J40" s="581">
        <v>0</v>
      </c>
      <c r="K40" s="584">
        <f t="shared" si="1"/>
        <v>0</v>
      </c>
      <c r="L40" s="974"/>
    </row>
    <row r="41" spans="2:24" ht="16.5" thickBot="1" x14ac:dyDescent="0.25">
      <c r="B41" s="26"/>
      <c r="C41" s="45"/>
      <c r="D41" s="45"/>
      <c r="E41" s="46"/>
      <c r="F41" s="46"/>
      <c r="G41" s="46"/>
      <c r="H41" s="46"/>
      <c r="I41" s="46"/>
      <c r="J41" s="40"/>
      <c r="K41" s="338" t="s">
        <v>95</v>
      </c>
      <c r="L41" s="182">
        <f>SUM(L11:L40)</f>
        <v>90334255.333333328</v>
      </c>
    </row>
    <row r="42" spans="2:24" x14ac:dyDescent="0.2">
      <c r="B42" s="26"/>
      <c r="C42" s="45"/>
      <c r="D42" s="45"/>
      <c r="E42" s="46"/>
      <c r="F42" s="46"/>
      <c r="G42" s="46"/>
      <c r="H42" s="46"/>
      <c r="I42" s="46"/>
      <c r="J42" s="40"/>
      <c r="K42" s="40"/>
      <c r="L42" s="40"/>
    </row>
    <row r="43" spans="2:24" x14ac:dyDescent="0.2">
      <c r="B43" s="26"/>
      <c r="C43" s="26"/>
      <c r="D43" s="26"/>
      <c r="E43" s="26"/>
      <c r="F43" s="26"/>
      <c r="G43" s="26"/>
      <c r="H43" s="26"/>
      <c r="I43" s="26"/>
      <c r="J43" s="37"/>
      <c r="K43" s="37"/>
      <c r="L43" s="37"/>
    </row>
    <row r="47" spans="2:24" x14ac:dyDescent="0.2">
      <c r="C47" s="687" t="s">
        <v>372</v>
      </c>
    </row>
  </sheetData>
  <sheetProtection algorithmName="SHA-512" hashValue="Hlf4nLYj3aTUYceHgs4p6y5fqV6OIyb1OEJB/YRPMGi06oX9GBeGM8RcSsocq0zP2seus4J/djOcY93zLAcQDg==" saltValue="W517XV+TsrjwneWXc3Mj5Q==" spinCount="100000" sheet="1" objects="1" scenarios="1"/>
  <mergeCells count="17">
    <mergeCell ref="B7:E7"/>
    <mergeCell ref="B9:B10"/>
    <mergeCell ref="C9:C10"/>
    <mergeCell ref="D9:D10"/>
    <mergeCell ref="E9:E10"/>
    <mergeCell ref="B26:B40"/>
    <mergeCell ref="L26:L40"/>
    <mergeCell ref="K9:K10"/>
    <mergeCell ref="L9:L10"/>
    <mergeCell ref="T10:W10"/>
    <mergeCell ref="B11:B25"/>
    <mergeCell ref="L11:L25"/>
    <mergeCell ref="F9:F10"/>
    <mergeCell ref="G9:G10"/>
    <mergeCell ref="I9:I10"/>
    <mergeCell ref="J9:J10"/>
    <mergeCell ref="H9:H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18"/>
  <sheetViews>
    <sheetView showGridLines="0" topLeftCell="B1" zoomScale="90" zoomScaleNormal="90" workbookViewId="0">
      <selection activeCell="M22" sqref="M22"/>
    </sheetView>
  </sheetViews>
  <sheetFormatPr baseColWidth="10" defaultColWidth="10.7109375" defaultRowHeight="12.75" x14ac:dyDescent="0.2"/>
  <cols>
    <col min="1" max="1" width="33" style="4" customWidth="1"/>
    <col min="2" max="2" width="33" style="10" bestFit="1" customWidth="1"/>
    <col min="3" max="12" width="14.7109375" style="10" customWidth="1"/>
    <col min="13" max="13" width="33.42578125" style="4" bestFit="1" customWidth="1"/>
    <col min="14" max="14" width="14.7109375" style="10" customWidth="1"/>
    <col min="15" max="15" width="33.42578125" style="4" bestFit="1" customWidth="1"/>
    <col min="16" max="16" width="14.7109375" style="10" customWidth="1"/>
    <col min="17" max="17" width="14.28515625" style="4" customWidth="1"/>
    <col min="18" max="16384" width="10.7109375" style="4"/>
  </cols>
  <sheetData>
    <row r="1" spans="1:19" x14ac:dyDescent="0.2">
      <c r="B1" s="44"/>
      <c r="C1" s="44"/>
      <c r="D1" s="44" t="s">
        <v>204</v>
      </c>
      <c r="E1" s="44"/>
      <c r="F1" s="44"/>
      <c r="G1" s="44"/>
      <c r="H1" s="44"/>
      <c r="I1" s="44"/>
      <c r="J1" s="44"/>
      <c r="K1" s="44"/>
      <c r="L1" s="44"/>
      <c r="M1" s="44"/>
      <c r="N1" s="44"/>
      <c r="P1" s="44"/>
    </row>
    <row r="2" spans="1:19" x14ac:dyDescent="0.2">
      <c r="B2" s="44"/>
      <c r="C2" s="44"/>
      <c r="D2" s="44" t="s">
        <v>196</v>
      </c>
      <c r="E2" s="44"/>
      <c r="F2" s="44"/>
      <c r="G2" s="44"/>
      <c r="H2" s="44"/>
      <c r="I2" s="44"/>
      <c r="J2" s="44"/>
      <c r="K2" s="44"/>
      <c r="L2" s="44"/>
      <c r="M2" s="44"/>
      <c r="N2" s="44"/>
      <c r="P2" s="44"/>
    </row>
    <row r="3" spans="1:19" x14ac:dyDescent="0.2">
      <c r="C3" s="14"/>
      <c r="D3" s="14"/>
      <c r="E3" s="14"/>
      <c r="F3" s="14"/>
      <c r="G3" s="14"/>
      <c r="H3" s="14"/>
      <c r="I3" s="14"/>
      <c r="J3" s="14"/>
      <c r="K3" s="14"/>
      <c r="L3" s="14"/>
      <c r="N3" s="14"/>
      <c r="P3" s="14"/>
    </row>
    <row r="4" spans="1:19" ht="18.75" customHeight="1" x14ac:dyDescent="0.2">
      <c r="C4" s="18" t="s">
        <v>0</v>
      </c>
      <c r="D4" s="995" t="str">
        <f>+'B) Reajuste Tarifas y Ocupación'!F5</f>
        <v xml:space="preserve">BIENMAG </v>
      </c>
      <c r="E4" s="996"/>
      <c r="F4" s="997"/>
      <c r="G4" s="199"/>
      <c r="H4" s="199"/>
      <c r="I4" s="199"/>
      <c r="J4" s="199"/>
      <c r="K4" s="199"/>
      <c r="L4" s="199"/>
      <c r="N4" s="199"/>
      <c r="P4" s="199"/>
    </row>
    <row r="5" spans="1:19" x14ac:dyDescent="0.2">
      <c r="A5" s="9"/>
      <c r="B5" s="19"/>
      <c r="C5" s="199"/>
      <c r="D5" s="199"/>
      <c r="E5" s="199"/>
      <c r="F5" s="199"/>
      <c r="G5" s="199"/>
      <c r="H5" s="199"/>
      <c r="I5" s="199"/>
      <c r="J5" s="199"/>
      <c r="K5" s="199"/>
      <c r="L5" s="199"/>
      <c r="M5" s="199"/>
      <c r="N5" s="199"/>
      <c r="P5" s="199"/>
    </row>
    <row r="6" spans="1:19" x14ac:dyDescent="0.2">
      <c r="A6" s="9"/>
      <c r="B6" s="19"/>
      <c r="C6" s="199"/>
      <c r="D6" s="199"/>
      <c r="E6" s="199"/>
      <c r="F6" s="199"/>
      <c r="G6" s="199"/>
      <c r="H6" s="199"/>
      <c r="I6" s="199"/>
      <c r="J6" s="199"/>
      <c r="K6" s="199"/>
      <c r="L6" s="199"/>
      <c r="M6" s="199"/>
      <c r="N6" s="199"/>
      <c r="P6" s="199"/>
    </row>
    <row r="7" spans="1:19" ht="12.75" customHeight="1" x14ac:dyDescent="0.2">
      <c r="A7" s="1009" t="s">
        <v>129</v>
      </c>
      <c r="B7" s="1010"/>
      <c r="C7" s="1010"/>
      <c r="D7" s="1010"/>
      <c r="E7" s="1010"/>
      <c r="F7" s="1010"/>
      <c r="G7" s="1010"/>
      <c r="H7" s="1010"/>
      <c r="I7" s="1010"/>
      <c r="J7" s="1010"/>
      <c r="K7" s="1010"/>
      <c r="L7" s="1010"/>
      <c r="M7" s="1010"/>
      <c r="N7" s="1010"/>
      <c r="O7" s="1011"/>
      <c r="P7" s="56"/>
    </row>
    <row r="8" spans="1:19" x14ac:dyDescent="0.2">
      <c r="A8" s="1012"/>
      <c r="B8" s="1013"/>
      <c r="C8" s="1013"/>
      <c r="D8" s="1013"/>
      <c r="E8" s="1013"/>
      <c r="F8" s="1013"/>
      <c r="G8" s="1013"/>
      <c r="H8" s="1013"/>
      <c r="I8" s="1013"/>
      <c r="J8" s="1013"/>
      <c r="K8" s="1013"/>
      <c r="L8" s="1013"/>
      <c r="M8" s="1013"/>
      <c r="N8" s="1013"/>
      <c r="O8" s="1014"/>
      <c r="P8" s="56"/>
    </row>
    <row r="9" spans="1:19" x14ac:dyDescent="0.2">
      <c r="A9" s="1015"/>
      <c r="B9" s="1016"/>
      <c r="C9" s="1016"/>
      <c r="D9" s="1016"/>
      <c r="E9" s="1016"/>
      <c r="F9" s="1016"/>
      <c r="G9" s="1016"/>
      <c r="H9" s="1016"/>
      <c r="I9" s="1016"/>
      <c r="J9" s="1016"/>
      <c r="K9" s="1016"/>
      <c r="L9" s="1016"/>
      <c r="M9" s="1016"/>
      <c r="N9" s="1016"/>
      <c r="O9" s="1017"/>
      <c r="P9" s="56"/>
    </row>
    <row r="10" spans="1:19" x14ac:dyDescent="0.2">
      <c r="A10" s="56"/>
      <c r="B10" s="56"/>
      <c r="C10" s="56"/>
      <c r="D10" s="56"/>
      <c r="E10" s="56"/>
      <c r="F10" s="56"/>
      <c r="G10" s="56"/>
      <c r="H10" s="56"/>
      <c r="I10" s="56"/>
      <c r="J10" s="56"/>
      <c r="K10" s="56"/>
      <c r="L10" s="56"/>
      <c r="M10" s="56"/>
      <c r="N10" s="56"/>
      <c r="O10" s="56"/>
      <c r="P10" s="56"/>
    </row>
    <row r="11" spans="1:19" x14ac:dyDescent="0.2">
      <c r="A11" s="50"/>
      <c r="B11" s="50"/>
      <c r="C11" s="50"/>
      <c r="D11" s="50"/>
      <c r="E11" s="50"/>
      <c r="F11" s="50"/>
      <c r="G11" s="50"/>
      <c r="H11" s="50"/>
      <c r="I11" s="50"/>
      <c r="J11" s="50"/>
      <c r="K11" s="50"/>
      <c r="L11" s="50"/>
      <c r="M11" s="50"/>
      <c r="N11" s="50"/>
      <c r="O11" s="50"/>
      <c r="P11" s="50"/>
    </row>
    <row r="12" spans="1:19" ht="15.75" x14ac:dyDescent="0.2">
      <c r="A12" s="964" t="s">
        <v>158</v>
      </c>
      <c r="B12" s="964"/>
      <c r="C12" s="964"/>
      <c r="D12" s="964"/>
      <c r="E12" s="200"/>
      <c r="F12" s="50"/>
      <c r="G12" s="50"/>
      <c r="H12" s="50"/>
      <c r="I12" s="49"/>
      <c r="J12" s="49"/>
      <c r="K12" s="50"/>
      <c r="L12" s="50"/>
      <c r="M12" s="50"/>
      <c r="N12" s="50"/>
      <c r="O12" s="50"/>
      <c r="P12" s="50"/>
    </row>
    <row r="13" spans="1:19" ht="13.5" thickBot="1" x14ac:dyDescent="0.25">
      <c r="A13" s="9"/>
      <c r="B13" s="19"/>
      <c r="C13" s="199"/>
      <c r="D13" s="199"/>
      <c r="E13" s="199"/>
      <c r="F13" s="199"/>
      <c r="G13" s="199"/>
      <c r="H13" s="199"/>
      <c r="I13" s="199"/>
      <c r="J13" s="199"/>
      <c r="K13" s="199"/>
      <c r="L13" s="199"/>
      <c r="M13" s="199"/>
      <c r="N13" s="199"/>
      <c r="P13" s="199"/>
    </row>
    <row r="14" spans="1:19" ht="20.25" customHeight="1" x14ac:dyDescent="0.2">
      <c r="A14" s="1000" t="s">
        <v>134</v>
      </c>
      <c r="B14" s="1002" t="s">
        <v>5</v>
      </c>
      <c r="C14" s="804" t="s">
        <v>228</v>
      </c>
      <c r="D14" s="805"/>
      <c r="E14" s="805"/>
      <c r="F14" s="805"/>
      <c r="G14" s="806"/>
      <c r="H14" s="1006" t="s">
        <v>140</v>
      </c>
      <c r="I14" s="1007"/>
      <c r="J14" s="1007"/>
      <c r="K14" s="1007"/>
      <c r="L14" s="1008"/>
      <c r="M14" s="1004" t="s">
        <v>111</v>
      </c>
      <c r="N14" s="1005"/>
      <c r="O14" s="998" t="s">
        <v>112</v>
      </c>
      <c r="P14" s="999"/>
      <c r="Q14" s="993" t="s">
        <v>130</v>
      </c>
    </row>
    <row r="15" spans="1:19" ht="70.5" customHeight="1" thickBot="1" x14ac:dyDescent="0.25">
      <c r="A15" s="1001"/>
      <c r="B15" s="1003"/>
      <c r="C15" s="281" t="s">
        <v>87</v>
      </c>
      <c r="D15" s="282" t="s">
        <v>135</v>
      </c>
      <c r="E15" s="282" t="s">
        <v>136</v>
      </c>
      <c r="F15" s="282" t="s">
        <v>88</v>
      </c>
      <c r="G15" s="283" t="s">
        <v>89</v>
      </c>
      <c r="H15" s="284" t="s">
        <v>87</v>
      </c>
      <c r="I15" s="285" t="s">
        <v>135</v>
      </c>
      <c r="J15" s="285" t="s">
        <v>136</v>
      </c>
      <c r="K15" s="285" t="s">
        <v>88</v>
      </c>
      <c r="L15" s="286" t="s">
        <v>89</v>
      </c>
      <c r="M15" s="287" t="s">
        <v>72</v>
      </c>
      <c r="N15" s="577" t="s">
        <v>86</v>
      </c>
      <c r="O15" s="288" t="s">
        <v>72</v>
      </c>
      <c r="P15" s="180" t="s">
        <v>86</v>
      </c>
      <c r="Q15" s="994"/>
    </row>
    <row r="16" spans="1:19" ht="12.75" customHeight="1" x14ac:dyDescent="0.2">
      <c r="A16" s="990" t="str">
        <f>'B) Reajuste Tarifas y Ocupación'!A12</f>
        <v>Jardín Infantil Mar y Cielo</v>
      </c>
      <c r="B16" s="289" t="str">
        <f>+'B) Reajuste Tarifas y Ocupación'!B12</f>
        <v>Media jornada</v>
      </c>
      <c r="C16" s="269">
        <f>+'B) Reajuste Tarifas y Ocupación'!M12</f>
        <v>63800</v>
      </c>
      <c r="D16" s="270">
        <f>+'B) Reajuste Tarifas y Ocupación'!N12</f>
        <v>76500</v>
      </c>
      <c r="E16" s="270">
        <f>+'B) Reajuste Tarifas y Ocupación'!O12</f>
        <v>76500</v>
      </c>
      <c r="F16" s="270">
        <f>+'B) Reajuste Tarifas y Ocupación'!P12</f>
        <v>100000</v>
      </c>
      <c r="G16" s="271">
        <f>+'B) Reajuste Tarifas y Ocupación'!Q12</f>
        <v>118100</v>
      </c>
      <c r="H16" s="292">
        <f t="shared" ref="H16:K17" si="0">IFERROR(C16/$Q16,0)</f>
        <v>0.38666666666666666</v>
      </c>
      <c r="I16" s="133">
        <f t="shared" si="0"/>
        <v>0.46363636363636362</v>
      </c>
      <c r="J16" s="133">
        <f t="shared" si="0"/>
        <v>0.46363636363636362</v>
      </c>
      <c r="K16" s="133">
        <f t="shared" si="0"/>
        <v>0.60606060606060608</v>
      </c>
      <c r="L16" s="431">
        <f t="shared" ref="L16" si="1">IFERROR(G16/$Q16,0)</f>
        <v>0.7157575757575757</v>
      </c>
      <c r="M16" s="407" t="s">
        <v>325</v>
      </c>
      <c r="N16" s="578">
        <v>165000</v>
      </c>
      <c r="O16" s="374" t="s">
        <v>322</v>
      </c>
      <c r="P16" s="183"/>
      <c r="Q16" s="434">
        <f>AVERAGE(N16,P16)</f>
        <v>165000</v>
      </c>
      <c r="R16" s="20"/>
      <c r="S16" s="21"/>
    </row>
    <row r="17" spans="1:19" ht="12.75" customHeight="1" x14ac:dyDescent="0.2">
      <c r="A17" s="991"/>
      <c r="B17" s="290" t="str">
        <f>+'B) Reajuste Tarifas y Ocupación'!B13</f>
        <v xml:space="preserve">Doble jornada </v>
      </c>
      <c r="C17" s="272">
        <f>+'B) Reajuste Tarifas y Ocupación'!M13</f>
        <v>95000</v>
      </c>
      <c r="D17" s="268">
        <f>+'B) Reajuste Tarifas y Ocupación'!N13</f>
        <v>114000</v>
      </c>
      <c r="E17" s="268">
        <f>+'B) Reajuste Tarifas y Ocupación'!O13</f>
        <v>114000</v>
      </c>
      <c r="F17" s="268">
        <f>+'B) Reajuste Tarifas y Ocupación'!P13</f>
        <v>142500</v>
      </c>
      <c r="G17" s="273">
        <f>+'B) Reajuste Tarifas y Ocupación'!Q13</f>
        <v>167100</v>
      </c>
      <c r="H17" s="135">
        <f t="shared" si="0"/>
        <v>0</v>
      </c>
      <c r="I17" s="134">
        <f t="shared" si="0"/>
        <v>0</v>
      </c>
      <c r="J17" s="134">
        <f t="shared" si="0"/>
        <v>0</v>
      </c>
      <c r="K17" s="134">
        <f t="shared" si="0"/>
        <v>0</v>
      </c>
      <c r="L17" s="432">
        <f t="shared" ref="L17" si="2">IFERROR(G17/$Q17,0)</f>
        <v>0</v>
      </c>
      <c r="M17" s="408" t="s">
        <v>128</v>
      </c>
      <c r="N17" s="437">
        <v>0</v>
      </c>
      <c r="O17" s="576" t="s">
        <v>235</v>
      </c>
      <c r="P17" s="437">
        <v>0</v>
      </c>
      <c r="Q17" s="435">
        <f>AVERAGE(N17,P17)</f>
        <v>0</v>
      </c>
      <c r="R17" s="20"/>
      <c r="S17" s="21"/>
    </row>
    <row r="18" spans="1:19" ht="13.5" thickBot="1" x14ac:dyDescent="0.25">
      <c r="A18" s="992"/>
      <c r="B18" s="291" t="str">
        <f>+'B) Reajuste Tarifas y Ocupación'!B14</f>
        <v>Jornada completa</v>
      </c>
      <c r="C18" s="274">
        <f>+'B) Reajuste Tarifas y Ocupación'!M14</f>
        <v>148200</v>
      </c>
      <c r="D18" s="275">
        <f>+'B) Reajuste Tarifas y Ocupación'!N14</f>
        <v>177900</v>
      </c>
      <c r="E18" s="275">
        <f>+'B) Reajuste Tarifas y Ocupación'!O14</f>
        <v>177900</v>
      </c>
      <c r="F18" s="275">
        <f>+'B) Reajuste Tarifas y Ocupación'!P14</f>
        <v>185300</v>
      </c>
      <c r="G18" s="276">
        <f>+'B) Reajuste Tarifas y Ocupación'!Q14</f>
        <v>192700</v>
      </c>
      <c r="H18" s="186">
        <f t="shared" ref="H18" si="3">IFERROR(C18/$Q18,0)</f>
        <v>0.6267206272280933</v>
      </c>
      <c r="I18" s="187">
        <f t="shared" ref="I18" si="4">IFERROR(D18/$Q18,0)</f>
        <v>0.75231848572117277</v>
      </c>
      <c r="J18" s="187">
        <f t="shared" ref="J18" si="5">IFERROR(E18/$Q18,0)</f>
        <v>0.75231848572117277</v>
      </c>
      <c r="K18" s="187">
        <f t="shared" ref="K18" si="6">IFERROR(F18/$Q18,0)</f>
        <v>0.78361222824133392</v>
      </c>
      <c r="L18" s="433">
        <f t="shared" ref="L18" si="7">IFERROR(G18/$Q18,0)</f>
        <v>0.81490597076149518</v>
      </c>
      <c r="M18" s="184" t="s">
        <v>324</v>
      </c>
      <c r="N18" s="185">
        <v>290000</v>
      </c>
      <c r="O18" s="382" t="s">
        <v>323</v>
      </c>
      <c r="P18" s="185">
        <v>182938</v>
      </c>
      <c r="Q18" s="436">
        <f t="shared" ref="Q18" si="8">AVERAGE(N18,P18)</f>
        <v>236469</v>
      </c>
      <c r="R18" s="20"/>
      <c r="S18" s="21"/>
    </row>
  </sheetData>
  <sheetProtection algorithmName="SHA-512" hashValue="B6nNxF4lvn47OerqkBrrd8/zCbeMuds3gFV6/NIdaTleHpPDHe+pJ8U40uXNYy3FxNZ5ru9hGx2bLCe1YNDMMQ==" saltValue="kPUtFOhIXjG1IF3AXgnSZg==" spinCount="100000" sheet="1" objects="1" scenarios="1"/>
  <mergeCells count="11">
    <mergeCell ref="A16:A18"/>
    <mergeCell ref="Q14:Q15"/>
    <mergeCell ref="D4:F4"/>
    <mergeCell ref="O14:P14"/>
    <mergeCell ref="A14:A15"/>
    <mergeCell ref="B14:B15"/>
    <mergeCell ref="M14:N14"/>
    <mergeCell ref="C14:G14"/>
    <mergeCell ref="H14:L14"/>
    <mergeCell ref="A7:O9"/>
    <mergeCell ref="A12:D12"/>
  </mergeCells>
  <pageMargins left="0.7" right="0.7" top="0.75" bottom="0.75" header="0.51180555555555551" footer="0.51180555555555551"/>
  <pageSetup scale="5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vt:lpstr>
      <vt:lpstr>Índice Tablas</vt:lpstr>
      <vt:lpstr>A) Resumen Ingresos y Egresos</vt:lpstr>
      <vt:lpstr>B) Reajuste Tarifas y Ocupación</vt:lpstr>
      <vt:lpstr>C) Costos Directos</vt:lpstr>
      <vt:lpstr>D) Costos Indirectos</vt:lpstr>
      <vt:lpstr>E) Resumen Tarifado </vt:lpstr>
      <vt:lpstr>F) Remuneraciones</vt:lpstr>
      <vt:lpstr>G) Comparación Mercado</vt:lpstr>
      <vt:lpstr>H) Detalle Datos</vt:lpstr>
      <vt:lpstr>I) Proyección Mensual.</vt:lpstr>
      <vt:lpstr>__xlnm_Print_Area</vt:lpstr>
      <vt:lpstr>__xlnm_Print_Area_1</vt:lpstr>
      <vt:lpstr>__xlnm_Print_Area_2</vt:lpstr>
      <vt:lpstr>__xlnm_Print_Titles</vt:lpstr>
      <vt:lpstr>__xlnm_Print_Titles_1</vt:lpstr>
      <vt:lpstr>'A) Resumen Ingresos y Egresos'!Área_de_impresión</vt:lpstr>
      <vt:lpstr>'C) Costos Directos'!Área_de_impresión</vt:lpstr>
      <vt:lpstr>'E) Resumen Tarifado '!Área_de_impresión</vt:lpstr>
      <vt:lpstr>bienique1</vt:lpstr>
      <vt:lpstr>'C) Costos Directos'!Excel_BuiltIn_Print_Area</vt:lpstr>
      <vt:lpstr>'A) Resumen Ingresos y Egresos'!Títulos_a_imprimir</vt:lpstr>
      <vt:lpstr>'C) Costos Directos'!Títulos_a_imprimir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cverall@armada.cl</dc:creator>
  <cp:lastModifiedBy>106116660</cp:lastModifiedBy>
  <cp:lastPrinted>2022-03-28T18:18:54Z</cp:lastPrinted>
  <dcterms:created xsi:type="dcterms:W3CDTF">2017-05-11T00:45:10Z</dcterms:created>
  <dcterms:modified xsi:type="dcterms:W3CDTF">2022-03-30T20:25:12Z</dcterms:modified>
</cp:coreProperties>
</file>