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 USUARIOS\L. MONDACA\MIS COMPARTIDAS\EDUCACIONAL\TARIFAS\TARIFAS 2022\TRABAJADAS POR DEPTOS 2022\marzo 2022\FINALES MAR 2022\"/>
    </mc:Choice>
  </mc:AlternateContent>
  <xr:revisionPtr revIDLastSave="0" documentId="13_ncr:1_{326A9908-F897-4550-AC5D-80384C009544}" xr6:coauthVersionLast="46" xr6:coauthVersionMax="46" xr10:uidLastSave="{00000000-0000-0000-0000-000000000000}"/>
  <bookViews>
    <workbookView xWindow="-120" yWindow="-120" windowWidth="29040" windowHeight="15840" tabRatio="850" firstSheet="2" activeTab="2" xr2:uid="{00000000-000D-0000-FFFF-FFFF00000000}"/>
  </bookViews>
  <sheets>
    <sheet name="Instrucciones" sheetId="1" r:id="rId1"/>
    <sheet name="Índice Tablas" sheetId="2" r:id="rId2"/>
    <sheet name="A) Resumen Ingresos y Egresos" sheetId="3" r:id="rId3"/>
    <sheet name="B) Reajuste Tarifas y Ocupación" sheetId="4" r:id="rId4"/>
    <sheet name="C) Costos Directos" sheetId="5" r:id="rId5"/>
    <sheet name="D) Costos Indirectos" sheetId="6" r:id="rId6"/>
    <sheet name="E) Resumen Tarifado " sheetId="7" r:id="rId7"/>
    <sheet name="F) Remuneraciones" sheetId="8" r:id="rId8"/>
    <sheet name="G) Comparación Mercado" sheetId="9" r:id="rId9"/>
    <sheet name="H) Detalle Datos" sheetId="10" r:id="rId10"/>
    <sheet name="I) Proyección Mensual" sheetId="11" r:id="rId11"/>
  </sheets>
  <externalReferences>
    <externalReference r:id="rId12"/>
    <externalReference r:id="rId13"/>
    <externalReference r:id="rId14"/>
  </externalReferences>
  <definedNames>
    <definedName name="__xlnm_Print_Area">'A) Resumen Ingresos y Egresos'!$A$1:$N$32</definedName>
    <definedName name="__xlnm_Print_Area_1">'C) Costos Directos'!$A$1:$H$38</definedName>
    <definedName name="__xlnm_Print_Area_2" localSheetId="5">#REF!</definedName>
    <definedName name="__xlnm_Print_Area_2">'E) Resumen Tarifado '!$A$4:$G$11</definedName>
    <definedName name="__xlnm_Print_Titles">'A) Resumen Ingresos y Egresos'!$1:$25</definedName>
    <definedName name="__xlnm_Print_Titles_1">'C) Costos Directos'!$1:$11</definedName>
    <definedName name="__xlnm_Print_Titles_2">NA()</definedName>
    <definedName name="_xlnm.Print_Area" localSheetId="2">'A) Resumen Ingresos y Egresos'!$A$1:$N$32</definedName>
    <definedName name="_xlnm.Print_Area" localSheetId="4">'C) Costos Directos'!$A$1:$H$75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Print_Area_0" localSheetId="2">'A) Resumen Ingresos y Egresos'!$A$1:$N$32</definedName>
    <definedName name="Print_Area_0" localSheetId="4">'C) Costos Directos'!$A$1:$H$75</definedName>
    <definedName name="Print_Area_0" localSheetId="6">'E) Resumen Tarifado '!$A$4:$G$11</definedName>
    <definedName name="Print_Titles_0" localSheetId="2">'A) Resumen Ingresos y Egresos'!$1:$25</definedName>
    <definedName name="Print_Titles_0" localSheetId="4">'C) Costos Directos'!$1:$11</definedName>
    <definedName name="_xlnm.Print_Titles" localSheetId="2">'A) Resumen Ingresos y Egresos'!$1:$25</definedName>
    <definedName name="_xlnm.Print_Titles" localSheetId="4">'C) Costos Directos'!$1:$11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7" i="5" l="1"/>
  <c r="F193" i="5"/>
  <c r="F536" i="5"/>
  <c r="F470" i="5"/>
  <c r="F457" i="5"/>
  <c r="G116" i="8"/>
  <c r="H31" i="8"/>
  <c r="H30" i="8"/>
  <c r="H51" i="8"/>
  <c r="G117" i="8"/>
  <c r="H45" i="8"/>
  <c r="E203" i="10"/>
  <c r="D203" i="10"/>
  <c r="C203" i="10"/>
  <c r="B203" i="10"/>
  <c r="F85" i="5"/>
  <c r="F19" i="5"/>
  <c r="N457" i="5" l="1"/>
  <c r="N453" i="5"/>
  <c r="N449" i="5"/>
  <c r="N438" i="5"/>
  <c r="D514" i="5" s="1"/>
  <c r="M430" i="5"/>
  <c r="N437" i="5"/>
  <c r="F415" i="5" l="1"/>
  <c r="F283" i="5"/>
  <c r="F416" i="5"/>
  <c r="G22" i="8" l="1"/>
  <c r="F482" i="5"/>
  <c r="F20" i="5"/>
  <c r="H112" i="8"/>
  <c r="H115" i="8" s="1"/>
  <c r="H106" i="8"/>
  <c r="H81" i="8"/>
  <c r="H79" i="8"/>
  <c r="H75" i="8"/>
  <c r="H13" i="8" l="1"/>
  <c r="H33" i="8"/>
  <c r="H32" i="8"/>
  <c r="K32" i="8" s="1"/>
  <c r="K51" i="8"/>
  <c r="H46" i="8"/>
  <c r="H41" i="8"/>
  <c r="H54" i="8"/>
  <c r="H53" i="8"/>
  <c r="H105" i="8"/>
  <c r="K31" i="8"/>
  <c r="F86" i="5"/>
  <c r="G114" i="8" l="1"/>
  <c r="G113" i="8"/>
  <c r="G52" i="8" l="1"/>
  <c r="G110" i="8"/>
  <c r="G56" i="8"/>
  <c r="H23" i="8"/>
  <c r="H18" i="8"/>
  <c r="H24" i="8"/>
  <c r="K45" i="8" s="1"/>
  <c r="D41" i="5"/>
  <c r="D107" i="5" l="1"/>
  <c r="J37" i="3" l="1"/>
  <c r="K37" i="3"/>
  <c r="L37" i="3"/>
  <c r="M37" i="3"/>
  <c r="K41" i="3"/>
  <c r="F41" i="3" s="1"/>
  <c r="L41" i="3"/>
  <c r="G41" i="3" s="1"/>
  <c r="M41" i="3"/>
  <c r="H41" i="3" s="1"/>
  <c r="J41" i="3"/>
  <c r="E41" i="3" s="1"/>
  <c r="I41" i="3"/>
  <c r="D41" i="3" s="1"/>
  <c r="I37" i="3"/>
  <c r="M16" i="4"/>
  <c r="I46" i="3"/>
  <c r="I49" i="3"/>
  <c r="C215" i="10" l="1"/>
  <c r="G21" i="8"/>
  <c r="H21" i="8" s="1"/>
  <c r="B191" i="10" l="1"/>
  <c r="E185" i="10"/>
  <c r="D185" i="10"/>
  <c r="C185" i="10"/>
  <c r="B185" i="10"/>
  <c r="E179" i="10"/>
  <c r="D179" i="10"/>
  <c r="C179" i="10"/>
  <c r="B179" i="10"/>
  <c r="H110" i="8" l="1"/>
  <c r="K110" i="8" s="1"/>
  <c r="J60" i="11"/>
  <c r="B60" i="11"/>
  <c r="M55" i="11"/>
  <c r="L55" i="11"/>
  <c r="K55" i="11"/>
  <c r="J55" i="11"/>
  <c r="I55" i="11"/>
  <c r="H55" i="11"/>
  <c r="G55" i="11"/>
  <c r="F55" i="11"/>
  <c r="E55" i="11"/>
  <c r="D55" i="11"/>
  <c r="C55" i="11"/>
  <c r="B55" i="11"/>
  <c r="J48" i="11"/>
  <c r="B48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J35" i="11"/>
  <c r="B35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J23" i="11"/>
  <c r="B23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J11" i="11"/>
  <c r="B11" i="11"/>
  <c r="M6" i="11"/>
  <c r="L6" i="11"/>
  <c r="K6" i="11"/>
  <c r="J6" i="11"/>
  <c r="I6" i="11"/>
  <c r="H6" i="11"/>
  <c r="G6" i="11"/>
  <c r="F6" i="11"/>
  <c r="E6" i="11"/>
  <c r="D6" i="11"/>
  <c r="C6" i="11"/>
  <c r="B6" i="11"/>
  <c r="I212" i="10"/>
  <c r="G212" i="10"/>
  <c r="E209" i="10"/>
  <c r="E212" i="10" s="1"/>
  <c r="D209" i="10"/>
  <c r="D212" i="10" s="1"/>
  <c r="C209" i="10"/>
  <c r="B209" i="10"/>
  <c r="B212" i="10" s="1"/>
  <c r="I206" i="10"/>
  <c r="G206" i="10"/>
  <c r="J206" i="10" s="1"/>
  <c r="E206" i="10"/>
  <c r="D206" i="10"/>
  <c r="B206" i="10"/>
  <c r="I200" i="10"/>
  <c r="G200" i="10"/>
  <c r="E200" i="10"/>
  <c r="D200" i="10"/>
  <c r="C200" i="10"/>
  <c r="B200" i="10"/>
  <c r="I194" i="10"/>
  <c r="G194" i="10"/>
  <c r="E191" i="10"/>
  <c r="E194" i="10" s="1"/>
  <c r="D191" i="10"/>
  <c r="D194" i="10" s="1"/>
  <c r="C191" i="10"/>
  <c r="B194" i="10"/>
  <c r="I188" i="10"/>
  <c r="G188" i="10"/>
  <c r="E188" i="10"/>
  <c r="D188" i="10"/>
  <c r="B188" i="10"/>
  <c r="I182" i="10"/>
  <c r="G182" i="10"/>
  <c r="E182" i="10"/>
  <c r="D182" i="10"/>
  <c r="B182" i="10"/>
  <c r="I138" i="10"/>
  <c r="G138" i="10"/>
  <c r="F138" i="10"/>
  <c r="E138" i="10"/>
  <c r="D138" i="10"/>
  <c r="J137" i="10"/>
  <c r="J136" i="10"/>
  <c r="J135" i="10"/>
  <c r="J134" i="10"/>
  <c r="J133" i="10"/>
  <c r="J132" i="10"/>
  <c r="J131" i="10"/>
  <c r="T119" i="10"/>
  <c r="T118" i="10"/>
  <c r="T117" i="10"/>
  <c r="T116" i="10"/>
  <c r="T115" i="10"/>
  <c r="T114" i="10"/>
  <c r="T113" i="10"/>
  <c r="T112" i="10"/>
  <c r="J112" i="10"/>
  <c r="S111" i="10"/>
  <c r="T111" i="10" s="1"/>
  <c r="J111" i="10"/>
  <c r="T110" i="10"/>
  <c r="U110" i="10" s="1"/>
  <c r="J110" i="10"/>
  <c r="T109" i="10"/>
  <c r="U109" i="10" s="1"/>
  <c r="J109" i="10"/>
  <c r="T108" i="10"/>
  <c r="U108" i="10" s="1"/>
  <c r="J108" i="10"/>
  <c r="T107" i="10"/>
  <c r="U107" i="10" s="1"/>
  <c r="J107" i="10"/>
  <c r="T106" i="10"/>
  <c r="U106" i="10" s="1"/>
  <c r="J106" i="10"/>
  <c r="T105" i="10"/>
  <c r="U105" i="10" s="1"/>
  <c r="I105" i="10"/>
  <c r="J105" i="10" s="1"/>
  <c r="U104" i="10"/>
  <c r="T104" i="10"/>
  <c r="J104" i="10"/>
  <c r="K104" i="10" s="1"/>
  <c r="T103" i="10"/>
  <c r="J103" i="10"/>
  <c r="K103" i="10" s="1"/>
  <c r="T102" i="10"/>
  <c r="J102" i="10"/>
  <c r="K102" i="10" s="1"/>
  <c r="T101" i="10"/>
  <c r="J101" i="10"/>
  <c r="K101" i="10" s="1"/>
  <c r="T100" i="10"/>
  <c r="J100" i="10"/>
  <c r="K100" i="10" s="1"/>
  <c r="T99" i="10"/>
  <c r="J99" i="10"/>
  <c r="K99" i="10" s="1"/>
  <c r="T98" i="10"/>
  <c r="J98" i="10"/>
  <c r="T97" i="10"/>
  <c r="J97" i="10"/>
  <c r="T96" i="10"/>
  <c r="J96" i="10"/>
  <c r="T95" i="10"/>
  <c r="J95" i="10"/>
  <c r="T94" i="10"/>
  <c r="J94" i="10"/>
  <c r="T93" i="10"/>
  <c r="J93" i="10"/>
  <c r="T92" i="10"/>
  <c r="J92" i="10"/>
  <c r="T91" i="10"/>
  <c r="J91" i="10"/>
  <c r="T90" i="10"/>
  <c r="J90" i="10"/>
  <c r="T89" i="10"/>
  <c r="J89" i="10"/>
  <c r="T88" i="10"/>
  <c r="J88" i="10"/>
  <c r="T87" i="10"/>
  <c r="J87" i="10"/>
  <c r="T86" i="10"/>
  <c r="J86" i="10"/>
  <c r="T85" i="10"/>
  <c r="U85" i="10" s="1"/>
  <c r="J85" i="10"/>
  <c r="T84" i="10"/>
  <c r="U84" i="10" s="1"/>
  <c r="J84" i="10"/>
  <c r="T83" i="10"/>
  <c r="U83" i="10" s="1"/>
  <c r="J83" i="10"/>
  <c r="T82" i="10"/>
  <c r="J82" i="10"/>
  <c r="K82" i="10" s="1"/>
  <c r="T81" i="10"/>
  <c r="J81" i="10"/>
  <c r="K81" i="10" s="1"/>
  <c r="T80" i="10"/>
  <c r="J80" i="10"/>
  <c r="T79" i="10"/>
  <c r="J79" i="10"/>
  <c r="T78" i="10"/>
  <c r="J78" i="10"/>
  <c r="T77" i="10"/>
  <c r="U77" i="10" s="1"/>
  <c r="J77" i="10"/>
  <c r="K77" i="10" s="1"/>
  <c r="T76" i="10"/>
  <c r="U76" i="10" s="1"/>
  <c r="J76" i="10"/>
  <c r="K76" i="10" s="1"/>
  <c r="T75" i="10"/>
  <c r="U75" i="10" s="1"/>
  <c r="J75" i="10"/>
  <c r="K75" i="10" s="1"/>
  <c r="T74" i="10"/>
  <c r="U74" i="10" s="1"/>
  <c r="J74" i="10"/>
  <c r="K74" i="10" s="1"/>
  <c r="U73" i="10"/>
  <c r="T73" i="10"/>
  <c r="J73" i="10"/>
  <c r="K73" i="10" s="1"/>
  <c r="T72" i="10"/>
  <c r="U72" i="10" s="1"/>
  <c r="J72" i="10"/>
  <c r="K72" i="10" s="1"/>
  <c r="T71" i="10"/>
  <c r="U71" i="10" s="1"/>
  <c r="J71" i="10"/>
  <c r="K71" i="10" s="1"/>
  <c r="J61" i="10"/>
  <c r="J60" i="10"/>
  <c r="J59" i="10"/>
  <c r="J58" i="10"/>
  <c r="J57" i="10"/>
  <c r="J56" i="10"/>
  <c r="J55" i="10"/>
  <c r="J54" i="10"/>
  <c r="T53" i="10"/>
  <c r="I53" i="10"/>
  <c r="J53" i="10" s="1"/>
  <c r="T52" i="10"/>
  <c r="K52" i="10"/>
  <c r="J52" i="10"/>
  <c r="T51" i="10"/>
  <c r="J51" i="10"/>
  <c r="K51" i="10" s="1"/>
  <c r="T50" i="10"/>
  <c r="J50" i="10"/>
  <c r="K50" i="10" s="1"/>
  <c r="T49" i="10"/>
  <c r="J49" i="10"/>
  <c r="K49" i="10" s="1"/>
  <c r="T48" i="10"/>
  <c r="J48" i="10"/>
  <c r="K48" i="10" s="1"/>
  <c r="T47" i="10"/>
  <c r="J47" i="10"/>
  <c r="K47" i="10" s="1"/>
  <c r="T46" i="10"/>
  <c r="J46" i="10"/>
  <c r="K46" i="10" s="1"/>
  <c r="T45" i="10"/>
  <c r="U45" i="10" s="1"/>
  <c r="V45" i="10" s="1"/>
  <c r="J45" i="10"/>
  <c r="T44" i="10"/>
  <c r="U44" i="10" s="1"/>
  <c r="J44" i="10"/>
  <c r="T43" i="10"/>
  <c r="U43" i="10" s="1"/>
  <c r="J43" i="10"/>
  <c r="T42" i="10"/>
  <c r="U42" i="10" s="1"/>
  <c r="J42" i="10"/>
  <c r="J41" i="10"/>
  <c r="J40" i="10"/>
  <c r="T39" i="10"/>
  <c r="J39" i="10"/>
  <c r="T38" i="10"/>
  <c r="J38" i="10"/>
  <c r="T37" i="10"/>
  <c r="J37" i="10"/>
  <c r="T36" i="10"/>
  <c r="J36" i="10"/>
  <c r="T35" i="10"/>
  <c r="J35" i="10"/>
  <c r="V34" i="10"/>
  <c r="V35" i="10" s="1"/>
  <c r="T34" i="10"/>
  <c r="J34" i="10"/>
  <c r="T33" i="10"/>
  <c r="J33" i="10"/>
  <c r="T32" i="10"/>
  <c r="J32" i="10"/>
  <c r="T31" i="10"/>
  <c r="J31" i="10"/>
  <c r="K31" i="10" s="1"/>
  <c r="T30" i="10"/>
  <c r="J30" i="10"/>
  <c r="K30" i="10" s="1"/>
  <c r="T29" i="10"/>
  <c r="K29" i="10"/>
  <c r="J29" i="10"/>
  <c r="T28" i="10"/>
  <c r="J28" i="10"/>
  <c r="K28" i="10" s="1"/>
  <c r="T27" i="10"/>
  <c r="J27" i="10"/>
  <c r="T26" i="10"/>
  <c r="J26" i="10"/>
  <c r="T25" i="10"/>
  <c r="U25" i="10" s="1"/>
  <c r="J25" i="10"/>
  <c r="K25" i="10" s="1"/>
  <c r="T24" i="10"/>
  <c r="U24" i="10" s="1"/>
  <c r="J24" i="10"/>
  <c r="U23" i="10"/>
  <c r="T23" i="10"/>
  <c r="J23" i="10"/>
  <c r="T22" i="10"/>
  <c r="J22" i="10"/>
  <c r="T21" i="10"/>
  <c r="J21" i="10"/>
  <c r="T20" i="10"/>
  <c r="J20" i="10"/>
  <c r="T19" i="10"/>
  <c r="U19" i="10" s="1"/>
  <c r="J19" i="10"/>
  <c r="K19" i="10" s="1"/>
  <c r="T18" i="10"/>
  <c r="U18" i="10" s="1"/>
  <c r="J18" i="10"/>
  <c r="K18" i="10" s="1"/>
  <c r="T17" i="10"/>
  <c r="U17" i="10" s="1"/>
  <c r="J17" i="10"/>
  <c r="K17" i="10" s="1"/>
  <c r="T16" i="10"/>
  <c r="U16" i="10" s="1"/>
  <c r="J16" i="10"/>
  <c r="K16" i="10" s="1"/>
  <c r="T15" i="10"/>
  <c r="U15" i="10" s="1"/>
  <c r="J15" i="10"/>
  <c r="K15" i="10" s="1"/>
  <c r="T14" i="10"/>
  <c r="U14" i="10" s="1"/>
  <c r="J14" i="10"/>
  <c r="K14" i="10" s="1"/>
  <c r="T13" i="10"/>
  <c r="U13" i="10" s="1"/>
  <c r="J13" i="10"/>
  <c r="K13" i="10" s="1"/>
  <c r="K4" i="10"/>
  <c r="Q31" i="9"/>
  <c r="B31" i="9"/>
  <c r="Q30" i="9"/>
  <c r="B30" i="9"/>
  <c r="Q29" i="9"/>
  <c r="B29" i="9"/>
  <c r="A29" i="9"/>
  <c r="Q28" i="9"/>
  <c r="B28" i="9"/>
  <c r="B27" i="9"/>
  <c r="Q26" i="9"/>
  <c r="B26" i="9"/>
  <c r="A26" i="9"/>
  <c r="B22" i="9"/>
  <c r="B21" i="9"/>
  <c r="A21" i="9"/>
  <c r="B20" i="9"/>
  <c r="A20" i="9"/>
  <c r="Q19" i="9"/>
  <c r="B19" i="9"/>
  <c r="Q18" i="9"/>
  <c r="B18" i="9"/>
  <c r="A18" i="9"/>
  <c r="Q17" i="9"/>
  <c r="B17" i="9"/>
  <c r="Q16" i="9"/>
  <c r="B16" i="9"/>
  <c r="A16" i="9"/>
  <c r="D4" i="9"/>
  <c r="H140" i="8"/>
  <c r="K140" i="8" s="1"/>
  <c r="H139" i="8"/>
  <c r="K139" i="8" s="1"/>
  <c r="H138" i="8"/>
  <c r="K138" i="8" s="1"/>
  <c r="H137" i="8"/>
  <c r="K137" i="8" s="1"/>
  <c r="H136" i="8"/>
  <c r="K136" i="8" s="1"/>
  <c r="H135" i="8"/>
  <c r="K135" i="8" s="1"/>
  <c r="H134" i="8"/>
  <c r="K134" i="8" s="1"/>
  <c r="H133" i="8"/>
  <c r="K133" i="8" s="1"/>
  <c r="H132" i="8"/>
  <c r="K132" i="8" s="1"/>
  <c r="G131" i="8"/>
  <c r="H131" i="8" s="1"/>
  <c r="K131" i="8" s="1"/>
  <c r="G130" i="8"/>
  <c r="H130" i="8" s="1"/>
  <c r="K130" i="8" s="1"/>
  <c r="G129" i="8"/>
  <c r="H129" i="8" s="1"/>
  <c r="K129" i="8" s="1"/>
  <c r="G128" i="8"/>
  <c r="H128" i="8" s="1"/>
  <c r="K128" i="8" s="1"/>
  <c r="G127" i="8"/>
  <c r="H127" i="8" s="1"/>
  <c r="K127" i="8" s="1"/>
  <c r="G126" i="8"/>
  <c r="H126" i="8" s="1"/>
  <c r="B126" i="8"/>
  <c r="H125" i="8"/>
  <c r="K125" i="8" s="1"/>
  <c r="H124" i="8"/>
  <c r="K124" i="8" s="1"/>
  <c r="H123" i="8"/>
  <c r="K123" i="8" s="1"/>
  <c r="H122" i="8"/>
  <c r="K122" i="8" s="1"/>
  <c r="H121" i="8"/>
  <c r="K121" i="8" s="1"/>
  <c r="G120" i="8"/>
  <c r="H120" i="8" s="1"/>
  <c r="K120" i="8" s="1"/>
  <c r="G119" i="8"/>
  <c r="H119" i="8" s="1"/>
  <c r="K119" i="8" s="1"/>
  <c r="G118" i="8"/>
  <c r="H118" i="8" s="1"/>
  <c r="K118" i="8" s="1"/>
  <c r="H117" i="8"/>
  <c r="K117" i="8" s="1"/>
  <c r="H116" i="8"/>
  <c r="K116" i="8" s="1"/>
  <c r="K115" i="8"/>
  <c r="H114" i="8"/>
  <c r="K114" i="8" s="1"/>
  <c r="H113" i="8"/>
  <c r="K113" i="8" s="1"/>
  <c r="K112" i="8"/>
  <c r="G111" i="8"/>
  <c r="H111" i="8" s="1"/>
  <c r="K111" i="8" s="1"/>
  <c r="G109" i="8"/>
  <c r="H109" i="8" s="1"/>
  <c r="K109" i="8" s="1"/>
  <c r="G108" i="8"/>
  <c r="H108" i="8" s="1"/>
  <c r="K108" i="8" s="1"/>
  <c r="G107" i="8"/>
  <c r="H107" i="8" s="1"/>
  <c r="K106" i="8"/>
  <c r="K105" i="8"/>
  <c r="B105" i="8"/>
  <c r="B90" i="8"/>
  <c r="H89" i="8"/>
  <c r="K89" i="8" s="1"/>
  <c r="H88" i="8"/>
  <c r="K88" i="8" s="1"/>
  <c r="H87" i="8"/>
  <c r="K87" i="8" s="1"/>
  <c r="H86" i="8"/>
  <c r="K86" i="8" s="1"/>
  <c r="H85" i="8"/>
  <c r="K85" i="8" s="1"/>
  <c r="H84" i="8"/>
  <c r="K84" i="8" s="1"/>
  <c r="G83" i="8"/>
  <c r="H83" i="8" s="1"/>
  <c r="K83" i="8" s="1"/>
  <c r="G82" i="8"/>
  <c r="H82" i="8" s="1"/>
  <c r="K82" i="8" s="1"/>
  <c r="K81" i="8"/>
  <c r="G80" i="8"/>
  <c r="H80" i="8" s="1"/>
  <c r="K80" i="8" s="1"/>
  <c r="K79" i="8"/>
  <c r="G78" i="8"/>
  <c r="H78" i="8" s="1"/>
  <c r="K78" i="8" s="1"/>
  <c r="G77" i="8"/>
  <c r="H77" i="8" s="1"/>
  <c r="K77" i="8" s="1"/>
  <c r="G76" i="8"/>
  <c r="H76" i="8" s="1"/>
  <c r="K76" i="8" s="1"/>
  <c r="K75" i="8"/>
  <c r="B75" i="8"/>
  <c r="B61" i="8"/>
  <c r="H60" i="8"/>
  <c r="K60" i="8" s="1"/>
  <c r="H59" i="8"/>
  <c r="K59" i="8" s="1"/>
  <c r="H58" i="8"/>
  <c r="K58" i="8" s="1"/>
  <c r="H57" i="8"/>
  <c r="K57" i="8" s="1"/>
  <c r="H56" i="8"/>
  <c r="K56" i="8" s="1"/>
  <c r="L55" i="8" s="1"/>
  <c r="D146" i="5" s="1"/>
  <c r="H55" i="8"/>
  <c r="K55" i="8" s="1"/>
  <c r="B55" i="8"/>
  <c r="K54" i="8"/>
  <c r="K53" i="8"/>
  <c r="H52" i="8"/>
  <c r="K52" i="8" s="1"/>
  <c r="H50" i="8"/>
  <c r="K50" i="8" s="1"/>
  <c r="H49" i="8"/>
  <c r="K49" i="8" s="1"/>
  <c r="H48" i="8"/>
  <c r="K48" i="8" s="1"/>
  <c r="H47" i="8"/>
  <c r="K47" i="8" s="1"/>
  <c r="K46" i="8"/>
  <c r="G44" i="8"/>
  <c r="H44" i="8" s="1"/>
  <c r="K44" i="8" s="1"/>
  <c r="G43" i="8"/>
  <c r="H43" i="8" s="1"/>
  <c r="K43" i="8" s="1"/>
  <c r="G42" i="8"/>
  <c r="H42" i="8" s="1"/>
  <c r="K42" i="8" s="1"/>
  <c r="K41" i="8"/>
  <c r="G40" i="8"/>
  <c r="H40" i="8" s="1"/>
  <c r="K40" i="8" s="1"/>
  <c r="G39" i="8"/>
  <c r="H39" i="8" s="1"/>
  <c r="K39" i="8" s="1"/>
  <c r="G38" i="8"/>
  <c r="H38" i="8" s="1"/>
  <c r="K38" i="8" s="1"/>
  <c r="G37" i="8"/>
  <c r="H37" i="8" s="1"/>
  <c r="K37" i="8" s="1"/>
  <c r="G36" i="8"/>
  <c r="H36" i="8" s="1"/>
  <c r="K36" i="8" s="1"/>
  <c r="G35" i="8"/>
  <c r="H35" i="8" s="1"/>
  <c r="K35" i="8" s="1"/>
  <c r="G34" i="8"/>
  <c r="H34" i="8" s="1"/>
  <c r="B34" i="8"/>
  <c r="K33" i="8"/>
  <c r="K30" i="8"/>
  <c r="H29" i="8"/>
  <c r="K29" i="8" s="1"/>
  <c r="H28" i="8"/>
  <c r="K28" i="8" s="1"/>
  <c r="H27" i="8"/>
  <c r="K27" i="8" s="1"/>
  <c r="H26" i="8"/>
  <c r="K26" i="8" s="1"/>
  <c r="H25" i="8"/>
  <c r="K25" i="8" s="1"/>
  <c r="K24" i="8"/>
  <c r="K23" i="8"/>
  <c r="H22" i="8"/>
  <c r="K22" i="8" s="1"/>
  <c r="K21" i="8"/>
  <c r="G20" i="8"/>
  <c r="H20" i="8" s="1"/>
  <c r="K20" i="8" s="1"/>
  <c r="G19" i="8"/>
  <c r="H19" i="8" s="1"/>
  <c r="K19" i="8" s="1"/>
  <c r="K18" i="8"/>
  <c r="G17" i="8"/>
  <c r="H17" i="8" s="1"/>
  <c r="K17" i="8" s="1"/>
  <c r="G16" i="8"/>
  <c r="H16" i="8" s="1"/>
  <c r="K16" i="8" s="1"/>
  <c r="G15" i="8"/>
  <c r="H15" i="8" s="1"/>
  <c r="K15" i="8" s="1"/>
  <c r="G14" i="8"/>
  <c r="H14" i="8" s="1"/>
  <c r="K14" i="8" s="1"/>
  <c r="K13" i="8"/>
  <c r="G12" i="8"/>
  <c r="H12" i="8" s="1"/>
  <c r="K12" i="8" s="1"/>
  <c r="G11" i="8"/>
  <c r="H11" i="8" s="1"/>
  <c r="B11" i="8"/>
  <c r="E4" i="8"/>
  <c r="R22" i="7"/>
  <c r="L22" i="7"/>
  <c r="K22" i="7"/>
  <c r="J22" i="7"/>
  <c r="I22" i="7"/>
  <c r="H22" i="7"/>
  <c r="B22" i="7"/>
  <c r="R21" i="7"/>
  <c r="H21" i="7"/>
  <c r="B21" i="7"/>
  <c r="R20" i="7"/>
  <c r="L20" i="7"/>
  <c r="K20" i="7"/>
  <c r="J20" i="7"/>
  <c r="I20" i="7"/>
  <c r="H20" i="7"/>
  <c r="B20" i="7"/>
  <c r="A20" i="7"/>
  <c r="R19" i="7"/>
  <c r="L19" i="7"/>
  <c r="K19" i="7"/>
  <c r="J19" i="7"/>
  <c r="I19" i="7"/>
  <c r="H19" i="7"/>
  <c r="B19" i="7"/>
  <c r="B18" i="7"/>
  <c r="R17" i="7"/>
  <c r="L17" i="7"/>
  <c r="K17" i="7"/>
  <c r="J17" i="7"/>
  <c r="I17" i="7"/>
  <c r="H17" i="7"/>
  <c r="B17" i="7"/>
  <c r="A17" i="7"/>
  <c r="B16" i="7"/>
  <c r="B15" i="7"/>
  <c r="A15" i="7"/>
  <c r="B14" i="7"/>
  <c r="A14" i="7"/>
  <c r="R13" i="7"/>
  <c r="L13" i="7"/>
  <c r="K13" i="7"/>
  <c r="J13" i="7"/>
  <c r="I13" i="7"/>
  <c r="H13" i="7"/>
  <c r="B13" i="7"/>
  <c r="R12" i="7"/>
  <c r="L12" i="7"/>
  <c r="K12" i="7"/>
  <c r="J12" i="7"/>
  <c r="I12" i="7"/>
  <c r="H12" i="7"/>
  <c r="B12" i="7"/>
  <c r="A12" i="7"/>
  <c r="R11" i="7"/>
  <c r="L11" i="7"/>
  <c r="K11" i="7"/>
  <c r="J11" i="7"/>
  <c r="I11" i="7"/>
  <c r="H11" i="7"/>
  <c r="B11" i="7"/>
  <c r="R10" i="7"/>
  <c r="L10" i="7"/>
  <c r="K10" i="7"/>
  <c r="J10" i="7"/>
  <c r="I10" i="7"/>
  <c r="H10" i="7"/>
  <c r="B10" i="7"/>
  <c r="A10" i="7"/>
  <c r="B9" i="7"/>
  <c r="A9" i="7"/>
  <c r="G4" i="7"/>
  <c r="K87" i="6"/>
  <c r="I87" i="6"/>
  <c r="H87" i="6" s="1"/>
  <c r="J87" i="6" s="1"/>
  <c r="X86" i="6"/>
  <c r="X90" i="6" s="1"/>
  <c r="K86" i="6"/>
  <c r="I86" i="6"/>
  <c r="H86" i="6" s="1"/>
  <c r="J86" i="6" s="1"/>
  <c r="L86" i="6" s="1"/>
  <c r="K85" i="6"/>
  <c r="I85" i="6"/>
  <c r="K84" i="6"/>
  <c r="G84" i="6"/>
  <c r="I84" i="6" s="1"/>
  <c r="K83" i="6"/>
  <c r="G83" i="6"/>
  <c r="I83" i="6" s="1"/>
  <c r="H83" i="6" s="1"/>
  <c r="J83" i="6" s="1"/>
  <c r="L83" i="6" s="1"/>
  <c r="O21" i="6" s="1"/>
  <c r="X81" i="6"/>
  <c r="G80" i="6"/>
  <c r="I80" i="6" s="1"/>
  <c r="G79" i="6"/>
  <c r="I79" i="6" s="1"/>
  <c r="H79" i="6" s="1"/>
  <c r="G78" i="6"/>
  <c r="I78" i="6" s="1"/>
  <c r="L78" i="6" s="1"/>
  <c r="G77" i="6"/>
  <c r="I77" i="6" s="1"/>
  <c r="L77" i="6" s="1"/>
  <c r="K76" i="6"/>
  <c r="G76" i="6"/>
  <c r="I76" i="6" s="1"/>
  <c r="H76" i="6" s="1"/>
  <c r="J76" i="6" s="1"/>
  <c r="L76" i="6" s="1"/>
  <c r="X73" i="6"/>
  <c r="I72" i="6"/>
  <c r="L72" i="6" s="1"/>
  <c r="K71" i="6"/>
  <c r="G71" i="6"/>
  <c r="I71" i="6" s="1"/>
  <c r="K70" i="6"/>
  <c r="I70" i="6"/>
  <c r="K69" i="6"/>
  <c r="G69" i="6"/>
  <c r="I69" i="6" s="1"/>
  <c r="H69" i="6" s="1"/>
  <c r="J69" i="6" s="1"/>
  <c r="K68" i="6"/>
  <c r="G68" i="6"/>
  <c r="I68" i="6" s="1"/>
  <c r="H68" i="6" s="1"/>
  <c r="J68" i="6" s="1"/>
  <c r="X67" i="6"/>
  <c r="X60" i="6" s="1"/>
  <c r="T61" i="6"/>
  <c r="S61" i="6"/>
  <c r="Q61" i="6"/>
  <c r="O61" i="6"/>
  <c r="T60" i="6"/>
  <c r="S60" i="6"/>
  <c r="Q60" i="6"/>
  <c r="O60" i="6"/>
  <c r="T59" i="6"/>
  <c r="S59" i="6"/>
  <c r="Q59" i="6"/>
  <c r="O59" i="6"/>
  <c r="T58" i="6"/>
  <c r="S58" i="6"/>
  <c r="Q58" i="6"/>
  <c r="O58" i="6"/>
  <c r="X57" i="6"/>
  <c r="T57" i="6"/>
  <c r="S57" i="6"/>
  <c r="Q57" i="6"/>
  <c r="O57" i="6"/>
  <c r="X56" i="6"/>
  <c r="T56" i="6"/>
  <c r="S56" i="6"/>
  <c r="Q56" i="6"/>
  <c r="O56" i="6"/>
  <c r="T55" i="6"/>
  <c r="S55" i="6"/>
  <c r="Q55" i="6"/>
  <c r="O55" i="6"/>
  <c r="T54" i="6"/>
  <c r="S54" i="6"/>
  <c r="Q54" i="6"/>
  <c r="O54" i="6"/>
  <c r="T53" i="6"/>
  <c r="S53" i="6"/>
  <c r="Q53" i="6"/>
  <c r="O53" i="6"/>
  <c r="T52" i="6"/>
  <c r="S52" i="6"/>
  <c r="Q52" i="6"/>
  <c r="O52" i="6"/>
  <c r="T51" i="6"/>
  <c r="S51" i="6"/>
  <c r="Q51" i="6"/>
  <c r="O51" i="6"/>
  <c r="T50" i="6"/>
  <c r="S50" i="6"/>
  <c r="Q50" i="6"/>
  <c r="O50" i="6"/>
  <c r="T49" i="6"/>
  <c r="S49" i="6"/>
  <c r="Q49" i="6"/>
  <c r="O49" i="6"/>
  <c r="T48" i="6"/>
  <c r="S48" i="6"/>
  <c r="Q48" i="6"/>
  <c r="O48" i="6"/>
  <c r="T47" i="6"/>
  <c r="S47" i="6"/>
  <c r="Q47" i="6"/>
  <c r="O47" i="6"/>
  <c r="X46" i="6"/>
  <c r="T46" i="6"/>
  <c r="S46" i="6"/>
  <c r="Q46" i="6"/>
  <c r="O46" i="6"/>
  <c r="T45" i="6"/>
  <c r="K45" i="6"/>
  <c r="G45" i="6"/>
  <c r="I45" i="6" s="1"/>
  <c r="T44" i="6"/>
  <c r="K44" i="6"/>
  <c r="G44" i="6"/>
  <c r="I44" i="6" s="1"/>
  <c r="T43" i="6"/>
  <c r="K43" i="6"/>
  <c r="G43" i="6"/>
  <c r="I43" i="6" s="1"/>
  <c r="T42" i="6"/>
  <c r="K42" i="6"/>
  <c r="G42" i="6"/>
  <c r="I42" i="6" s="1"/>
  <c r="X41" i="6"/>
  <c r="T41" i="6"/>
  <c r="K41" i="6"/>
  <c r="G41" i="6"/>
  <c r="I41" i="6" s="1"/>
  <c r="H41" i="6" s="1"/>
  <c r="J41" i="6" s="1"/>
  <c r="T40" i="6"/>
  <c r="K40" i="6"/>
  <c r="G40" i="6"/>
  <c r="I40" i="6" s="1"/>
  <c r="T39" i="6"/>
  <c r="S39" i="6"/>
  <c r="Q39" i="6"/>
  <c r="O39" i="6"/>
  <c r="T38" i="6"/>
  <c r="S38" i="6"/>
  <c r="Q38" i="6"/>
  <c r="O38" i="6"/>
  <c r="T37" i="6"/>
  <c r="S37" i="6"/>
  <c r="Q37" i="6"/>
  <c r="O37" i="6"/>
  <c r="T36" i="6"/>
  <c r="S36" i="6"/>
  <c r="Q36" i="6"/>
  <c r="O36" i="6"/>
  <c r="T35" i="6"/>
  <c r="K35" i="6"/>
  <c r="G35" i="6"/>
  <c r="I35" i="6" s="1"/>
  <c r="T34" i="6"/>
  <c r="S34" i="6"/>
  <c r="Q34" i="6"/>
  <c r="O34" i="6"/>
  <c r="T33" i="6"/>
  <c r="S33" i="6"/>
  <c r="Q33" i="6"/>
  <c r="O33" i="6"/>
  <c r="T32" i="6"/>
  <c r="S32" i="6"/>
  <c r="Q32" i="6"/>
  <c r="O32" i="6"/>
  <c r="T31" i="6"/>
  <c r="S31" i="6"/>
  <c r="Q31" i="6"/>
  <c r="O31" i="6"/>
  <c r="T30" i="6"/>
  <c r="S30" i="6"/>
  <c r="Q30" i="6"/>
  <c r="O30" i="6"/>
  <c r="T29" i="6"/>
  <c r="S29" i="6"/>
  <c r="Q29" i="6"/>
  <c r="O29" i="6"/>
  <c r="T28" i="6"/>
  <c r="K28" i="6"/>
  <c r="G28" i="6"/>
  <c r="I28" i="6" s="1"/>
  <c r="T27" i="6"/>
  <c r="K27" i="6"/>
  <c r="G27" i="6"/>
  <c r="I27" i="6" s="1"/>
  <c r="T26" i="6"/>
  <c r="K26" i="6"/>
  <c r="G26" i="6"/>
  <c r="I26" i="6" s="1"/>
  <c r="T25" i="6"/>
  <c r="K25" i="6"/>
  <c r="G25" i="6"/>
  <c r="I25" i="6" s="1"/>
  <c r="T24" i="6"/>
  <c r="T23" i="6"/>
  <c r="T22" i="6"/>
  <c r="T21" i="6"/>
  <c r="X20" i="6"/>
  <c r="T20" i="6"/>
  <c r="K20" i="6"/>
  <c r="G20" i="6"/>
  <c r="I20" i="6" s="1"/>
  <c r="T19" i="6"/>
  <c r="K19" i="6"/>
  <c r="G19" i="6"/>
  <c r="I19" i="6" s="1"/>
  <c r="T18" i="6"/>
  <c r="K18" i="6"/>
  <c r="G18" i="6"/>
  <c r="I18" i="6" s="1"/>
  <c r="H18" i="6" s="1"/>
  <c r="J18" i="6" s="1"/>
  <c r="T17" i="6"/>
  <c r="L17" i="6"/>
  <c r="K17" i="6"/>
  <c r="G17" i="6"/>
  <c r="I17" i="6" s="1"/>
  <c r="H17" i="6" s="1"/>
  <c r="J17" i="6" s="1"/>
  <c r="X16" i="6"/>
  <c r="T16" i="6"/>
  <c r="K16" i="6"/>
  <c r="G16" i="6"/>
  <c r="I16" i="6" s="1"/>
  <c r="T15" i="6"/>
  <c r="K15" i="6"/>
  <c r="G15" i="6"/>
  <c r="I15" i="6" s="1"/>
  <c r="E4" i="6"/>
  <c r="G536" i="5"/>
  <c r="H536" i="5" s="1"/>
  <c r="H535" i="5" s="1"/>
  <c r="D535" i="5"/>
  <c r="G534" i="5"/>
  <c r="G533" i="5"/>
  <c r="G532" i="5"/>
  <c r="G531" i="5"/>
  <c r="G530" i="5"/>
  <c r="G529" i="5"/>
  <c r="G528" i="5"/>
  <c r="G526" i="5"/>
  <c r="G525" i="5"/>
  <c r="G524" i="5"/>
  <c r="G523" i="5"/>
  <c r="H523" i="5" s="1"/>
  <c r="G522" i="5"/>
  <c r="G521" i="5"/>
  <c r="G520" i="5"/>
  <c r="G519" i="5"/>
  <c r="G517" i="5"/>
  <c r="G516" i="5"/>
  <c r="G515" i="5"/>
  <c r="G514" i="5"/>
  <c r="G513" i="5"/>
  <c r="G512" i="5"/>
  <c r="G511" i="5"/>
  <c r="G510" i="5"/>
  <c r="G508" i="5"/>
  <c r="G507" i="5" s="1"/>
  <c r="G506" i="5"/>
  <c r="G505" i="5"/>
  <c r="G504" i="5"/>
  <c r="H504" i="5" s="1"/>
  <c r="G503" i="5"/>
  <c r="H503" i="5" s="1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H483" i="5" s="1"/>
  <c r="G482" i="5"/>
  <c r="H482" i="5" s="1"/>
  <c r="F481" i="5"/>
  <c r="G481" i="5" s="1"/>
  <c r="H481" i="5" s="1"/>
  <c r="G479" i="5"/>
  <c r="H479" i="5" s="1"/>
  <c r="G478" i="5"/>
  <c r="G477" i="5"/>
  <c r="H477" i="5" s="1"/>
  <c r="G476" i="5"/>
  <c r="G470" i="5"/>
  <c r="D469" i="5"/>
  <c r="G468" i="5"/>
  <c r="G467" i="5"/>
  <c r="G466" i="5"/>
  <c r="G465" i="5"/>
  <c r="G464" i="5"/>
  <c r="G463" i="5"/>
  <c r="G462" i="5"/>
  <c r="G460" i="5"/>
  <c r="G459" i="5"/>
  <c r="G458" i="5"/>
  <c r="M457" i="5"/>
  <c r="D534" i="5" s="1"/>
  <c r="L456" i="5"/>
  <c r="G456" i="5"/>
  <c r="M455" i="5"/>
  <c r="D466" i="5" s="1"/>
  <c r="H466" i="5" s="1"/>
  <c r="G455" i="5"/>
  <c r="M454" i="5"/>
  <c r="G454" i="5"/>
  <c r="M453" i="5"/>
  <c r="G453" i="5"/>
  <c r="M452" i="5"/>
  <c r="D463" i="5" s="1"/>
  <c r="M451" i="5"/>
  <c r="D462" i="5" s="1"/>
  <c r="H462" i="5" s="1"/>
  <c r="G451" i="5"/>
  <c r="G450" i="5"/>
  <c r="M449" i="5"/>
  <c r="D460" i="5" s="1"/>
  <c r="G449" i="5"/>
  <c r="M448" i="5"/>
  <c r="G448" i="5"/>
  <c r="L447" i="5"/>
  <c r="G447" i="5"/>
  <c r="L446" i="5"/>
  <c r="G446" i="5"/>
  <c r="M445" i="5"/>
  <c r="G445" i="5"/>
  <c r="L444" i="5"/>
  <c r="G444" i="5"/>
  <c r="M443" i="5"/>
  <c r="N443" i="5" s="1"/>
  <c r="D519" i="5" s="1"/>
  <c r="G442" i="5"/>
  <c r="G441" i="5" s="1"/>
  <c r="L441" i="5"/>
  <c r="M440" i="5"/>
  <c r="D450" i="5" s="1"/>
  <c r="G440" i="5"/>
  <c r="M439" i="5"/>
  <c r="D449" i="5" s="1"/>
  <c r="G439" i="5"/>
  <c r="M438" i="5"/>
  <c r="G438" i="5"/>
  <c r="H438" i="5" s="1"/>
  <c r="G437" i="5"/>
  <c r="D437" i="5"/>
  <c r="L435" i="5"/>
  <c r="M434" i="5"/>
  <c r="G434" i="5"/>
  <c r="G433" i="5"/>
  <c r="M432" i="5"/>
  <c r="G432" i="5"/>
  <c r="G431" i="5"/>
  <c r="D440" i="5"/>
  <c r="G430" i="5"/>
  <c r="L429" i="5"/>
  <c r="G429" i="5"/>
  <c r="G428" i="5"/>
  <c r="G427" i="5"/>
  <c r="N426" i="5"/>
  <c r="D500" i="5" s="1"/>
  <c r="H500" i="5" s="1"/>
  <c r="M426" i="5"/>
  <c r="D434" i="5" s="1"/>
  <c r="G426" i="5"/>
  <c r="L425" i="5"/>
  <c r="N425" i="5" s="1"/>
  <c r="D499" i="5" s="1"/>
  <c r="H499" i="5" s="1"/>
  <c r="G425" i="5"/>
  <c r="N424" i="5"/>
  <c r="D498" i="5" s="1"/>
  <c r="M424" i="5"/>
  <c r="D432" i="5" s="1"/>
  <c r="G424" i="5"/>
  <c r="N423" i="5"/>
  <c r="D497" i="5" s="1"/>
  <c r="H497" i="5" s="1"/>
  <c r="M423" i="5"/>
  <c r="D431" i="5" s="1"/>
  <c r="G423" i="5"/>
  <c r="N422" i="5"/>
  <c r="D496" i="5" s="1"/>
  <c r="M422" i="5"/>
  <c r="D430" i="5" s="1"/>
  <c r="G422" i="5"/>
  <c r="L421" i="5"/>
  <c r="G421" i="5"/>
  <c r="N420" i="5"/>
  <c r="D494" i="5" s="1"/>
  <c r="M420" i="5"/>
  <c r="D428" i="5" s="1"/>
  <c r="H428" i="5" s="1"/>
  <c r="G420" i="5"/>
  <c r="N419" i="5"/>
  <c r="D493" i="5" s="1"/>
  <c r="M419" i="5"/>
  <c r="D427" i="5" s="1"/>
  <c r="G419" i="5"/>
  <c r="N418" i="5"/>
  <c r="D492" i="5" s="1"/>
  <c r="M418" i="5"/>
  <c r="D426" i="5" s="1"/>
  <c r="G418" i="5"/>
  <c r="N417" i="5"/>
  <c r="D491" i="5" s="1"/>
  <c r="H491" i="5" s="1"/>
  <c r="M417" i="5"/>
  <c r="D425" i="5" s="1"/>
  <c r="G417" i="5"/>
  <c r="H417" i="5" s="1"/>
  <c r="N416" i="5"/>
  <c r="D490" i="5" s="1"/>
  <c r="M416" i="5"/>
  <c r="D424" i="5" s="1"/>
  <c r="G416" i="5"/>
  <c r="H416" i="5" s="1"/>
  <c r="N415" i="5"/>
  <c r="D489" i="5" s="1"/>
  <c r="M415" i="5"/>
  <c r="D423" i="5" s="1"/>
  <c r="G415" i="5"/>
  <c r="L413" i="5"/>
  <c r="G413" i="5"/>
  <c r="H413" i="5" s="1"/>
  <c r="N412" i="5"/>
  <c r="D486" i="5" s="1"/>
  <c r="M412" i="5"/>
  <c r="D420" i="5" s="1"/>
  <c r="G412" i="5"/>
  <c r="N411" i="5"/>
  <c r="D485" i="5" s="1"/>
  <c r="M411" i="5"/>
  <c r="D419" i="5" s="1"/>
  <c r="G411" i="5"/>
  <c r="H411" i="5" s="1"/>
  <c r="N410" i="5"/>
  <c r="D484" i="5" s="1"/>
  <c r="M410" i="5"/>
  <c r="D418" i="5" s="1"/>
  <c r="H418" i="5" s="1"/>
  <c r="G410" i="5"/>
  <c r="G404" i="5"/>
  <c r="H404" i="5" s="1"/>
  <c r="H403" i="5" s="1"/>
  <c r="D403" i="5"/>
  <c r="G402" i="5"/>
  <c r="G401" i="5"/>
  <c r="G400" i="5"/>
  <c r="G399" i="5"/>
  <c r="G398" i="5"/>
  <c r="G397" i="5"/>
  <c r="G396" i="5"/>
  <c r="G394" i="5"/>
  <c r="G393" i="5"/>
  <c r="G392" i="5"/>
  <c r="G391" i="5"/>
  <c r="H391" i="5" s="1"/>
  <c r="G390" i="5"/>
  <c r="D390" i="5"/>
  <c r="G389" i="5"/>
  <c r="D389" i="5"/>
  <c r="G388" i="5"/>
  <c r="D388" i="5"/>
  <c r="G387" i="5"/>
  <c r="G385" i="5"/>
  <c r="D385" i="5"/>
  <c r="G384" i="5"/>
  <c r="D384" i="5"/>
  <c r="G383" i="5"/>
  <c r="D383" i="5"/>
  <c r="G382" i="5"/>
  <c r="D382" i="5"/>
  <c r="G381" i="5"/>
  <c r="D381" i="5"/>
  <c r="G380" i="5"/>
  <c r="D380" i="5"/>
  <c r="G379" i="5"/>
  <c r="G377" i="5" s="1"/>
  <c r="D379" i="5"/>
  <c r="G378" i="5"/>
  <c r="G376" i="5"/>
  <c r="G375" i="5" s="1"/>
  <c r="G374" i="5"/>
  <c r="G373" i="5"/>
  <c r="G372" i="5"/>
  <c r="G371" i="5"/>
  <c r="H371" i="5" s="1"/>
  <c r="G368" i="5"/>
  <c r="G367" i="5"/>
  <c r="G366" i="5"/>
  <c r="G365" i="5"/>
  <c r="G364" i="5"/>
  <c r="G363" i="5"/>
  <c r="G362" i="5"/>
  <c r="G361" i="5"/>
  <c r="G360" i="5"/>
  <c r="G359" i="5"/>
  <c r="G358" i="5"/>
  <c r="G357" i="5"/>
  <c r="G356" i="5"/>
  <c r="G355" i="5"/>
  <c r="G354" i="5"/>
  <c r="G353" i="5"/>
  <c r="G352" i="5"/>
  <c r="G351" i="5"/>
  <c r="H351" i="5" s="1"/>
  <c r="G350" i="5"/>
  <c r="H350" i="5" s="1"/>
  <c r="G349" i="5"/>
  <c r="G347" i="5"/>
  <c r="H347" i="5" s="1"/>
  <c r="G346" i="5"/>
  <c r="H346" i="5" s="1"/>
  <c r="G345" i="5"/>
  <c r="H345" i="5" s="1"/>
  <c r="G344" i="5"/>
  <c r="D344" i="5"/>
  <c r="G338" i="5"/>
  <c r="D337" i="5"/>
  <c r="G336" i="5"/>
  <c r="H336" i="5" s="1"/>
  <c r="G335" i="5"/>
  <c r="H335" i="5" s="1"/>
  <c r="G334" i="5"/>
  <c r="H334" i="5" s="1"/>
  <c r="G333" i="5"/>
  <c r="H333" i="5" s="1"/>
  <c r="G332" i="5"/>
  <c r="H332" i="5" s="1"/>
  <c r="G331" i="5"/>
  <c r="H331" i="5" s="1"/>
  <c r="G330" i="5"/>
  <c r="D329" i="5"/>
  <c r="G328" i="5"/>
  <c r="H328" i="5" s="1"/>
  <c r="G327" i="5"/>
  <c r="H327" i="5" s="1"/>
  <c r="G326" i="5"/>
  <c r="H326" i="5" s="1"/>
  <c r="G324" i="5"/>
  <c r="H324" i="5" s="1"/>
  <c r="E323" i="5"/>
  <c r="G323" i="5" s="1"/>
  <c r="H323" i="5" s="1"/>
  <c r="G322" i="5"/>
  <c r="G321" i="5"/>
  <c r="H321" i="5" s="1"/>
  <c r="G319" i="5"/>
  <c r="H319" i="5" s="1"/>
  <c r="G318" i="5"/>
  <c r="H318" i="5" s="1"/>
  <c r="G317" i="5"/>
  <c r="H317" i="5" s="1"/>
  <c r="G316" i="5"/>
  <c r="H316" i="5" s="1"/>
  <c r="G315" i="5"/>
  <c r="G314" i="5"/>
  <c r="D314" i="5"/>
  <c r="G313" i="5"/>
  <c r="H313" i="5" s="1"/>
  <c r="G312" i="5"/>
  <c r="G310" i="5"/>
  <c r="G309" i="5" s="1"/>
  <c r="D309" i="5"/>
  <c r="G308" i="5"/>
  <c r="H308" i="5" s="1"/>
  <c r="G307" i="5"/>
  <c r="G306" i="5"/>
  <c r="H306" i="5" s="1"/>
  <c r="G305" i="5"/>
  <c r="H305" i="5" s="1"/>
  <c r="D305" i="5"/>
  <c r="D304" i="5" s="1"/>
  <c r="G302" i="5"/>
  <c r="H302" i="5" s="1"/>
  <c r="G301" i="5"/>
  <c r="H301" i="5" s="1"/>
  <c r="G300" i="5"/>
  <c r="H300" i="5" s="1"/>
  <c r="G299" i="5"/>
  <c r="H299" i="5" s="1"/>
  <c r="G298" i="5"/>
  <c r="H298" i="5" s="1"/>
  <c r="G297" i="5"/>
  <c r="H297" i="5" s="1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G289" i="5"/>
  <c r="H289" i="5" s="1"/>
  <c r="G288" i="5"/>
  <c r="H288" i="5" s="1"/>
  <c r="G287" i="5"/>
  <c r="H287" i="5" s="1"/>
  <c r="G286" i="5"/>
  <c r="H286" i="5" s="1"/>
  <c r="G285" i="5"/>
  <c r="H285" i="5" s="1"/>
  <c r="F284" i="5"/>
  <c r="G284" i="5" s="1"/>
  <c r="H284" i="5" s="1"/>
  <c r="G283" i="5"/>
  <c r="D282" i="5"/>
  <c r="G281" i="5"/>
  <c r="H281" i="5" s="1"/>
  <c r="G280" i="5"/>
  <c r="G279" i="5"/>
  <c r="G278" i="5"/>
  <c r="G272" i="5"/>
  <c r="G271" i="5" s="1"/>
  <c r="D271" i="5"/>
  <c r="G270" i="5"/>
  <c r="G269" i="5"/>
  <c r="G268" i="5"/>
  <c r="G267" i="5"/>
  <c r="G266" i="5"/>
  <c r="G265" i="5"/>
  <c r="G264" i="5"/>
  <c r="G262" i="5"/>
  <c r="G261" i="5"/>
  <c r="G260" i="5"/>
  <c r="O259" i="5"/>
  <c r="D270" i="5" s="1"/>
  <c r="N259" i="5"/>
  <c r="D402" i="5" s="1"/>
  <c r="M259" i="5"/>
  <c r="G259" i="5"/>
  <c r="H259" i="5" s="1"/>
  <c r="O258" i="5"/>
  <c r="D269" i="5" s="1"/>
  <c r="H269" i="5" s="1"/>
  <c r="N258" i="5"/>
  <c r="D401" i="5" s="1"/>
  <c r="M258" i="5"/>
  <c r="G258" i="5"/>
  <c r="O257" i="5"/>
  <c r="D268" i="5" s="1"/>
  <c r="N257" i="5"/>
  <c r="D400" i="5" s="1"/>
  <c r="M257" i="5"/>
  <c r="G257" i="5"/>
  <c r="O256" i="5"/>
  <c r="D267" i="5" s="1"/>
  <c r="N256" i="5"/>
  <c r="D399" i="5" s="1"/>
  <c r="H399" i="5" s="1"/>
  <c r="M256" i="5"/>
  <c r="G256" i="5"/>
  <c r="O255" i="5"/>
  <c r="D266" i="5" s="1"/>
  <c r="N255" i="5"/>
  <c r="D398" i="5" s="1"/>
  <c r="H398" i="5" s="1"/>
  <c r="M255" i="5"/>
  <c r="G255" i="5"/>
  <c r="O254" i="5"/>
  <c r="D265" i="5" s="1"/>
  <c r="H265" i="5" s="1"/>
  <c r="N254" i="5"/>
  <c r="D397" i="5" s="1"/>
  <c r="M254" i="5"/>
  <c r="O253" i="5"/>
  <c r="D264" i="5" s="1"/>
  <c r="N253" i="5"/>
  <c r="D396" i="5" s="1"/>
  <c r="M253" i="5"/>
  <c r="G253" i="5"/>
  <c r="G252" i="5"/>
  <c r="O251" i="5"/>
  <c r="D262" i="5" s="1"/>
  <c r="N251" i="5"/>
  <c r="D394" i="5" s="1"/>
  <c r="H394" i="5" s="1"/>
  <c r="M251" i="5"/>
  <c r="G251" i="5"/>
  <c r="O250" i="5"/>
  <c r="D261" i="5" s="1"/>
  <c r="N250" i="5"/>
  <c r="D393" i="5" s="1"/>
  <c r="H393" i="5" s="1"/>
  <c r="M250" i="5"/>
  <c r="G250" i="5"/>
  <c r="O249" i="5"/>
  <c r="D260" i="5" s="1"/>
  <c r="N249" i="5"/>
  <c r="D392" i="5" s="1"/>
  <c r="H392" i="5" s="1"/>
  <c r="M249" i="5"/>
  <c r="G249" i="5"/>
  <c r="O248" i="5"/>
  <c r="D258" i="5" s="1"/>
  <c r="H258" i="5" s="1"/>
  <c r="N248" i="5"/>
  <c r="M248" i="5"/>
  <c r="G248" i="5"/>
  <c r="O247" i="5"/>
  <c r="D257" i="5" s="1"/>
  <c r="N247" i="5"/>
  <c r="M247" i="5"/>
  <c r="G247" i="5"/>
  <c r="O246" i="5"/>
  <c r="D256" i="5" s="1"/>
  <c r="H256" i="5" s="1"/>
  <c r="N246" i="5"/>
  <c r="M246" i="5"/>
  <c r="G246" i="5"/>
  <c r="O245" i="5"/>
  <c r="D255" i="5" s="1"/>
  <c r="N245" i="5"/>
  <c r="D387" i="5" s="1"/>
  <c r="H387" i="5" s="1"/>
  <c r="M245" i="5"/>
  <c r="G244" i="5"/>
  <c r="G243" i="5" s="1"/>
  <c r="O243" i="5"/>
  <c r="D253" i="5" s="1"/>
  <c r="N243" i="5"/>
  <c r="M243" i="5"/>
  <c r="O242" i="5"/>
  <c r="D252" i="5" s="1"/>
  <c r="H252" i="5" s="1"/>
  <c r="N242" i="5"/>
  <c r="M242" i="5"/>
  <c r="G242" i="5"/>
  <c r="O241" i="5"/>
  <c r="D251" i="5" s="1"/>
  <c r="N241" i="5"/>
  <c r="M241" i="5"/>
  <c r="G241" i="5"/>
  <c r="O240" i="5"/>
  <c r="D250" i="5" s="1"/>
  <c r="N240" i="5"/>
  <c r="M240" i="5"/>
  <c r="G240" i="5"/>
  <c r="H240" i="5" s="1"/>
  <c r="O239" i="5"/>
  <c r="D249" i="5" s="1"/>
  <c r="N239" i="5"/>
  <c r="M239" i="5"/>
  <c r="G239" i="5"/>
  <c r="H239" i="5" s="1"/>
  <c r="O238" i="5"/>
  <c r="D248" i="5" s="1"/>
  <c r="N238" i="5"/>
  <c r="M238" i="5"/>
  <c r="G238" i="5"/>
  <c r="O237" i="5"/>
  <c r="D247" i="5" s="1"/>
  <c r="N237" i="5"/>
  <c r="M237" i="5"/>
  <c r="O236" i="5"/>
  <c r="D246" i="5" s="1"/>
  <c r="N236" i="5"/>
  <c r="D378" i="5" s="1"/>
  <c r="M236" i="5"/>
  <c r="G236" i="5"/>
  <c r="G235" i="5"/>
  <c r="O234" i="5"/>
  <c r="D244" i="5" s="1"/>
  <c r="N234" i="5"/>
  <c r="D376" i="5" s="1"/>
  <c r="M234" i="5"/>
  <c r="G234" i="5"/>
  <c r="G233" i="5"/>
  <c r="O232" i="5"/>
  <c r="D242" i="5" s="1"/>
  <c r="H242" i="5" s="1"/>
  <c r="N232" i="5"/>
  <c r="D374" i="5" s="1"/>
  <c r="M232" i="5"/>
  <c r="G232" i="5"/>
  <c r="O231" i="5"/>
  <c r="D241" i="5" s="1"/>
  <c r="H241" i="5" s="1"/>
  <c r="N231" i="5"/>
  <c r="D373" i="5" s="1"/>
  <c r="M231" i="5"/>
  <c r="G231" i="5"/>
  <c r="G230" i="5"/>
  <c r="G229" i="5"/>
  <c r="O228" i="5"/>
  <c r="D236" i="5" s="1"/>
  <c r="H236" i="5" s="1"/>
  <c r="N228" i="5"/>
  <c r="D368" i="5" s="1"/>
  <c r="M228" i="5"/>
  <c r="G228" i="5"/>
  <c r="O227" i="5"/>
  <c r="D235" i="5" s="1"/>
  <c r="H235" i="5" s="1"/>
  <c r="N227" i="5"/>
  <c r="D367" i="5" s="1"/>
  <c r="H367" i="5" s="1"/>
  <c r="M227" i="5"/>
  <c r="G227" i="5"/>
  <c r="O226" i="5"/>
  <c r="D234" i="5" s="1"/>
  <c r="H234" i="5" s="1"/>
  <c r="N226" i="5"/>
  <c r="D366" i="5" s="1"/>
  <c r="M226" i="5"/>
  <c r="G226" i="5"/>
  <c r="O225" i="5"/>
  <c r="D233" i="5" s="1"/>
  <c r="N225" i="5"/>
  <c r="D365" i="5" s="1"/>
  <c r="M225" i="5"/>
  <c r="G225" i="5"/>
  <c r="O224" i="5"/>
  <c r="D232" i="5" s="1"/>
  <c r="N224" i="5"/>
  <c r="D364" i="5" s="1"/>
  <c r="M224" i="5"/>
  <c r="G224" i="5"/>
  <c r="O223" i="5"/>
  <c r="D231" i="5" s="1"/>
  <c r="H231" i="5" s="1"/>
  <c r="N223" i="5"/>
  <c r="D363" i="5" s="1"/>
  <c r="M223" i="5"/>
  <c r="G223" i="5"/>
  <c r="O222" i="5"/>
  <c r="D230" i="5" s="1"/>
  <c r="N222" i="5"/>
  <c r="D362" i="5" s="1"/>
  <c r="M222" i="5"/>
  <c r="G222" i="5"/>
  <c r="O221" i="5"/>
  <c r="D229" i="5" s="1"/>
  <c r="H229" i="5" s="1"/>
  <c r="N221" i="5"/>
  <c r="D361" i="5" s="1"/>
  <c r="M221" i="5"/>
  <c r="G221" i="5"/>
  <c r="O220" i="5"/>
  <c r="D228" i="5" s="1"/>
  <c r="H228" i="5" s="1"/>
  <c r="N220" i="5"/>
  <c r="D360" i="5" s="1"/>
  <c r="M220" i="5"/>
  <c r="G220" i="5"/>
  <c r="O219" i="5"/>
  <c r="D227" i="5" s="1"/>
  <c r="N219" i="5"/>
  <c r="D359" i="5" s="1"/>
  <c r="M219" i="5"/>
  <c r="G219" i="5"/>
  <c r="H219" i="5" s="1"/>
  <c r="O218" i="5"/>
  <c r="D226" i="5" s="1"/>
  <c r="N218" i="5"/>
  <c r="D358" i="5" s="1"/>
  <c r="M218" i="5"/>
  <c r="G218" i="5"/>
  <c r="O217" i="5"/>
  <c r="D225" i="5" s="1"/>
  <c r="N217" i="5"/>
  <c r="D357" i="5" s="1"/>
  <c r="H357" i="5" s="1"/>
  <c r="M217" i="5"/>
  <c r="G217" i="5"/>
  <c r="H217" i="5" s="1"/>
  <c r="O216" i="5"/>
  <c r="D224" i="5" s="1"/>
  <c r="N216" i="5"/>
  <c r="D356" i="5" s="1"/>
  <c r="M216" i="5"/>
  <c r="O215" i="5"/>
  <c r="D223" i="5" s="1"/>
  <c r="H223" i="5" s="1"/>
  <c r="N215" i="5"/>
  <c r="D355" i="5" s="1"/>
  <c r="H355" i="5" s="1"/>
  <c r="M215" i="5"/>
  <c r="G215" i="5"/>
  <c r="H215" i="5" s="1"/>
  <c r="O214" i="5"/>
  <c r="D222" i="5" s="1"/>
  <c r="H222" i="5" s="1"/>
  <c r="N214" i="5"/>
  <c r="D354" i="5" s="1"/>
  <c r="M214" i="5"/>
  <c r="G214" i="5"/>
  <c r="H214" i="5" s="1"/>
  <c r="O213" i="5"/>
  <c r="D221" i="5" s="1"/>
  <c r="H221" i="5" s="1"/>
  <c r="N213" i="5"/>
  <c r="D353" i="5" s="1"/>
  <c r="M213" i="5"/>
  <c r="G213" i="5"/>
  <c r="O212" i="5"/>
  <c r="D220" i="5" s="1"/>
  <c r="H220" i="5" s="1"/>
  <c r="N212" i="5"/>
  <c r="D352" i="5" s="1"/>
  <c r="M212" i="5"/>
  <c r="G212" i="5"/>
  <c r="D212" i="5"/>
  <c r="D211" i="5" s="1"/>
  <c r="A210" i="5"/>
  <c r="G206" i="5"/>
  <c r="H206" i="5" s="1"/>
  <c r="H205" i="5" s="1"/>
  <c r="D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D197" i="5"/>
  <c r="G196" i="5"/>
  <c r="H196" i="5" s="1"/>
  <c r="G195" i="5"/>
  <c r="H195" i="5" s="1"/>
  <c r="G194" i="5"/>
  <c r="H194" i="5" s="1"/>
  <c r="G192" i="5"/>
  <c r="H192" i="5" s="1"/>
  <c r="G191" i="5"/>
  <c r="H191" i="5" s="1"/>
  <c r="G190" i="5"/>
  <c r="H190" i="5" s="1"/>
  <c r="G189" i="5"/>
  <c r="D188" i="5"/>
  <c r="G187" i="5"/>
  <c r="H187" i="5" s="1"/>
  <c r="G186" i="5"/>
  <c r="H186" i="5" s="1"/>
  <c r="G185" i="5"/>
  <c r="H185" i="5" s="1"/>
  <c r="G184" i="5"/>
  <c r="H184" i="5" s="1"/>
  <c r="G183" i="5"/>
  <c r="G182" i="5"/>
  <c r="H182" i="5" s="1"/>
  <c r="G181" i="5"/>
  <c r="H181" i="5" s="1"/>
  <c r="G180" i="5"/>
  <c r="H180" i="5" s="1"/>
  <c r="G178" i="5"/>
  <c r="G177" i="5" s="1"/>
  <c r="D177" i="5"/>
  <c r="G176" i="5"/>
  <c r="H176" i="5" s="1"/>
  <c r="G175" i="5"/>
  <c r="H175" i="5" s="1"/>
  <c r="G174" i="5"/>
  <c r="H174" i="5" s="1"/>
  <c r="G173" i="5"/>
  <c r="D172" i="5"/>
  <c r="G170" i="5"/>
  <c r="H170" i="5" s="1"/>
  <c r="G169" i="5"/>
  <c r="H169" i="5" s="1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G159" i="5"/>
  <c r="H159" i="5" s="1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F151" i="5"/>
  <c r="G151" i="5" s="1"/>
  <c r="D150" i="5"/>
  <c r="G149" i="5"/>
  <c r="H149" i="5" s="1"/>
  <c r="G148" i="5"/>
  <c r="H148" i="5" s="1"/>
  <c r="G147" i="5"/>
  <c r="G146" i="5"/>
  <c r="A144" i="5"/>
  <c r="G140" i="5"/>
  <c r="H140" i="5" s="1"/>
  <c r="H139" i="5" s="1"/>
  <c r="D139" i="5"/>
  <c r="G138" i="5"/>
  <c r="H138" i="5" s="1"/>
  <c r="G137" i="5"/>
  <c r="H137" i="5" s="1"/>
  <c r="G136" i="5"/>
  <c r="H136" i="5" s="1"/>
  <c r="G135" i="5"/>
  <c r="H135" i="5" s="1"/>
  <c r="G134" i="5"/>
  <c r="H134" i="5" s="1"/>
  <c r="G133" i="5"/>
  <c r="G132" i="5"/>
  <c r="H132" i="5" s="1"/>
  <c r="D131" i="5"/>
  <c r="G130" i="5"/>
  <c r="H130" i="5" s="1"/>
  <c r="G129" i="5"/>
  <c r="H129" i="5" s="1"/>
  <c r="G128" i="5"/>
  <c r="H128" i="5" s="1"/>
  <c r="G126" i="5"/>
  <c r="H126" i="5" s="1"/>
  <c r="G125" i="5"/>
  <c r="H125" i="5" s="1"/>
  <c r="G124" i="5"/>
  <c r="H124" i="5" s="1"/>
  <c r="G123" i="5"/>
  <c r="H123" i="5" s="1"/>
  <c r="D122" i="5"/>
  <c r="G121" i="5"/>
  <c r="H121" i="5" s="1"/>
  <c r="G120" i="5"/>
  <c r="H120" i="5" s="1"/>
  <c r="G119" i="5"/>
  <c r="H119" i="5" s="1"/>
  <c r="G118" i="5"/>
  <c r="H118" i="5" s="1"/>
  <c r="G117" i="5"/>
  <c r="G116" i="5"/>
  <c r="G115" i="5"/>
  <c r="H115" i="5" s="1"/>
  <c r="G114" i="5"/>
  <c r="G112" i="5"/>
  <c r="D111" i="5"/>
  <c r="G110" i="5"/>
  <c r="H110" i="5" s="1"/>
  <c r="G109" i="5"/>
  <c r="H109" i="5" s="1"/>
  <c r="G108" i="5"/>
  <c r="H108" i="5" s="1"/>
  <c r="G107" i="5"/>
  <c r="D106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G91" i="5"/>
  <c r="H91" i="5" s="1"/>
  <c r="G90" i="5"/>
  <c r="H90" i="5" s="1"/>
  <c r="G89" i="5"/>
  <c r="H89" i="5" s="1"/>
  <c r="G88" i="5"/>
  <c r="H88" i="5" s="1"/>
  <c r="G87" i="5"/>
  <c r="H87" i="5" s="1"/>
  <c r="G86" i="5"/>
  <c r="H86" i="5" s="1"/>
  <c r="G85" i="5"/>
  <c r="H85" i="5" s="1"/>
  <c r="G83" i="5"/>
  <c r="H83" i="5" s="1"/>
  <c r="G82" i="5"/>
  <c r="G81" i="5"/>
  <c r="H81" i="5" s="1"/>
  <c r="G80" i="5"/>
  <c r="A78" i="5"/>
  <c r="G74" i="5"/>
  <c r="G73" i="5" s="1"/>
  <c r="D73" i="5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D65" i="5"/>
  <c r="G64" i="5"/>
  <c r="H64" i="5" s="1"/>
  <c r="G63" i="5"/>
  <c r="H63" i="5" s="1"/>
  <c r="G62" i="5"/>
  <c r="H62" i="5" s="1"/>
  <c r="G60" i="5"/>
  <c r="H60" i="5" s="1"/>
  <c r="G59" i="5"/>
  <c r="H59" i="5" s="1"/>
  <c r="G58" i="5"/>
  <c r="H58" i="5" s="1"/>
  <c r="G57" i="5"/>
  <c r="H57" i="5" s="1"/>
  <c r="D56" i="5"/>
  <c r="G55" i="5"/>
  <c r="H55" i="5" s="1"/>
  <c r="G54" i="5"/>
  <c r="H54" i="5" s="1"/>
  <c r="G53" i="5"/>
  <c r="G52" i="5"/>
  <c r="H52" i="5" s="1"/>
  <c r="G51" i="5"/>
  <c r="G50" i="5"/>
  <c r="G49" i="5"/>
  <c r="H49" i="5" s="1"/>
  <c r="G48" i="5"/>
  <c r="G46" i="5"/>
  <c r="H46" i="5" s="1"/>
  <c r="H45" i="5" s="1"/>
  <c r="D45" i="5"/>
  <c r="G44" i="5"/>
  <c r="H44" i="5" s="1"/>
  <c r="G43" i="5"/>
  <c r="H43" i="5" s="1"/>
  <c r="G42" i="5"/>
  <c r="H42" i="5" s="1"/>
  <c r="G41" i="5"/>
  <c r="H41" i="5" s="1"/>
  <c r="G38" i="5"/>
  <c r="D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G17" i="5"/>
  <c r="H17" i="5" s="1"/>
  <c r="G16" i="5"/>
  <c r="G15" i="5"/>
  <c r="H15" i="5" s="1"/>
  <c r="G14" i="5"/>
  <c r="A12" i="5"/>
  <c r="H51" i="4"/>
  <c r="B51" i="4"/>
  <c r="H50" i="4"/>
  <c r="B50" i="4"/>
  <c r="H49" i="4"/>
  <c r="I51" i="4" s="1"/>
  <c r="B49" i="4"/>
  <c r="A49" i="4"/>
  <c r="H48" i="4"/>
  <c r="B48" i="4"/>
  <c r="B47" i="4"/>
  <c r="H46" i="4"/>
  <c r="B46" i="4"/>
  <c r="A46" i="4"/>
  <c r="B42" i="4"/>
  <c r="B41" i="4"/>
  <c r="A41" i="4"/>
  <c r="H40" i="4"/>
  <c r="I40" i="4" s="1"/>
  <c r="B40" i="4"/>
  <c r="A40" i="4"/>
  <c r="H39" i="4"/>
  <c r="B39" i="4"/>
  <c r="H38" i="4"/>
  <c r="B38" i="4"/>
  <c r="A38" i="4"/>
  <c r="H37" i="4"/>
  <c r="B37" i="4"/>
  <c r="H36" i="4"/>
  <c r="B36" i="4"/>
  <c r="A36" i="4"/>
  <c r="M27" i="4"/>
  <c r="I67" i="3" s="1"/>
  <c r="L27" i="4"/>
  <c r="V22" i="7" s="1"/>
  <c r="K27" i="4"/>
  <c r="J27" i="4"/>
  <c r="I27" i="4"/>
  <c r="M26" i="4"/>
  <c r="I64" i="3" s="1"/>
  <c r="M25" i="4"/>
  <c r="L25" i="4"/>
  <c r="K25" i="4"/>
  <c r="P25" i="4" s="1"/>
  <c r="J25" i="4"/>
  <c r="T20" i="7" s="1"/>
  <c r="I25" i="4"/>
  <c r="M24" i="4"/>
  <c r="I57" i="3" s="1"/>
  <c r="L24" i="4"/>
  <c r="K24" i="4"/>
  <c r="U19" i="7" s="1"/>
  <c r="J24" i="4"/>
  <c r="I24" i="4"/>
  <c r="S19" i="7" s="1"/>
  <c r="M22" i="4"/>
  <c r="L22" i="4"/>
  <c r="V17" i="7" s="1"/>
  <c r="K22" i="4"/>
  <c r="J22" i="4"/>
  <c r="T17" i="7" s="1"/>
  <c r="I22" i="4"/>
  <c r="I40" i="3"/>
  <c r="D40" i="3" s="1"/>
  <c r="L16" i="4"/>
  <c r="Q16" i="4" s="1"/>
  <c r="M40" i="3" s="1"/>
  <c r="H40" i="3" s="1"/>
  <c r="K16" i="4"/>
  <c r="P16" i="4" s="1"/>
  <c r="L40" i="3" s="1"/>
  <c r="G40" i="3" s="1"/>
  <c r="J16" i="4"/>
  <c r="I16" i="4"/>
  <c r="N16" i="4" s="1"/>
  <c r="J40" i="3" s="1"/>
  <c r="E40" i="3" s="1"/>
  <c r="M15" i="4"/>
  <c r="L15" i="4"/>
  <c r="V13" i="7" s="1"/>
  <c r="K15" i="4"/>
  <c r="J15" i="4"/>
  <c r="T13" i="7" s="1"/>
  <c r="I15" i="4"/>
  <c r="M14" i="4"/>
  <c r="I33" i="3" s="1"/>
  <c r="D33" i="3" s="1"/>
  <c r="L14" i="4"/>
  <c r="K14" i="4"/>
  <c r="U12" i="7" s="1"/>
  <c r="J14" i="4"/>
  <c r="I14" i="4"/>
  <c r="S12" i="7" s="1"/>
  <c r="M13" i="4"/>
  <c r="I29" i="3" s="1"/>
  <c r="L13" i="4"/>
  <c r="V11" i="7" s="1"/>
  <c r="K13" i="4"/>
  <c r="J13" i="4"/>
  <c r="T11" i="7" s="1"/>
  <c r="I13" i="4"/>
  <c r="M12" i="4"/>
  <c r="L12" i="4"/>
  <c r="K12" i="4"/>
  <c r="U10" i="7" s="1"/>
  <c r="J12" i="4"/>
  <c r="I12" i="4"/>
  <c r="S10" i="7" s="1"/>
  <c r="P69" i="3"/>
  <c r="D69" i="3"/>
  <c r="M68" i="3"/>
  <c r="H68" i="3" s="1"/>
  <c r="L68" i="3"/>
  <c r="G68" i="3" s="1"/>
  <c r="K68" i="3"/>
  <c r="F68" i="3" s="1"/>
  <c r="J68" i="3"/>
  <c r="E68" i="3" s="1"/>
  <c r="I68" i="3"/>
  <c r="I69" i="3" s="1"/>
  <c r="B67" i="3"/>
  <c r="P66" i="3"/>
  <c r="D16" i="3" s="1"/>
  <c r="M66" i="3"/>
  <c r="L66" i="3"/>
  <c r="K66" i="3"/>
  <c r="J66" i="3"/>
  <c r="H66" i="3"/>
  <c r="G66" i="3"/>
  <c r="F66" i="3"/>
  <c r="E66" i="3"/>
  <c r="D66" i="3"/>
  <c r="I65" i="3"/>
  <c r="I66" i="3" s="1"/>
  <c r="B64" i="3"/>
  <c r="P63" i="3"/>
  <c r="D15" i="3" s="1"/>
  <c r="D63" i="3"/>
  <c r="M62" i="3"/>
  <c r="H62" i="3" s="1"/>
  <c r="L62" i="3"/>
  <c r="K62" i="3"/>
  <c r="F62" i="3" s="1"/>
  <c r="J62" i="3"/>
  <c r="E62" i="3" s="1"/>
  <c r="I62" i="3"/>
  <c r="G62" i="3"/>
  <c r="I61" i="3"/>
  <c r="B61" i="3"/>
  <c r="A61" i="3"/>
  <c r="P59" i="3"/>
  <c r="D59" i="3"/>
  <c r="M58" i="3"/>
  <c r="H58" i="3" s="1"/>
  <c r="L58" i="3"/>
  <c r="K58" i="3"/>
  <c r="F58" i="3" s="1"/>
  <c r="J58" i="3"/>
  <c r="E58" i="3" s="1"/>
  <c r="I58" i="3"/>
  <c r="G58" i="3"/>
  <c r="B57" i="3"/>
  <c r="P56" i="3"/>
  <c r="M56" i="3"/>
  <c r="L56" i="3"/>
  <c r="K56" i="3"/>
  <c r="J56" i="3"/>
  <c r="I56" i="3"/>
  <c r="H56" i="3"/>
  <c r="G56" i="3"/>
  <c r="F56" i="3"/>
  <c r="E56" i="3"/>
  <c r="D56" i="3"/>
  <c r="B54" i="3"/>
  <c r="P53" i="3"/>
  <c r="D13" i="3" s="1"/>
  <c r="D53" i="3"/>
  <c r="M52" i="3"/>
  <c r="H52" i="3" s="1"/>
  <c r="L52" i="3"/>
  <c r="G52" i="3" s="1"/>
  <c r="K52" i="3"/>
  <c r="F52" i="3" s="1"/>
  <c r="J52" i="3"/>
  <c r="E52" i="3" s="1"/>
  <c r="I52" i="3"/>
  <c r="B51" i="3"/>
  <c r="A51" i="3"/>
  <c r="P49" i="3"/>
  <c r="M49" i="3"/>
  <c r="L49" i="3"/>
  <c r="K49" i="3"/>
  <c r="J49" i="3"/>
  <c r="H49" i="3"/>
  <c r="G49" i="3"/>
  <c r="F49" i="3"/>
  <c r="E49" i="3"/>
  <c r="D49" i="3"/>
  <c r="B47" i="3"/>
  <c r="P46" i="3"/>
  <c r="M46" i="3"/>
  <c r="L46" i="3"/>
  <c r="K46" i="3"/>
  <c r="J46" i="3"/>
  <c r="H46" i="3"/>
  <c r="H50" i="3" s="1"/>
  <c r="G46" i="3"/>
  <c r="F46" i="3"/>
  <c r="E46" i="3"/>
  <c r="D46" i="3"/>
  <c r="D50" i="3" s="1"/>
  <c r="B44" i="3"/>
  <c r="A44" i="3"/>
  <c r="P40" i="3"/>
  <c r="P42" i="3" s="1"/>
  <c r="P43" i="3" s="1"/>
  <c r="D11" i="3" s="1"/>
  <c r="B40" i="3"/>
  <c r="A40" i="3"/>
  <c r="H37" i="3"/>
  <c r="F37" i="3"/>
  <c r="E37" i="3"/>
  <c r="D37" i="3"/>
  <c r="G37" i="3"/>
  <c r="P36" i="3"/>
  <c r="P38" i="3" s="1"/>
  <c r="B36" i="3"/>
  <c r="M34" i="3"/>
  <c r="H34" i="3" s="1"/>
  <c r="L34" i="3"/>
  <c r="G34" i="3" s="1"/>
  <c r="K34" i="3"/>
  <c r="F34" i="3" s="1"/>
  <c r="J34" i="3"/>
  <c r="E34" i="3" s="1"/>
  <c r="I34" i="3"/>
  <c r="D34" i="3" s="1"/>
  <c r="P33" i="3"/>
  <c r="P35" i="3" s="1"/>
  <c r="B33" i="3"/>
  <c r="A33" i="3"/>
  <c r="M30" i="3"/>
  <c r="H30" i="3" s="1"/>
  <c r="L30" i="3"/>
  <c r="G30" i="3" s="1"/>
  <c r="K30" i="3"/>
  <c r="F30" i="3" s="1"/>
  <c r="J30" i="3"/>
  <c r="E30" i="3" s="1"/>
  <c r="I30" i="3"/>
  <c r="D30" i="3" s="1"/>
  <c r="P29" i="3"/>
  <c r="P31" i="3" s="1"/>
  <c r="B29" i="3"/>
  <c r="M27" i="3"/>
  <c r="H27" i="3" s="1"/>
  <c r="L27" i="3"/>
  <c r="G27" i="3" s="1"/>
  <c r="K27" i="3"/>
  <c r="J27" i="3"/>
  <c r="E27" i="3" s="1"/>
  <c r="I27" i="3"/>
  <c r="D27" i="3" s="1"/>
  <c r="P26" i="3"/>
  <c r="P28" i="3" s="1"/>
  <c r="I26" i="3"/>
  <c r="D26" i="3" s="1"/>
  <c r="B26" i="3"/>
  <c r="A26" i="3"/>
  <c r="A12" i="3"/>
  <c r="A11" i="3"/>
  <c r="A10" i="3"/>
  <c r="A9" i="3"/>
  <c r="C8" i="3"/>
  <c r="B8" i="3"/>
  <c r="P32" i="3" l="1"/>
  <c r="G535" i="5"/>
  <c r="J50" i="3"/>
  <c r="P50" i="3"/>
  <c r="H419" i="5"/>
  <c r="D439" i="5"/>
  <c r="H439" i="5" s="1"/>
  <c r="M429" i="5"/>
  <c r="N429" i="5" s="1"/>
  <c r="D444" i="5"/>
  <c r="H444" i="5" s="1"/>
  <c r="N434" i="5"/>
  <c r="M447" i="5"/>
  <c r="D458" i="5" s="1"/>
  <c r="H458" i="5" s="1"/>
  <c r="N447" i="5"/>
  <c r="M456" i="5"/>
  <c r="N456" i="5"/>
  <c r="J188" i="10"/>
  <c r="D50" i="5" s="1"/>
  <c r="H50" i="5" s="1"/>
  <c r="H230" i="5"/>
  <c r="M435" i="5"/>
  <c r="N435" i="5"/>
  <c r="L50" i="3"/>
  <c r="M441" i="5"/>
  <c r="N441" i="5"/>
  <c r="M444" i="5"/>
  <c r="N444" i="5"/>
  <c r="D520" i="5" s="1"/>
  <c r="H520" i="5" s="1"/>
  <c r="M446" i="5"/>
  <c r="N446" i="5"/>
  <c r="J182" i="10"/>
  <c r="D116" i="5" s="1"/>
  <c r="G509" i="5"/>
  <c r="F50" i="3"/>
  <c r="H178" i="5"/>
  <c r="H177" i="5" s="1"/>
  <c r="H381" i="5"/>
  <c r="H440" i="5"/>
  <c r="N452" i="5"/>
  <c r="D529" i="5" s="1"/>
  <c r="H529" i="5" s="1"/>
  <c r="H78" i="6"/>
  <c r="U22" i="7"/>
  <c r="P27" i="4"/>
  <c r="L67" i="3" s="1"/>
  <c r="K114" i="10"/>
  <c r="K115" i="10" s="1"/>
  <c r="I63" i="3"/>
  <c r="O16" i="4"/>
  <c r="K40" i="3" s="1"/>
  <c r="S22" i="7"/>
  <c r="N27" i="4"/>
  <c r="H270" i="5"/>
  <c r="G461" i="5"/>
  <c r="H116" i="5"/>
  <c r="N66" i="3"/>
  <c r="G150" i="5"/>
  <c r="H359" i="5"/>
  <c r="H363" i="5"/>
  <c r="H388" i="5"/>
  <c r="H390" i="5"/>
  <c r="H490" i="5"/>
  <c r="H427" i="5"/>
  <c r="H494" i="5"/>
  <c r="L41" i="6"/>
  <c r="L68" i="6"/>
  <c r="J212" i="10"/>
  <c r="L436" i="5" s="1"/>
  <c r="M35" i="11"/>
  <c r="M23" i="11"/>
  <c r="G139" i="5"/>
  <c r="G59" i="11"/>
  <c r="H20" i="6"/>
  <c r="J20" i="6" s="1"/>
  <c r="L20" i="6" s="1"/>
  <c r="G193" i="5"/>
  <c r="H193" i="5" s="1"/>
  <c r="I37" i="4"/>
  <c r="L5" i="11" s="1"/>
  <c r="H40" i="5"/>
  <c r="H425" i="5"/>
  <c r="H492" i="5"/>
  <c r="D70" i="3"/>
  <c r="Q15" i="4"/>
  <c r="G19" i="9" s="1"/>
  <c r="L19" i="9" s="1"/>
  <c r="H151" i="5"/>
  <c r="H353" i="5"/>
  <c r="H224" i="5"/>
  <c r="H225" i="5"/>
  <c r="H226" i="5"/>
  <c r="H361" i="5"/>
  <c r="H362" i="5"/>
  <c r="H364" i="5"/>
  <c r="H365" i="5"/>
  <c r="H366" i="5"/>
  <c r="H374" i="5"/>
  <c r="H247" i="5"/>
  <c r="H248" i="5"/>
  <c r="H249" i="5"/>
  <c r="H250" i="5"/>
  <c r="H251" i="5"/>
  <c r="H253" i="5"/>
  <c r="H257" i="5"/>
  <c r="H397" i="5"/>
  <c r="H268" i="5"/>
  <c r="H401" i="5"/>
  <c r="H267" i="5"/>
  <c r="H310" i="5"/>
  <c r="H309" i="5" s="1"/>
  <c r="H383" i="5"/>
  <c r="H486" i="5"/>
  <c r="H423" i="5"/>
  <c r="H424" i="5"/>
  <c r="H498" i="5"/>
  <c r="H460" i="5"/>
  <c r="H72" i="6"/>
  <c r="J138" i="10"/>
  <c r="J200" i="10"/>
  <c r="D28" i="3"/>
  <c r="D60" i="3"/>
  <c r="G172" i="5"/>
  <c r="H227" i="5"/>
  <c r="H368" i="5"/>
  <c r="H255" i="5"/>
  <c r="H266" i="5"/>
  <c r="H382" i="5"/>
  <c r="H384" i="5"/>
  <c r="H389" i="5"/>
  <c r="H386" i="5" s="1"/>
  <c r="H496" i="5"/>
  <c r="H431" i="5"/>
  <c r="H450" i="5"/>
  <c r="D445" i="5"/>
  <c r="H445" i="5" s="1"/>
  <c r="H534" i="5"/>
  <c r="X15" i="6"/>
  <c r="L69" i="6"/>
  <c r="L79" i="6"/>
  <c r="L87" i="6"/>
  <c r="D315" i="5"/>
  <c r="H315" i="5" s="1"/>
  <c r="F206" i="10"/>
  <c r="H314" i="5"/>
  <c r="D245" i="5"/>
  <c r="H197" i="5"/>
  <c r="H283" i="5"/>
  <c r="H282" i="5" s="1"/>
  <c r="G282" i="5"/>
  <c r="H147" i="5"/>
  <c r="D145" i="5"/>
  <c r="D144" i="5" s="1"/>
  <c r="H150" i="5"/>
  <c r="H42" i="3"/>
  <c r="H43" i="3" s="1"/>
  <c r="D35" i="3"/>
  <c r="N49" i="3"/>
  <c r="M50" i="3"/>
  <c r="P60" i="3"/>
  <c r="P70" i="3"/>
  <c r="N12" i="4"/>
  <c r="J26" i="3" s="1"/>
  <c r="Q13" i="4"/>
  <c r="M29" i="3" s="1"/>
  <c r="M31" i="3" s="1"/>
  <c r="Q22" i="4"/>
  <c r="G26" i="9" s="1"/>
  <c r="L26" i="9" s="1"/>
  <c r="J67" i="3"/>
  <c r="E67" i="3" s="1"/>
  <c r="E69" i="3" s="1"/>
  <c r="G13" i="5"/>
  <c r="D40" i="5"/>
  <c r="G45" i="5"/>
  <c r="G65" i="5"/>
  <c r="H233" i="5"/>
  <c r="H262" i="5"/>
  <c r="H400" i="5"/>
  <c r="G263" i="5"/>
  <c r="H330" i="5"/>
  <c r="H329" i="5" s="1"/>
  <c r="G329" i="5"/>
  <c r="H338" i="5"/>
  <c r="H337" i="5" s="1"/>
  <c r="G337" i="5"/>
  <c r="G386" i="5"/>
  <c r="G50" i="3"/>
  <c r="K50" i="3"/>
  <c r="I59" i="3"/>
  <c r="I70" i="3"/>
  <c r="P12" i="4"/>
  <c r="O15" i="4"/>
  <c r="O25" i="4"/>
  <c r="E20" i="7" s="1"/>
  <c r="O20" i="7" s="1"/>
  <c r="G18" i="5"/>
  <c r="N14" i="4"/>
  <c r="J33" i="3" s="1"/>
  <c r="N24" i="4"/>
  <c r="J57" i="3" s="1"/>
  <c r="J59" i="3" s="1"/>
  <c r="H74" i="5"/>
  <c r="H73" i="5" s="1"/>
  <c r="H232" i="5"/>
  <c r="D454" i="5"/>
  <c r="H454" i="5" s="1"/>
  <c r="I50" i="3"/>
  <c r="O56" i="3"/>
  <c r="O13" i="4"/>
  <c r="K29" i="3" s="1"/>
  <c r="F29" i="3" s="1"/>
  <c r="F31" i="3" s="1"/>
  <c r="P14" i="4"/>
  <c r="L33" i="3" s="1"/>
  <c r="G33" i="3" s="1"/>
  <c r="G35" i="3" s="1"/>
  <c r="O22" i="4"/>
  <c r="E26" i="9" s="1"/>
  <c r="J26" i="9" s="1"/>
  <c r="P24" i="4"/>
  <c r="F19" i="7" s="1"/>
  <c r="P19" i="7" s="1"/>
  <c r="H53" i="5"/>
  <c r="H107" i="5"/>
  <c r="H106" i="5" s="1"/>
  <c r="H173" i="5"/>
  <c r="H172" i="5" s="1"/>
  <c r="G197" i="5"/>
  <c r="H360" i="5"/>
  <c r="G245" i="5"/>
  <c r="H272" i="5"/>
  <c r="H271" i="5" s="1"/>
  <c r="H372" i="5"/>
  <c r="G370" i="5"/>
  <c r="M413" i="5"/>
  <c r="D421" i="5" s="1"/>
  <c r="H421" i="5" s="1"/>
  <c r="N413" i="5"/>
  <c r="D487" i="5" s="1"/>
  <c r="H487" i="5" s="1"/>
  <c r="H380" i="5"/>
  <c r="H489" i="5"/>
  <c r="D510" i="5"/>
  <c r="H510" i="5" s="1"/>
  <c r="N439" i="5"/>
  <c r="D515" i="5" s="1"/>
  <c r="H515" i="5" s="1"/>
  <c r="N440" i="5"/>
  <c r="D516" i="5" s="1"/>
  <c r="H516" i="5" s="1"/>
  <c r="N451" i="5"/>
  <c r="D528" i="5" s="1"/>
  <c r="H528" i="5" s="1"/>
  <c r="L18" i="6"/>
  <c r="H77" i="6"/>
  <c r="X40" i="6"/>
  <c r="U121" i="10"/>
  <c r="U122" i="10" s="1"/>
  <c r="F194" i="10"/>
  <c r="G343" i="5"/>
  <c r="H402" i="5"/>
  <c r="H426" i="5"/>
  <c r="H432" i="5"/>
  <c r="D505" i="5"/>
  <c r="H505" i="5" s="1"/>
  <c r="N430" i="5"/>
  <c r="D506" i="5" s="1"/>
  <c r="H506" i="5" s="1"/>
  <c r="H449" i="5"/>
  <c r="H463" i="5"/>
  <c r="N455" i="5"/>
  <c r="D532" i="5" s="1"/>
  <c r="H532" i="5" s="1"/>
  <c r="D468" i="5"/>
  <c r="H468" i="5" s="1"/>
  <c r="G527" i="5"/>
  <c r="X49" i="6"/>
  <c r="M11" i="11"/>
  <c r="N11" i="11" s="1"/>
  <c r="G436" i="5"/>
  <c r="G502" i="5"/>
  <c r="H385" i="5"/>
  <c r="G395" i="5"/>
  <c r="H420" i="5"/>
  <c r="M425" i="5"/>
  <c r="D433" i="5" s="1"/>
  <c r="H433" i="5" s="1"/>
  <c r="D526" i="5"/>
  <c r="H526" i="5" s="1"/>
  <c r="G480" i="5"/>
  <c r="H84" i="6"/>
  <c r="J84" i="6" s="1"/>
  <c r="L84" i="6" s="1"/>
  <c r="J194" i="10"/>
  <c r="D183" i="5" s="1"/>
  <c r="D179" i="5" s="1"/>
  <c r="D171" i="5" s="1"/>
  <c r="H244" i="5"/>
  <c r="H243" i="5" s="1"/>
  <c r="D243" i="5"/>
  <c r="B9" i="11"/>
  <c r="D9" i="3"/>
  <c r="G42" i="3"/>
  <c r="G43" i="3" s="1"/>
  <c r="N46" i="3"/>
  <c r="E50" i="3"/>
  <c r="N56" i="3"/>
  <c r="E17" i="9"/>
  <c r="J17" i="9" s="1"/>
  <c r="K51" i="3"/>
  <c r="F28" i="9"/>
  <c r="K28" i="9" s="1"/>
  <c r="H112" i="5"/>
  <c r="H111" i="5" s="1"/>
  <c r="G111" i="5"/>
  <c r="H212" i="5"/>
  <c r="H213" i="5"/>
  <c r="G211" i="5"/>
  <c r="D377" i="5"/>
  <c r="H378" i="5"/>
  <c r="H264" i="5"/>
  <c r="D263" i="5"/>
  <c r="D456" i="5"/>
  <c r="H456" i="5" s="1"/>
  <c r="D522" i="5"/>
  <c r="H522" i="5" s="1"/>
  <c r="H45" i="6"/>
  <c r="J45" i="6" s="1"/>
  <c r="L45" i="6" s="1"/>
  <c r="H85" i="6"/>
  <c r="J85" i="6" s="1"/>
  <c r="L85" i="6" s="1"/>
  <c r="D29" i="3"/>
  <c r="D31" i="3" s="1"/>
  <c r="I31" i="3"/>
  <c r="E33" i="3"/>
  <c r="E35" i="3" s="1"/>
  <c r="J35" i="3"/>
  <c r="I35" i="3"/>
  <c r="M42" i="3"/>
  <c r="M43" i="3" s="1"/>
  <c r="J42" i="3"/>
  <c r="J43" i="3" s="1"/>
  <c r="O49" i="3"/>
  <c r="T10" i="7"/>
  <c r="O12" i="4"/>
  <c r="U11" i="7"/>
  <c r="P13" i="4"/>
  <c r="V12" i="7"/>
  <c r="Q14" i="4"/>
  <c r="S13" i="7"/>
  <c r="N15" i="4"/>
  <c r="C13" i="7"/>
  <c r="M13" i="7" s="1"/>
  <c r="C19" i="9"/>
  <c r="H19" i="9" s="1"/>
  <c r="I36" i="3"/>
  <c r="I38" i="3" s="1"/>
  <c r="U17" i="7"/>
  <c r="P22" i="4"/>
  <c r="G17" i="7"/>
  <c r="Q17" i="7" s="1"/>
  <c r="M51" i="3"/>
  <c r="V19" i="7"/>
  <c r="Q24" i="4"/>
  <c r="S20" i="7"/>
  <c r="N25" i="4"/>
  <c r="T22" i="7"/>
  <c r="O27" i="4"/>
  <c r="D31" i="9"/>
  <c r="I31" i="9" s="1"/>
  <c r="D22" i="7"/>
  <c r="N22" i="7" s="1"/>
  <c r="G40" i="5"/>
  <c r="H65" i="5"/>
  <c r="G84" i="5"/>
  <c r="H133" i="5"/>
  <c r="H131" i="5" s="1"/>
  <c r="G131" i="5"/>
  <c r="D395" i="5"/>
  <c r="H396" i="5"/>
  <c r="H322" i="5"/>
  <c r="G348" i="5"/>
  <c r="G342" i="5" s="1"/>
  <c r="H349" i="5"/>
  <c r="G409" i="5"/>
  <c r="M421" i="5"/>
  <c r="D429" i="5" s="1"/>
  <c r="H429" i="5" s="1"/>
  <c r="N421" i="5"/>
  <c r="D495" i="5" s="1"/>
  <c r="H495" i="5" s="1"/>
  <c r="D453" i="5"/>
  <c r="N454" i="5"/>
  <c r="D531" i="5" s="1"/>
  <c r="H531" i="5" s="1"/>
  <c r="D465" i="5"/>
  <c r="H465" i="5" s="1"/>
  <c r="K31" i="3"/>
  <c r="E42" i="3"/>
  <c r="E43" i="3" s="1"/>
  <c r="L42" i="3"/>
  <c r="L43" i="3" s="1"/>
  <c r="B16" i="3"/>
  <c r="F16" i="9"/>
  <c r="K16" i="9" s="1"/>
  <c r="F10" i="7"/>
  <c r="P10" i="7" s="1"/>
  <c r="L26" i="3"/>
  <c r="G26" i="3" s="1"/>
  <c r="G28" i="3" s="1"/>
  <c r="E19" i="9"/>
  <c r="J19" i="9" s="1"/>
  <c r="E13" i="7"/>
  <c r="O13" i="7" s="1"/>
  <c r="K36" i="3"/>
  <c r="F36" i="3" s="1"/>
  <c r="F38" i="3" s="1"/>
  <c r="H48" i="5"/>
  <c r="G47" i="5"/>
  <c r="G113" i="5"/>
  <c r="H114" i="5"/>
  <c r="H352" i="5"/>
  <c r="D348" i="5"/>
  <c r="D216" i="5"/>
  <c r="D210" i="5" s="1"/>
  <c r="D273" i="5" s="1"/>
  <c r="H246" i="5"/>
  <c r="H519" i="5"/>
  <c r="D455" i="5"/>
  <c r="H455" i="5" s="1"/>
  <c r="N445" i="5"/>
  <c r="D521" i="5" s="1"/>
  <c r="H521" i="5" s="1"/>
  <c r="H470" i="5"/>
  <c r="H469" i="5" s="1"/>
  <c r="G469" i="5"/>
  <c r="H71" i="6"/>
  <c r="J71" i="6" s="1"/>
  <c r="L71" i="6" s="1"/>
  <c r="Q21" i="6"/>
  <c r="S21" i="6"/>
  <c r="F27" i="3"/>
  <c r="I28" i="3"/>
  <c r="H29" i="3"/>
  <c r="H31" i="3" s="1"/>
  <c r="P39" i="3"/>
  <c r="O46" i="3"/>
  <c r="L57" i="3"/>
  <c r="G57" i="3" s="1"/>
  <c r="G59" i="3" s="1"/>
  <c r="O66" i="3"/>
  <c r="Q66" i="3" s="1"/>
  <c r="V10" i="7"/>
  <c r="Q12" i="4"/>
  <c r="S11" i="7"/>
  <c r="N13" i="4"/>
  <c r="C17" i="9"/>
  <c r="H17" i="9" s="1"/>
  <c r="C11" i="7"/>
  <c r="M11" i="7" s="1"/>
  <c r="T12" i="7"/>
  <c r="O14" i="4"/>
  <c r="D18" i="9"/>
  <c r="I18" i="9" s="1"/>
  <c r="U13" i="7"/>
  <c r="P15" i="4"/>
  <c r="S17" i="7"/>
  <c r="N22" i="4"/>
  <c r="C26" i="9"/>
  <c r="H26" i="9" s="1"/>
  <c r="C17" i="7"/>
  <c r="M17" i="7" s="1"/>
  <c r="I51" i="3"/>
  <c r="I53" i="3" s="1"/>
  <c r="T19" i="7"/>
  <c r="O24" i="4"/>
  <c r="U20" i="7"/>
  <c r="C30" i="9"/>
  <c r="H30" i="9" s="1"/>
  <c r="C21" i="7"/>
  <c r="M21" i="7" s="1"/>
  <c r="Q27" i="4"/>
  <c r="I39" i="4"/>
  <c r="H19" i="5"/>
  <c r="G106" i="5"/>
  <c r="G145" i="5"/>
  <c r="G144" i="5" s="1"/>
  <c r="H189" i="5"/>
  <c r="G205" i="5"/>
  <c r="G216" i="5"/>
  <c r="H218" i="5"/>
  <c r="H238" i="5"/>
  <c r="H307" i="5"/>
  <c r="H304" i="5" s="1"/>
  <c r="G304" i="5"/>
  <c r="G414" i="5"/>
  <c r="H415" i="5"/>
  <c r="D464" i="5"/>
  <c r="H464" i="5" s="1"/>
  <c r="D530" i="5"/>
  <c r="D467" i="5"/>
  <c r="H467" i="5" s="1"/>
  <c r="D533" i="5"/>
  <c r="H533" i="5" s="1"/>
  <c r="H15" i="6"/>
  <c r="J15" i="6" s="1"/>
  <c r="L15" i="6" s="1"/>
  <c r="H25" i="6"/>
  <c r="J25" i="6" s="1"/>
  <c r="L25" i="6" s="1"/>
  <c r="H27" i="6"/>
  <c r="J27" i="6" s="1"/>
  <c r="L27" i="6" s="1"/>
  <c r="H35" i="6"/>
  <c r="J35" i="6" s="1"/>
  <c r="L35" i="6" s="1"/>
  <c r="S41" i="6"/>
  <c r="O41" i="6"/>
  <c r="Q41" i="6"/>
  <c r="C12" i="7"/>
  <c r="M12" i="7" s="1"/>
  <c r="C18" i="9"/>
  <c r="H18" i="9" s="1"/>
  <c r="C28" i="9"/>
  <c r="H28" i="9" s="1"/>
  <c r="C19" i="7"/>
  <c r="M19" i="7" s="1"/>
  <c r="Q25" i="4"/>
  <c r="V20" i="7"/>
  <c r="M41" i="11"/>
  <c r="I41" i="11"/>
  <c r="E41" i="11"/>
  <c r="K41" i="11"/>
  <c r="G41" i="11"/>
  <c r="C41" i="11"/>
  <c r="L41" i="11"/>
  <c r="D41" i="11"/>
  <c r="H41" i="11"/>
  <c r="B41" i="11"/>
  <c r="J41" i="11"/>
  <c r="G457" i="5"/>
  <c r="F41" i="11"/>
  <c r="G179" i="5"/>
  <c r="H356" i="5"/>
  <c r="H373" i="5"/>
  <c r="D370" i="5"/>
  <c r="H260" i="5"/>
  <c r="N414" i="5"/>
  <c r="D488" i="5" s="1"/>
  <c r="H488" i="5" s="1"/>
  <c r="M414" i="5"/>
  <c r="H422" i="5" s="1"/>
  <c r="D459" i="5"/>
  <c r="H459" i="5" s="1"/>
  <c r="N448" i="5"/>
  <c r="D525" i="5" s="1"/>
  <c r="H525" i="5" s="1"/>
  <c r="O17" i="6"/>
  <c r="S17" i="6"/>
  <c r="Q17" i="6"/>
  <c r="H19" i="6"/>
  <c r="J19" i="6" s="1"/>
  <c r="L19" i="6" s="1"/>
  <c r="C16" i="9"/>
  <c r="H16" i="9" s="1"/>
  <c r="C10" i="7"/>
  <c r="M10" i="7" s="1"/>
  <c r="C22" i="7"/>
  <c r="M22" i="7" s="1"/>
  <c r="C31" i="9"/>
  <c r="H31" i="9" s="1"/>
  <c r="I48" i="4"/>
  <c r="M54" i="11"/>
  <c r="I54" i="11"/>
  <c r="E54" i="11"/>
  <c r="K54" i="11"/>
  <c r="G54" i="11"/>
  <c r="C54" i="11"/>
  <c r="F54" i="11"/>
  <c r="J54" i="11"/>
  <c r="B54" i="11"/>
  <c r="H54" i="11"/>
  <c r="D54" i="11"/>
  <c r="L54" i="11"/>
  <c r="G79" i="5"/>
  <c r="H146" i="5"/>
  <c r="H354" i="5"/>
  <c r="H358" i="5"/>
  <c r="H376" i="5"/>
  <c r="H375" i="5" s="1"/>
  <c r="D375" i="5"/>
  <c r="H261" i="5"/>
  <c r="G277" i="5"/>
  <c r="G276" i="5" s="1"/>
  <c r="H279" i="5"/>
  <c r="G311" i="5"/>
  <c r="H312" i="5"/>
  <c r="D442" i="5"/>
  <c r="N432" i="5"/>
  <c r="D508" i="5" s="1"/>
  <c r="D451" i="5"/>
  <c r="H451" i="5" s="1"/>
  <c r="D517" i="5"/>
  <c r="H517" i="5" s="1"/>
  <c r="D524" i="5"/>
  <c r="H524" i="5" s="1"/>
  <c r="S18" i="6"/>
  <c r="O18" i="6"/>
  <c r="Q18" i="6"/>
  <c r="H43" i="6"/>
  <c r="J43" i="6" s="1"/>
  <c r="L43" i="6" s="1"/>
  <c r="H344" i="5"/>
  <c r="H343" i="5" s="1"/>
  <c r="H379" i="5"/>
  <c r="H430" i="5"/>
  <c r="D448" i="5"/>
  <c r="H448" i="5" s="1"/>
  <c r="H514" i="5"/>
  <c r="G443" i="5"/>
  <c r="H484" i="5"/>
  <c r="G518" i="5"/>
  <c r="H70" i="6"/>
  <c r="J70" i="6" s="1"/>
  <c r="L70" i="6" s="1"/>
  <c r="G34" i="11"/>
  <c r="L22" i="11"/>
  <c r="H22" i="11"/>
  <c r="D22" i="11"/>
  <c r="J22" i="11"/>
  <c r="F22" i="11"/>
  <c r="B22" i="11"/>
  <c r="G22" i="11"/>
  <c r="K22" i="11"/>
  <c r="C22" i="11"/>
  <c r="M22" i="11"/>
  <c r="K34" i="8"/>
  <c r="L34" i="8" s="1"/>
  <c r="D80" i="5" s="1"/>
  <c r="E22" i="11"/>
  <c r="V23" i="10"/>
  <c r="V24" i="10" s="1"/>
  <c r="U54" i="10"/>
  <c r="D92" i="5" s="1"/>
  <c r="C29" i="9"/>
  <c r="H29" i="9" s="1"/>
  <c r="C20" i="7"/>
  <c r="M20" i="7" s="1"/>
  <c r="D238" i="5"/>
  <c r="G254" i="5"/>
  <c r="D343" i="5"/>
  <c r="G403" i="5"/>
  <c r="H434" i="5"/>
  <c r="H437" i="5"/>
  <c r="D436" i="5"/>
  <c r="L80" i="6"/>
  <c r="L81" i="6" s="1"/>
  <c r="H80" i="6"/>
  <c r="M10" i="11"/>
  <c r="I10" i="11"/>
  <c r="E10" i="11"/>
  <c r="K10" i="11"/>
  <c r="G10" i="11"/>
  <c r="C10" i="11"/>
  <c r="J10" i="11"/>
  <c r="B10" i="11"/>
  <c r="F10" i="11"/>
  <c r="H10" i="11"/>
  <c r="D10" i="11"/>
  <c r="L10" i="11"/>
  <c r="K11" i="8"/>
  <c r="L11" i="8" s="1"/>
  <c r="K107" i="8"/>
  <c r="L105" i="8" s="1"/>
  <c r="D410" i="5" s="1"/>
  <c r="M47" i="11"/>
  <c r="L59" i="11"/>
  <c r="H59" i="11"/>
  <c r="D59" i="11"/>
  <c r="J59" i="11"/>
  <c r="F59" i="11"/>
  <c r="B59" i="11"/>
  <c r="M59" i="11"/>
  <c r="E59" i="11"/>
  <c r="I59" i="11"/>
  <c r="K59" i="11"/>
  <c r="C59" i="11"/>
  <c r="K126" i="8"/>
  <c r="L126" i="8" s="1"/>
  <c r="D476" i="5" s="1"/>
  <c r="I22" i="11"/>
  <c r="H485" i="5"/>
  <c r="H493" i="5"/>
  <c r="L75" i="8"/>
  <c r="D278" i="5" s="1"/>
  <c r="K63" i="10"/>
  <c r="K64" i="10" s="1"/>
  <c r="G475" i="5"/>
  <c r="G474" i="5" s="1"/>
  <c r="H16" i="6"/>
  <c r="J16" i="6" s="1"/>
  <c r="L16" i="6" s="1"/>
  <c r="H26" i="6"/>
  <c r="J26" i="6" s="1"/>
  <c r="L26" i="6" s="1"/>
  <c r="H28" i="6"/>
  <c r="J28" i="6" s="1"/>
  <c r="L28" i="6" s="1"/>
  <c r="H40" i="6"/>
  <c r="J40" i="6" s="1"/>
  <c r="L40" i="6" s="1"/>
  <c r="H42" i="6"/>
  <c r="J42" i="6" s="1"/>
  <c r="L42" i="6" s="1"/>
  <c r="H44" i="6"/>
  <c r="J44" i="6" s="1"/>
  <c r="L44" i="6" s="1"/>
  <c r="F188" i="10"/>
  <c r="D51" i="5" s="1"/>
  <c r="L34" i="11"/>
  <c r="H34" i="11"/>
  <c r="D34" i="11"/>
  <c r="J34" i="11"/>
  <c r="F34" i="11"/>
  <c r="B34" i="11"/>
  <c r="I34" i="11"/>
  <c r="M34" i="11"/>
  <c r="E34" i="11"/>
  <c r="C34" i="11"/>
  <c r="L47" i="11"/>
  <c r="H47" i="11"/>
  <c r="D47" i="11"/>
  <c r="J47" i="11"/>
  <c r="F47" i="11"/>
  <c r="B47" i="11"/>
  <c r="K47" i="11"/>
  <c r="C47" i="11"/>
  <c r="G47" i="11"/>
  <c r="I47" i="11"/>
  <c r="E47" i="11"/>
  <c r="F200" i="10"/>
  <c r="K34" i="11"/>
  <c r="F182" i="10"/>
  <c r="D117" i="5" s="1"/>
  <c r="N35" i="11"/>
  <c r="F212" i="10"/>
  <c r="M437" i="5" s="1"/>
  <c r="N23" i="11"/>
  <c r="M48" i="11"/>
  <c r="N48" i="11" s="1"/>
  <c r="M60" i="11"/>
  <c r="N60" i="11" s="1"/>
  <c r="G188" i="5" l="1"/>
  <c r="N436" i="5"/>
  <c r="M436" i="5"/>
  <c r="D446" i="5" s="1"/>
  <c r="H446" i="5" s="1"/>
  <c r="G501" i="5"/>
  <c r="G537" i="5" s="1"/>
  <c r="H216" i="5"/>
  <c r="M36" i="3"/>
  <c r="F22" i="7"/>
  <c r="P22" i="7" s="1"/>
  <c r="G13" i="7"/>
  <c r="Q13" i="7" s="1"/>
  <c r="K38" i="3"/>
  <c r="D311" i="5"/>
  <c r="D303" i="5" s="1"/>
  <c r="Q49" i="3"/>
  <c r="D511" i="5"/>
  <c r="H511" i="5" s="1"/>
  <c r="D10" i="7"/>
  <c r="N10" i="7" s="1"/>
  <c r="Q56" i="3"/>
  <c r="H436" i="5"/>
  <c r="L69" i="3"/>
  <c r="G67" i="3"/>
  <c r="G69" i="3" s="1"/>
  <c r="F40" i="3"/>
  <c r="F42" i="3" s="1"/>
  <c r="F43" i="3" s="1"/>
  <c r="K42" i="3"/>
  <c r="K43" i="3" s="1"/>
  <c r="F31" i="9"/>
  <c r="K31" i="9" s="1"/>
  <c r="H245" i="5"/>
  <c r="K61" i="3"/>
  <c r="F61" i="3" s="1"/>
  <c r="F63" i="3" s="1"/>
  <c r="F18" i="9"/>
  <c r="K18" i="9" s="1"/>
  <c r="D512" i="5"/>
  <c r="H512" i="5" s="1"/>
  <c r="D342" i="5"/>
  <c r="D405" i="5" s="1"/>
  <c r="H254" i="5"/>
  <c r="H461" i="5"/>
  <c r="D16" i="9"/>
  <c r="I16" i="9" s="1"/>
  <c r="J69" i="3"/>
  <c r="G237" i="5"/>
  <c r="G369" i="5"/>
  <c r="G405" i="5" s="1"/>
  <c r="E5" i="11"/>
  <c r="F5" i="11"/>
  <c r="J5" i="11"/>
  <c r="G12" i="5"/>
  <c r="G5" i="11"/>
  <c r="K5" i="11"/>
  <c r="F61" i="5"/>
  <c r="G61" i="5" s="1"/>
  <c r="H61" i="5" s="1"/>
  <c r="H56" i="5" s="1"/>
  <c r="H5" i="11"/>
  <c r="M5" i="11"/>
  <c r="H188" i="5"/>
  <c r="D412" i="5"/>
  <c r="H410" i="5"/>
  <c r="O20" i="6"/>
  <c r="S20" i="6"/>
  <c r="Q20" i="6"/>
  <c r="H145" i="5"/>
  <c r="H144" i="5" s="1"/>
  <c r="H395" i="5"/>
  <c r="G11" i="7"/>
  <c r="Q11" i="7" s="1"/>
  <c r="H263" i="5"/>
  <c r="F12" i="7"/>
  <c r="P12" i="7" s="1"/>
  <c r="D19" i="7"/>
  <c r="N19" i="7" s="1"/>
  <c r="E29" i="9"/>
  <c r="J29" i="9" s="1"/>
  <c r="E57" i="3"/>
  <c r="E59" i="3" s="1"/>
  <c r="D502" i="5"/>
  <c r="H502" i="5"/>
  <c r="N59" i="11"/>
  <c r="H370" i="5"/>
  <c r="D28" i="9"/>
  <c r="I28" i="9" s="1"/>
  <c r="G17" i="9"/>
  <c r="L17" i="9" s="1"/>
  <c r="E17" i="7"/>
  <c r="O17" i="7" s="1"/>
  <c r="I42" i="3"/>
  <c r="I43" i="3" s="1"/>
  <c r="D42" i="3"/>
  <c r="D43" i="3" s="1"/>
  <c r="H311" i="5"/>
  <c r="S24" i="6"/>
  <c r="Q24" i="6"/>
  <c r="S22" i="6"/>
  <c r="Q22" i="6"/>
  <c r="O22" i="6"/>
  <c r="O24" i="6"/>
  <c r="H480" i="5"/>
  <c r="D480" i="5"/>
  <c r="G78" i="5"/>
  <c r="I5" i="11"/>
  <c r="D5" i="11"/>
  <c r="D12" i="7"/>
  <c r="N12" i="7" s="1"/>
  <c r="O50" i="3"/>
  <c r="L35" i="3"/>
  <c r="E11" i="7"/>
  <c r="O11" i="7" s="1"/>
  <c r="D207" i="5"/>
  <c r="K63" i="3"/>
  <c r="G56" i="5"/>
  <c r="G39" i="5" s="1"/>
  <c r="H377" i="5"/>
  <c r="H211" i="5"/>
  <c r="H210" i="5" s="1"/>
  <c r="J28" i="3"/>
  <c r="E26" i="3"/>
  <c r="E28" i="3" s="1"/>
  <c r="H183" i="5"/>
  <c r="G171" i="5"/>
  <c r="G207" i="5" s="1"/>
  <c r="Q42" i="6"/>
  <c r="S42" i="6"/>
  <c r="O42" i="6"/>
  <c r="L62" i="6"/>
  <c r="Q15" i="6"/>
  <c r="O15" i="6"/>
  <c r="S15" i="6"/>
  <c r="D32" i="3"/>
  <c r="Q27" i="6"/>
  <c r="O27" i="6"/>
  <c r="S27" i="6"/>
  <c r="I60" i="3"/>
  <c r="Q23" i="6"/>
  <c r="S23" i="6"/>
  <c r="O23" i="6"/>
  <c r="L88" i="6"/>
  <c r="Q16" i="6"/>
  <c r="S16" i="6"/>
  <c r="O16" i="6"/>
  <c r="Q28" i="6"/>
  <c r="S28" i="6"/>
  <c r="O28" i="6"/>
  <c r="L73" i="6"/>
  <c r="L141" i="8"/>
  <c r="D14" i="5"/>
  <c r="H453" i="5"/>
  <c r="D452" i="5"/>
  <c r="D19" i="9"/>
  <c r="I19" i="9" s="1"/>
  <c r="D13" i="7"/>
  <c r="N13" i="7" s="1"/>
  <c r="J36" i="3"/>
  <c r="Q45" i="6"/>
  <c r="O45" i="6"/>
  <c r="S45" i="6"/>
  <c r="H117" i="5"/>
  <c r="H113" i="5" s="1"/>
  <c r="D113" i="5"/>
  <c r="D105" i="5" s="1"/>
  <c r="N47" i="11"/>
  <c r="M17" i="11"/>
  <c r="I17" i="11"/>
  <c r="E17" i="11"/>
  <c r="K17" i="11"/>
  <c r="G17" i="11"/>
  <c r="H17" i="11"/>
  <c r="L17" i="11"/>
  <c r="D17" i="11"/>
  <c r="J17" i="11"/>
  <c r="F17" i="11"/>
  <c r="G127" i="5"/>
  <c r="E28" i="9"/>
  <c r="J28" i="9" s="1"/>
  <c r="E19" i="7"/>
  <c r="O19" i="7" s="1"/>
  <c r="K57" i="3"/>
  <c r="G10" i="7"/>
  <c r="Q10" i="7" s="1"/>
  <c r="G16" i="9"/>
  <c r="L16" i="9" s="1"/>
  <c r="M26" i="3"/>
  <c r="D414" i="5"/>
  <c r="H348" i="5"/>
  <c r="H342" i="5" s="1"/>
  <c r="D36" i="3"/>
  <c r="D38" i="3" s="1"/>
  <c r="I39" i="3"/>
  <c r="N34" i="11"/>
  <c r="Q44" i="6"/>
  <c r="S44" i="6"/>
  <c r="O44" i="6"/>
  <c r="Q40" i="6"/>
  <c r="S40" i="6"/>
  <c r="O40" i="6"/>
  <c r="Q26" i="6"/>
  <c r="S26" i="6"/>
  <c r="O26" i="6"/>
  <c r="D461" i="5"/>
  <c r="Q35" i="6"/>
  <c r="O35" i="6"/>
  <c r="S35" i="6"/>
  <c r="Q25" i="6"/>
  <c r="O25" i="6"/>
  <c r="S25" i="6"/>
  <c r="F19" i="9"/>
  <c r="K19" i="9" s="1"/>
  <c r="F13" i="7"/>
  <c r="P13" i="7" s="1"/>
  <c r="L36" i="3"/>
  <c r="E18" i="9"/>
  <c r="J18" i="9" s="1"/>
  <c r="E12" i="7"/>
  <c r="O12" i="7" s="1"/>
  <c r="K33" i="3"/>
  <c r="D11" i="7"/>
  <c r="N11" i="7" s="1"/>
  <c r="D17" i="9"/>
  <c r="I17" i="9" s="1"/>
  <c r="J29" i="3"/>
  <c r="M58" i="11"/>
  <c r="I58" i="11"/>
  <c r="E58" i="11"/>
  <c r="K58" i="11"/>
  <c r="G58" i="11"/>
  <c r="C58" i="11"/>
  <c r="J58" i="11"/>
  <c r="B58" i="11"/>
  <c r="F58" i="11"/>
  <c r="L58" i="11"/>
  <c r="H58" i="11"/>
  <c r="D58" i="11"/>
  <c r="C16" i="3"/>
  <c r="E16" i="3" s="1"/>
  <c r="B21" i="11"/>
  <c r="D10" i="3"/>
  <c r="D17" i="3" s="1"/>
  <c r="I32" i="3"/>
  <c r="H518" i="5"/>
  <c r="G408" i="5"/>
  <c r="F26" i="9"/>
  <c r="K26" i="9" s="1"/>
  <c r="F17" i="7"/>
  <c r="P17" i="7" s="1"/>
  <c r="L51" i="3"/>
  <c r="N50" i="3"/>
  <c r="Q46" i="3"/>
  <c r="J404" i="5"/>
  <c r="L28" i="3"/>
  <c r="H26" i="5"/>
  <c r="H18" i="5" s="1"/>
  <c r="D18" i="5"/>
  <c r="H80" i="5"/>
  <c r="D82" i="5"/>
  <c r="H82" i="5" s="1"/>
  <c r="Q43" i="6"/>
  <c r="O43" i="6"/>
  <c r="S43" i="6"/>
  <c r="D507" i="5"/>
  <c r="H508" i="5"/>
  <c r="H507" i="5" s="1"/>
  <c r="M29" i="11"/>
  <c r="I29" i="11"/>
  <c r="E29" i="11"/>
  <c r="K29" i="11"/>
  <c r="G29" i="11"/>
  <c r="C29" i="11"/>
  <c r="J29" i="11"/>
  <c r="B29" i="11"/>
  <c r="F29" i="11"/>
  <c r="L29" i="11"/>
  <c r="H29" i="11"/>
  <c r="D29" i="11"/>
  <c r="F325" i="5"/>
  <c r="G325" i="5" s="1"/>
  <c r="O19" i="6"/>
  <c r="S19" i="6"/>
  <c r="Q19" i="6"/>
  <c r="H530" i="5"/>
  <c r="D527" i="5"/>
  <c r="H36" i="3"/>
  <c r="H38" i="3" s="1"/>
  <c r="M38" i="3"/>
  <c r="D29" i="9"/>
  <c r="I29" i="9" s="1"/>
  <c r="D20" i="7"/>
  <c r="N20" i="7" s="1"/>
  <c r="J61" i="3"/>
  <c r="H51" i="3"/>
  <c r="H53" i="3" s="1"/>
  <c r="M53" i="3"/>
  <c r="H51" i="5"/>
  <c r="D47" i="5"/>
  <c r="D39" i="5" s="1"/>
  <c r="D280" i="5"/>
  <c r="H280" i="5" s="1"/>
  <c r="H278" i="5"/>
  <c r="N10" i="11"/>
  <c r="D84" i="5"/>
  <c r="H92" i="5"/>
  <c r="H84" i="5" s="1"/>
  <c r="N22" i="11"/>
  <c r="H442" i="5"/>
  <c r="H441" i="5" s="1"/>
  <c r="D441" i="5"/>
  <c r="G452" i="5"/>
  <c r="G435" i="5" s="1"/>
  <c r="H457" i="5"/>
  <c r="F29" i="9"/>
  <c r="K29" i="9" s="1"/>
  <c r="F20" i="7"/>
  <c r="P20" i="7" s="1"/>
  <c r="L61" i="3"/>
  <c r="J272" i="5"/>
  <c r="D513" i="5"/>
  <c r="D447" i="5"/>
  <c r="H476" i="5"/>
  <c r="D478" i="5"/>
  <c r="H478" i="5" s="1"/>
  <c r="G29" i="9"/>
  <c r="L29" i="9" s="1"/>
  <c r="G20" i="7"/>
  <c r="Q20" i="7" s="1"/>
  <c r="M61" i="3"/>
  <c r="H414" i="5"/>
  <c r="H237" i="5"/>
  <c r="G31" i="9"/>
  <c r="L31" i="9" s="1"/>
  <c r="G22" i="7"/>
  <c r="Q22" i="7" s="1"/>
  <c r="M67" i="3"/>
  <c r="D26" i="9"/>
  <c r="I26" i="9" s="1"/>
  <c r="D17" i="7"/>
  <c r="N17" i="7" s="1"/>
  <c r="J51" i="3"/>
  <c r="D518" i="5"/>
  <c r="E31" i="9"/>
  <c r="J31" i="9" s="1"/>
  <c r="E22" i="7"/>
  <c r="O22" i="7" s="1"/>
  <c r="K67" i="3"/>
  <c r="G28" i="9"/>
  <c r="L28" i="9" s="1"/>
  <c r="G19" i="7"/>
  <c r="Q19" i="7" s="1"/>
  <c r="M57" i="3"/>
  <c r="G12" i="7"/>
  <c r="Q12" i="7" s="1"/>
  <c r="G18" i="9"/>
  <c r="L18" i="9" s="1"/>
  <c r="M33" i="3"/>
  <c r="F17" i="9"/>
  <c r="K17" i="9" s="1"/>
  <c r="F11" i="7"/>
  <c r="P11" i="7" s="1"/>
  <c r="L29" i="3"/>
  <c r="E16" i="9"/>
  <c r="J16" i="9" s="1"/>
  <c r="E10" i="7"/>
  <c r="O10" i="7" s="1"/>
  <c r="K26" i="3"/>
  <c r="L59" i="3"/>
  <c r="G210" i="5"/>
  <c r="G273" i="5" s="1"/>
  <c r="F51" i="3"/>
  <c r="F53" i="3" s="1"/>
  <c r="K53" i="3"/>
  <c r="P71" i="3"/>
  <c r="Q50" i="3" l="1"/>
  <c r="N42" i="3"/>
  <c r="O42" i="3"/>
  <c r="O43" i="3" s="1"/>
  <c r="C11" i="3" s="1"/>
  <c r="G75" i="5"/>
  <c r="H273" i="5"/>
  <c r="J273" i="5" s="1"/>
  <c r="H277" i="5"/>
  <c r="H276" i="5" s="1"/>
  <c r="D277" i="5"/>
  <c r="D276" i="5" s="1"/>
  <c r="D339" i="5" s="1"/>
  <c r="H369" i="5"/>
  <c r="H405" i="5" s="1"/>
  <c r="J405" i="5" s="1"/>
  <c r="D409" i="5"/>
  <c r="D408" i="5" s="1"/>
  <c r="H412" i="5"/>
  <c r="H409" i="5" s="1"/>
  <c r="H408" i="5" s="1"/>
  <c r="J74" i="5"/>
  <c r="D79" i="5"/>
  <c r="D78" i="5" s="1"/>
  <c r="D141" i="5" s="1"/>
  <c r="H79" i="5"/>
  <c r="H78" i="5" s="1"/>
  <c r="H47" i="5"/>
  <c r="H39" i="5" s="1"/>
  <c r="J206" i="5"/>
  <c r="H179" i="5"/>
  <c r="H171" i="5" s="1"/>
  <c r="H207" i="5" s="1"/>
  <c r="F11" i="3" s="1"/>
  <c r="H57" i="3"/>
  <c r="H59" i="3" s="1"/>
  <c r="H60" i="3" s="1"/>
  <c r="M59" i="3"/>
  <c r="H513" i="5"/>
  <c r="H509" i="5" s="1"/>
  <c r="D509" i="5"/>
  <c r="D501" i="5" s="1"/>
  <c r="J63" i="3"/>
  <c r="E61" i="3"/>
  <c r="E63" i="3" s="1"/>
  <c r="H527" i="5"/>
  <c r="H325" i="5"/>
  <c r="G320" i="5"/>
  <c r="G303" i="5" s="1"/>
  <c r="G339" i="5" s="1"/>
  <c r="F33" i="3"/>
  <c r="F35" i="3" s="1"/>
  <c r="K35" i="3"/>
  <c r="D39" i="3"/>
  <c r="D71" i="3" s="1"/>
  <c r="H26" i="3"/>
  <c r="H28" i="3" s="1"/>
  <c r="H32" i="3" s="1"/>
  <c r="M28" i="3"/>
  <c r="M32" i="3" s="1"/>
  <c r="S62" i="6"/>
  <c r="H33" i="3"/>
  <c r="H35" i="3" s="1"/>
  <c r="H39" i="3" s="1"/>
  <c r="M35" i="3"/>
  <c r="M39" i="3" s="1"/>
  <c r="D475" i="5"/>
  <c r="D474" i="5" s="1"/>
  <c r="Q42" i="3"/>
  <c r="Q43" i="3" s="1"/>
  <c r="N43" i="3"/>
  <c r="B11" i="3" s="1"/>
  <c r="E11" i="3" s="1"/>
  <c r="I71" i="3"/>
  <c r="N58" i="11"/>
  <c r="E29" i="3"/>
  <c r="E31" i="3" s="1"/>
  <c r="J31" i="3"/>
  <c r="H452" i="5"/>
  <c r="O62" i="6"/>
  <c r="L31" i="3"/>
  <c r="L32" i="3" s="1"/>
  <c r="G29" i="3"/>
  <c r="G31" i="3" s="1"/>
  <c r="G32" i="3" s="1"/>
  <c r="M69" i="3"/>
  <c r="H67" i="3"/>
  <c r="H69" i="3" s="1"/>
  <c r="H475" i="5"/>
  <c r="H474" i="5" s="1"/>
  <c r="G61" i="3"/>
  <c r="G63" i="3" s="1"/>
  <c r="G70" i="3" s="1"/>
  <c r="L63" i="3"/>
  <c r="L70" i="3" s="1"/>
  <c r="M60" i="3"/>
  <c r="G51" i="3"/>
  <c r="G53" i="3" s="1"/>
  <c r="G60" i="3" s="1"/>
  <c r="L53" i="3"/>
  <c r="L60" i="3" s="1"/>
  <c r="G471" i="5"/>
  <c r="H127" i="5"/>
  <c r="G122" i="5"/>
  <c r="G105" i="5" s="1"/>
  <c r="G141" i="5" s="1"/>
  <c r="D16" i="5"/>
  <c r="H16" i="5" s="1"/>
  <c r="H14" i="5"/>
  <c r="Q62" i="6"/>
  <c r="F26" i="3"/>
  <c r="F28" i="3" s="1"/>
  <c r="K28" i="3"/>
  <c r="F67" i="3"/>
  <c r="F69" i="3" s="1"/>
  <c r="K69" i="3"/>
  <c r="J53" i="3"/>
  <c r="E51" i="3"/>
  <c r="E53" i="3" s="1"/>
  <c r="H61" i="3"/>
  <c r="H63" i="3" s="1"/>
  <c r="M63" i="3"/>
  <c r="H447" i="5"/>
  <c r="H443" i="5" s="1"/>
  <c r="D443" i="5"/>
  <c r="D435" i="5" s="1"/>
  <c r="G36" i="3"/>
  <c r="G38" i="3" s="1"/>
  <c r="G39" i="3" s="1"/>
  <c r="L38" i="3"/>
  <c r="L39" i="3" s="1"/>
  <c r="F57" i="3"/>
  <c r="F59" i="3" s="1"/>
  <c r="K59" i="3"/>
  <c r="O59" i="3" s="1"/>
  <c r="E36" i="3"/>
  <c r="E38" i="3" s="1"/>
  <c r="E39" i="3" s="1"/>
  <c r="J38" i="3"/>
  <c r="J39" i="3" s="1"/>
  <c r="H435" i="5" l="1"/>
  <c r="H471" i="5" s="1"/>
  <c r="C49" i="11" s="1"/>
  <c r="J536" i="5"/>
  <c r="D471" i="5"/>
  <c r="H501" i="5"/>
  <c r="H537" i="5" s="1"/>
  <c r="J207" i="5"/>
  <c r="J60" i="3"/>
  <c r="O53" i="3"/>
  <c r="AB15" i="6"/>
  <c r="N62" i="6"/>
  <c r="AA15" i="6" s="1"/>
  <c r="AH15" i="6" s="1"/>
  <c r="AI15" i="6" s="1"/>
  <c r="K39" i="3"/>
  <c r="O35" i="3"/>
  <c r="J70" i="3"/>
  <c r="O63" i="3"/>
  <c r="N59" i="3"/>
  <c r="Q59" i="3" s="1"/>
  <c r="M70" i="3"/>
  <c r="M71" i="3" s="1"/>
  <c r="O69" i="3"/>
  <c r="K70" i="3"/>
  <c r="P62" i="6"/>
  <c r="AC15" i="6" s="1"/>
  <c r="AJ15" i="6" s="1"/>
  <c r="AK15" i="6" s="1"/>
  <c r="AD15" i="6"/>
  <c r="G71" i="3"/>
  <c r="J32" i="3"/>
  <c r="O31" i="3"/>
  <c r="F39" i="3"/>
  <c r="N35" i="3"/>
  <c r="L71" i="3"/>
  <c r="O38" i="3"/>
  <c r="H70" i="3"/>
  <c r="H71" i="3" s="1"/>
  <c r="N69" i="3"/>
  <c r="F70" i="3"/>
  <c r="D13" i="5"/>
  <c r="D12" i="5" s="1"/>
  <c r="D75" i="5" s="1"/>
  <c r="H122" i="5"/>
  <c r="H105" i="5" s="1"/>
  <c r="H141" i="5" s="1"/>
  <c r="J140" i="5"/>
  <c r="E32" i="3"/>
  <c r="N31" i="3"/>
  <c r="Q31" i="3" s="1"/>
  <c r="K60" i="3"/>
  <c r="F32" i="3"/>
  <c r="N28" i="3"/>
  <c r="J338" i="5"/>
  <c r="H320" i="5"/>
  <c r="H303" i="5" s="1"/>
  <c r="H339" i="5" s="1"/>
  <c r="N53" i="3"/>
  <c r="E60" i="3"/>
  <c r="K32" i="3"/>
  <c r="O28" i="3"/>
  <c r="H13" i="5"/>
  <c r="H12" i="5" s="1"/>
  <c r="H75" i="5" s="1"/>
  <c r="F60" i="3"/>
  <c r="D537" i="5"/>
  <c r="AF15" i="6"/>
  <c r="R62" i="6"/>
  <c r="AE15" i="6" s="1"/>
  <c r="AL15" i="6" s="1"/>
  <c r="AM15" i="6" s="1"/>
  <c r="N38" i="3"/>
  <c r="N63" i="3"/>
  <c r="E70" i="3"/>
  <c r="J470" i="5"/>
  <c r="O39" i="3" l="1"/>
  <c r="J71" i="3"/>
  <c r="O32" i="3"/>
  <c r="L9" i="11" s="1"/>
  <c r="AO15" i="6"/>
  <c r="B49" i="11"/>
  <c r="M49" i="11"/>
  <c r="H49" i="11"/>
  <c r="L49" i="11"/>
  <c r="G49" i="11"/>
  <c r="J49" i="11"/>
  <c r="F49" i="11"/>
  <c r="E49" i="11"/>
  <c r="J471" i="5"/>
  <c r="F15" i="3"/>
  <c r="D49" i="11"/>
  <c r="I49" i="11"/>
  <c r="K49" i="11"/>
  <c r="AS15" i="6"/>
  <c r="K24" i="11"/>
  <c r="G24" i="11"/>
  <c r="C24" i="11"/>
  <c r="M24" i="11"/>
  <c r="I24" i="11"/>
  <c r="E24" i="11"/>
  <c r="L24" i="11"/>
  <c r="D24" i="11"/>
  <c r="H24" i="11"/>
  <c r="F24" i="11"/>
  <c r="B24" i="11"/>
  <c r="J24" i="11"/>
  <c r="F10" i="3"/>
  <c r="J141" i="5"/>
  <c r="C15" i="3"/>
  <c r="O70" i="3"/>
  <c r="L12" i="11"/>
  <c r="H12" i="11"/>
  <c r="D12" i="11"/>
  <c r="J12" i="11"/>
  <c r="F12" i="11"/>
  <c r="B12" i="11"/>
  <c r="G12" i="11"/>
  <c r="K12" i="11"/>
  <c r="C12" i="11"/>
  <c r="M12" i="11"/>
  <c r="E12" i="11"/>
  <c r="I12" i="11"/>
  <c r="H538" i="5"/>
  <c r="J75" i="5"/>
  <c r="F9" i="3"/>
  <c r="N60" i="3"/>
  <c r="Q53" i="3"/>
  <c r="Q60" i="3" s="1"/>
  <c r="B13" i="3"/>
  <c r="N32" i="3"/>
  <c r="B9" i="3" s="1"/>
  <c r="Q28" i="3"/>
  <c r="Q32" i="3" s="1"/>
  <c r="E71" i="3"/>
  <c r="M46" i="11"/>
  <c r="I46" i="11"/>
  <c r="E46" i="11"/>
  <c r="K46" i="11"/>
  <c r="G46" i="11"/>
  <c r="C46" i="11"/>
  <c r="C50" i="11" s="1"/>
  <c r="H46" i="11"/>
  <c r="L46" i="11"/>
  <c r="D46" i="11"/>
  <c r="F46" i="11"/>
  <c r="B46" i="11"/>
  <c r="J46" i="11"/>
  <c r="N70" i="3"/>
  <c r="Q63" i="3"/>
  <c r="B15" i="3"/>
  <c r="J9" i="11"/>
  <c r="K36" i="11"/>
  <c r="G36" i="11"/>
  <c r="C36" i="11"/>
  <c r="M36" i="11"/>
  <c r="I36" i="11"/>
  <c r="E36" i="11"/>
  <c r="F36" i="11"/>
  <c r="J36" i="11"/>
  <c r="B36" i="11"/>
  <c r="L36" i="11"/>
  <c r="H36" i="11"/>
  <c r="D36" i="11"/>
  <c r="F13" i="3"/>
  <c r="J339" i="5"/>
  <c r="F71" i="3"/>
  <c r="K61" i="11"/>
  <c r="K62" i="11" s="1"/>
  <c r="G61" i="11"/>
  <c r="G62" i="11" s="1"/>
  <c r="C61" i="11"/>
  <c r="C62" i="11" s="1"/>
  <c r="M61" i="11"/>
  <c r="M62" i="11" s="1"/>
  <c r="I61" i="11"/>
  <c r="I62" i="11" s="1"/>
  <c r="E61" i="11"/>
  <c r="E62" i="11" s="1"/>
  <c r="L61" i="11"/>
  <c r="L62" i="11" s="1"/>
  <c r="H61" i="11"/>
  <c r="H62" i="11" s="1"/>
  <c r="D61" i="11"/>
  <c r="D62" i="11" s="1"/>
  <c r="J61" i="11"/>
  <c r="J62" i="11" s="1"/>
  <c r="B61" i="11"/>
  <c r="F61" i="11"/>
  <c r="F62" i="11" s="1"/>
  <c r="J537" i="5"/>
  <c r="F16" i="3"/>
  <c r="Q38" i="3"/>
  <c r="K71" i="3"/>
  <c r="Q69" i="3"/>
  <c r="N39" i="3"/>
  <c r="B10" i="3" s="1"/>
  <c r="Q35" i="3"/>
  <c r="AQ15" i="6"/>
  <c r="O60" i="3"/>
  <c r="C13" i="3"/>
  <c r="E13" i="3" l="1"/>
  <c r="E15" i="3"/>
  <c r="H50" i="11"/>
  <c r="F50" i="11"/>
  <c r="D50" i="11"/>
  <c r="M50" i="11"/>
  <c r="I50" i="11"/>
  <c r="J50" i="11"/>
  <c r="C9" i="3"/>
  <c r="E9" i="3" s="1"/>
  <c r="K9" i="11"/>
  <c r="K13" i="11" s="1"/>
  <c r="G9" i="11"/>
  <c r="F17" i="3"/>
  <c r="G13" i="3" s="1"/>
  <c r="I9" i="11"/>
  <c r="H9" i="11"/>
  <c r="H13" i="11" s="1"/>
  <c r="M9" i="11"/>
  <c r="M13" i="11" s="1"/>
  <c r="F9" i="11"/>
  <c r="F13" i="11" s="1"/>
  <c r="E9" i="11"/>
  <c r="E13" i="11" s="1"/>
  <c r="Q39" i="3"/>
  <c r="G50" i="11"/>
  <c r="L50" i="11"/>
  <c r="K50" i="11"/>
  <c r="N49" i="11"/>
  <c r="E50" i="11"/>
  <c r="G13" i="11"/>
  <c r="J13" i="11"/>
  <c r="L13" i="11"/>
  <c r="C21" i="11"/>
  <c r="D21" i="11"/>
  <c r="D25" i="11" s="1"/>
  <c r="M21" i="11"/>
  <c r="M25" i="11" s="1"/>
  <c r="I21" i="11"/>
  <c r="I25" i="11" s="1"/>
  <c r="E21" i="11"/>
  <c r="E25" i="11" s="1"/>
  <c r="K21" i="11"/>
  <c r="K25" i="11" s="1"/>
  <c r="G21" i="11"/>
  <c r="G25" i="11" s="1"/>
  <c r="L21" i="11"/>
  <c r="L25" i="11" s="1"/>
  <c r="H21" i="11"/>
  <c r="H25" i="11" s="1"/>
  <c r="J21" i="11"/>
  <c r="J25" i="11" s="1"/>
  <c r="F21" i="11"/>
  <c r="F25" i="11" s="1"/>
  <c r="C10" i="3"/>
  <c r="N61" i="11"/>
  <c r="N62" i="11" s="1"/>
  <c r="B62" i="11"/>
  <c r="D9" i="11"/>
  <c r="D13" i="11" s="1"/>
  <c r="C9" i="11"/>
  <c r="N71" i="3"/>
  <c r="N24" i="11"/>
  <c r="B25" i="11"/>
  <c r="N36" i="11"/>
  <c r="B50" i="11"/>
  <c r="N46" i="11"/>
  <c r="N12" i="11"/>
  <c r="B13" i="11"/>
  <c r="Q70" i="3"/>
  <c r="O71" i="3"/>
  <c r="M33" i="11"/>
  <c r="M37" i="11" s="1"/>
  <c r="I33" i="11"/>
  <c r="I37" i="11" s="1"/>
  <c r="E33" i="11"/>
  <c r="E37" i="11" s="1"/>
  <c r="K33" i="11"/>
  <c r="K37" i="11" s="1"/>
  <c r="G33" i="11"/>
  <c r="G37" i="11" s="1"/>
  <c r="C33" i="11"/>
  <c r="C37" i="11" s="1"/>
  <c r="F33" i="11"/>
  <c r="F37" i="11" s="1"/>
  <c r="J33" i="11"/>
  <c r="J37" i="11" s="1"/>
  <c r="B33" i="11"/>
  <c r="L33" i="11"/>
  <c r="L37" i="11" s="1"/>
  <c r="H33" i="11"/>
  <c r="H37" i="11" s="1"/>
  <c r="D33" i="11"/>
  <c r="D37" i="11" s="1"/>
  <c r="Q71" i="3" l="1"/>
  <c r="C17" i="3"/>
  <c r="N50" i="11"/>
  <c r="E10" i="3"/>
  <c r="E17" i="3" s="1"/>
  <c r="G10" i="3"/>
  <c r="H10" i="3" s="1"/>
  <c r="G15" i="3"/>
  <c r="G9" i="3"/>
  <c r="G16" i="3"/>
  <c r="G11" i="3"/>
  <c r="H11" i="3" s="1"/>
  <c r="I11" i="3" s="1"/>
  <c r="H13" i="3"/>
  <c r="I13" i="3" s="1"/>
  <c r="B17" i="3"/>
  <c r="B37" i="11"/>
  <c r="N33" i="11"/>
  <c r="N37" i="11" s="1"/>
  <c r="C13" i="11"/>
  <c r="N9" i="11"/>
  <c r="N13" i="11" s="1"/>
  <c r="C25" i="11"/>
  <c r="N21" i="11"/>
  <c r="N25" i="11" s="1"/>
  <c r="I10" i="3" l="1"/>
  <c r="H15" i="3"/>
  <c r="I15" i="3" s="1"/>
  <c r="H9" i="3"/>
  <c r="G17" i="3"/>
  <c r="L11" i="3" s="1"/>
  <c r="H16" i="3"/>
  <c r="I16" i="3" s="1"/>
  <c r="I9" i="3" l="1"/>
  <c r="I17" i="3" s="1"/>
  <c r="H17" i="3"/>
  <c r="L15" i="3"/>
  <c r="L14" i="3"/>
  <c r="L10" i="3"/>
  <c r="L12" i="3"/>
  <c r="L16" i="3"/>
  <c r="L13" i="3"/>
  <c r="L9" i="3"/>
  <c r="L1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135" authorId="0" shapeId="0" xr:uid="{00000000-0006-0000-09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2.10.0. SILVA ALVAREZ MARIA VIRGINIA:
</t>
        </r>
        <r>
          <rPr>
            <sz val="9"/>
            <color rgb="FF000000"/>
            <rFont val="Tahoma"/>
            <family val="2"/>
            <charset val="1"/>
          </rPr>
          <t>ACOGIDA LCP</t>
        </r>
      </text>
    </comment>
    <comment ref="P139" authorId="0" shapeId="0" xr:uid="{00000000-0006-0000-0900-000002000000}">
      <text>
        <r>
          <rPr>
            <b/>
            <sz val="9"/>
            <color rgb="FF000000"/>
            <rFont val="Tahoma"/>
            <family val="2"/>
            <charset val="1"/>
          </rPr>
          <t xml:space="preserve">2.10.0. SILVA ALVAREZ MARIA VIRGINIA:
</t>
        </r>
        <r>
          <rPr>
            <sz val="9"/>
            <color rgb="FF000000"/>
            <rFont val="Tahoma"/>
            <family val="2"/>
            <charset val="1"/>
          </rPr>
          <t>ACOGIDA LCP</t>
        </r>
      </text>
    </comment>
    <comment ref="P146" authorId="0" shapeId="0" xr:uid="{00000000-0006-0000-0900-000003000000}">
      <text>
        <r>
          <rPr>
            <b/>
            <sz val="9"/>
            <color rgb="FF000000"/>
            <rFont val="Tahoma"/>
            <family val="2"/>
            <charset val="1"/>
          </rPr>
          <t xml:space="preserve">2.10.0. SILVA ALVAREZ MARIA VIRGINIA:
</t>
        </r>
        <r>
          <rPr>
            <sz val="9"/>
            <color rgb="FF000000"/>
            <rFont val="Tahoma"/>
            <family val="2"/>
            <charset val="1"/>
          </rPr>
          <t>PRENATAL</t>
        </r>
      </text>
    </comment>
    <comment ref="P152" authorId="0" shapeId="0" xr:uid="{00000000-0006-0000-0900-000004000000}">
      <text>
        <r>
          <rPr>
            <b/>
            <sz val="9"/>
            <color rgb="FF000000"/>
            <rFont val="Tahoma"/>
            <family val="2"/>
            <charset val="1"/>
          </rPr>
          <t xml:space="preserve">2.10.0. SILVA ALVAREZ MARIA VIRGINIA:
</t>
        </r>
        <r>
          <rPr>
            <sz val="9"/>
            <color rgb="FF000000"/>
            <rFont val="Tahoma"/>
            <family val="2"/>
            <charset val="1"/>
          </rPr>
          <t>LMP</t>
        </r>
      </text>
    </comment>
    <comment ref="P157" authorId="0" shapeId="0" xr:uid="{00000000-0006-0000-0900-000005000000}">
      <text>
        <r>
          <rPr>
            <b/>
            <sz val="9"/>
            <color rgb="FF000000"/>
            <rFont val="Tahoma"/>
            <family val="2"/>
            <charset val="1"/>
          </rPr>
          <t xml:space="preserve">2.10.0. SILVA ALVAREZ MARIA VIRGINIA:
</t>
        </r>
        <r>
          <rPr>
            <sz val="9"/>
            <color rgb="FF000000"/>
            <rFont val="Tahoma"/>
            <family val="2"/>
            <charset val="1"/>
          </rPr>
          <t>LMP</t>
        </r>
      </text>
    </comment>
    <comment ref="P158" authorId="0" shapeId="0" xr:uid="{00000000-0006-0000-0900-000006000000}">
      <text>
        <r>
          <rPr>
            <b/>
            <sz val="9"/>
            <color rgb="FF000000"/>
            <rFont val="Tahoma"/>
            <family val="2"/>
            <charset val="1"/>
          </rPr>
          <t xml:space="preserve">2.10.0. SILVA ALVAREZ MARIA VIRGINIA:
</t>
        </r>
        <r>
          <rPr>
            <sz val="9"/>
            <color rgb="FF000000"/>
            <rFont val="Tahoma"/>
            <family val="2"/>
            <charset val="1"/>
          </rPr>
          <t>ACOGIDA LCP</t>
        </r>
      </text>
    </comment>
    <comment ref="P159" authorId="0" shapeId="0" xr:uid="{00000000-0006-0000-0900-000007000000}">
      <text>
        <r>
          <rPr>
            <b/>
            <sz val="9"/>
            <color rgb="FF000000"/>
            <rFont val="Tahoma"/>
            <family val="2"/>
            <charset val="1"/>
          </rPr>
          <t xml:space="preserve">2.10.0. SILVA ALVAREZ MARIA VIRGINIA:
</t>
        </r>
        <r>
          <rPr>
            <sz val="9"/>
            <color rgb="FF000000"/>
            <rFont val="Tahoma"/>
            <family val="2"/>
            <charset val="1"/>
          </rPr>
          <t>POST NATAL</t>
        </r>
      </text>
    </comment>
    <comment ref="P163" authorId="0" shapeId="0" xr:uid="{00000000-0006-0000-0900-000008000000}">
      <text>
        <r>
          <rPr>
            <b/>
            <sz val="9"/>
            <color rgb="FF000000"/>
            <rFont val="Tahoma"/>
            <family val="2"/>
            <charset val="1"/>
          </rPr>
          <t xml:space="preserve">2.10.0. SILVA ALVAREZ MARIA VIRGINIA:
</t>
        </r>
        <r>
          <rPr>
            <sz val="9"/>
            <color rgb="FF000000"/>
            <rFont val="Tahoma"/>
            <family val="2"/>
            <charset val="1"/>
          </rPr>
          <t>LMP</t>
        </r>
      </text>
    </comment>
  </commentList>
</comments>
</file>

<file path=xl/sharedStrings.xml><?xml version="1.0" encoding="utf-8"?>
<sst xmlns="http://schemas.openxmlformats.org/spreadsheetml/2006/main" count="2823" uniqueCount="837">
  <si>
    <t>INSTRUCCIONES</t>
  </si>
  <si>
    <t>ÍNDICE DE TABLAS</t>
  </si>
  <si>
    <t>A) Resumen Ingresos y Egresos</t>
  </si>
  <si>
    <t>TABLA 1: RESUMEN DE INGRESOS Y EGRESOS DE CENTROS DE BENEFICIOS</t>
  </si>
  <si>
    <t>TABLA 2: DETALLE DE INGRESOS POR PRESTACIÓN Y SEGMENTO</t>
  </si>
  <si>
    <t>B) Reajuste Tarifas y Ocupación</t>
  </si>
  <si>
    <t>TABLA 3: REAJUSTE DE TARIFAS POR PRESTACIÓN Y SEGMENTO</t>
  </si>
  <si>
    <t>TABLA 4: METAS DE OCUPACIÓN POR PRESTACIÓN Y SEGMENTO</t>
  </si>
  <si>
    <t>C) Costos Directos</t>
  </si>
  <si>
    <t>TABLA 5: COSTOS DIRECTOS DE CENTROS DE BENEFICIOS</t>
  </si>
  <si>
    <t>D) Costos Indirectos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</si>
  <si>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</si>
  <si>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</si>
  <si>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</si>
  <si>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</si>
  <si>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</si>
  <si>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</si>
  <si>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E) Resumen Tarifado</t>
  </si>
  <si>
    <t>TABLA 12: RESUMEN DE TARIFADO</t>
  </si>
  <si>
    <t>F) Remuneraciones</t>
  </si>
  <si>
    <t>TABLA 13: REMUNERACIONES DEL PERSONAL LEY 18.712 DE CENTROS DE BENEFICIOS</t>
  </si>
  <si>
    <t>G) Comparación Mercado</t>
  </si>
  <si>
    <t>TABLA 14: COMPARACIÓN TARIFAS CON PRECIOS DE MERCADO</t>
  </si>
  <si>
    <t>H) Detalle Datos</t>
  </si>
  <si>
    <t>I) Proyección Mensual</t>
  </si>
  <si>
    <t>ANEXO A</t>
  </si>
  <si>
    <t>A) RESUMEN DE INGRESOS Y EGRESOS</t>
  </si>
  <si>
    <t>REPARTICION:</t>
  </si>
  <si>
    <t>Depto. / Del.</t>
  </si>
  <si>
    <t>Centro de Beneficio</t>
  </si>
  <si>
    <t>Ingreso por Escuela de Verano</t>
  </si>
  <si>
    <t>Ingresos Totales</t>
  </si>
  <si>
    <t>Costos Directos</t>
  </si>
  <si>
    <t>Costos Indirectos</t>
  </si>
  <si>
    <t>Costos Totales</t>
  </si>
  <si>
    <t>Excedentes</t>
  </si>
  <si>
    <t>% Distribución Costo Indirecto</t>
  </si>
  <si>
    <t>Sala Cuna Caracolito de Mar Diurna</t>
  </si>
  <si>
    <t>Sala Cuna Caracolito de Mar Nocturna</t>
  </si>
  <si>
    <t>Sala Cuna Mar Azul Diurna</t>
  </si>
  <si>
    <t>Sala Cuna Mar Azul Nocturna</t>
  </si>
  <si>
    <t xml:space="preserve">TOTAL </t>
  </si>
  <si>
    <t>Prestación</t>
  </si>
  <si>
    <t>Cálculo Ingreso</t>
  </si>
  <si>
    <t>Matrícula 2022</t>
  </si>
  <si>
    <t>Mensualidad 2022</t>
  </si>
  <si>
    <t>Ingreso por Matrícula</t>
  </si>
  <si>
    <t>Ingreso por Mensualidad</t>
  </si>
  <si>
    <t>Total Anual</t>
  </si>
  <si>
    <t>Personal Servicio Activo Armada y otras FFAA</t>
  </si>
  <si>
    <t>PDI</t>
  </si>
  <si>
    <t>GENDARMERIA</t>
  </si>
  <si>
    <t>En retiro</t>
  </si>
  <si>
    <t>Casos Especiales</t>
  </si>
  <si>
    <t>Tarifa 2022</t>
  </si>
  <si>
    <t>Meta Ocupación</t>
  </si>
  <si>
    <t>Ingreso anual</t>
  </si>
  <si>
    <t>Ingreso total anual</t>
  </si>
  <si>
    <t>Total Prestaciones</t>
  </si>
  <si>
    <t>ANEXO B</t>
  </si>
  <si>
    <t>B) REAJUSTE DE TARIFAS Y METAS DE OCUPACIÓN POR CENTRO DE BENEFICIO</t>
  </si>
  <si>
    <t>BIENVALP</t>
  </si>
  <si>
    <t>Jardines Infantiles</t>
  </si>
  <si>
    <t>Mensualidad 2021</t>
  </si>
  <si>
    <t>Reajuste propuesto</t>
  </si>
  <si>
    <t>Propuesta Mensualidad 2022</t>
  </si>
  <si>
    <t>Jardín Infantil Lobito Marino</t>
  </si>
  <si>
    <t>Media jornada</t>
  </si>
  <si>
    <t>Jornada completa</t>
  </si>
  <si>
    <t>Jardín Infantil Los Delfines</t>
  </si>
  <si>
    <t>Jardín Infantil Pecesitos de Colores</t>
  </si>
  <si>
    <t>Jardín Infantil Caracolito de Mar</t>
  </si>
  <si>
    <t>Salas Cunas</t>
  </si>
  <si>
    <t>Sala Cuna Caracolito de Mar</t>
  </si>
  <si>
    <t>Diurna</t>
  </si>
  <si>
    <t>Nocturna</t>
  </si>
  <si>
    <t>Media Jornada</t>
  </si>
  <si>
    <t>Sala Cuna Mar Azul</t>
  </si>
  <si>
    <t>Meta Ocupación niños 2022</t>
  </si>
  <si>
    <t>Total Meta Ocupación</t>
  </si>
  <si>
    <t>capac maxima 150</t>
  </si>
  <si>
    <t>4 niveles de 25. 4 educ y 7 tecnicos</t>
  </si>
  <si>
    <t>capac maxima 144</t>
  </si>
  <si>
    <t>de acuerdo a análisis se proyecta una matricula de 12 niños</t>
  </si>
  <si>
    <t>se disminuye un lactante por no financiamiento de tecnico en parvulos, capacidad por nivel, 7,12 y 14</t>
  </si>
  <si>
    <t>4 salas completas, 4 educ y 9 tecnicos</t>
  </si>
  <si>
    <t>ANEXO C</t>
  </si>
  <si>
    <t>C) ESTIMACION DE COSTOS DIRECTOS</t>
  </si>
  <si>
    <t>Depto./ Del.</t>
  </si>
  <si>
    <t>RACION: $ 1821</t>
  </si>
  <si>
    <t>Número de Cuenta</t>
  </si>
  <si>
    <t>ítem de Gasto (según Plan de Cuenta Institucional)</t>
  </si>
  <si>
    <t>Costos Fijos</t>
  </si>
  <si>
    <t>Costos Variables</t>
  </si>
  <si>
    <t>COSTO DIRECTO ESTIMADO 2022</t>
  </si>
  <si>
    <t>Costo Unitario Promedio</t>
  </si>
  <si>
    <t>Cantidad</t>
  </si>
  <si>
    <t>Total</t>
  </si>
  <si>
    <t>COSTOS DE OPERACIÓN</t>
  </si>
  <si>
    <t>REMUNERACIONES DIRECTAS</t>
  </si>
  <si>
    <t>REMUNERACIONES TOTALES CÓDIGO DEL TRABAJO</t>
  </si>
  <si>
    <t>SUPLENCIAS Y REEMPLAZOS (EC o PAC)</t>
  </si>
  <si>
    <t xml:space="preserve"> INDEMNIZACIÓN CÓDIGO DEL TRABAJO</t>
  </si>
  <si>
    <t>OTRAS REMUNERACIONES (ALUMNOS EN PRACTICA)</t>
  </si>
  <si>
    <t>GASTO DE OPERACIÓN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</si>
  <si>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</si>
  <si>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</si>
  <si>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</si>
  <si>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</si>
  <si>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COMBUSTIBLE LUBRIC P.VEHICULOS</t>
  </si>
  <si>
    <t>PARA CALEFACCION (CALDERAS, ESTUFAS, ETC)</t>
  </si>
  <si>
    <t>PRODUCTOS QUIMICOS (EXTINTOR)</t>
  </si>
  <si>
    <t>MAT.P/MATEN.Y REPARACION</t>
  </si>
  <si>
    <t>EQUIPOS MENORES (EQUIPAMIENTO)</t>
  </si>
  <si>
    <t>ELECTRICIDAD</t>
  </si>
  <si>
    <t>AGUA</t>
  </si>
  <si>
    <t>GAS</t>
  </si>
  <si>
    <t>TELEFONIA FIJA</t>
  </si>
  <si>
    <t>ACCESO A INTERNET</t>
  </si>
  <si>
    <t>SERVICIOS DE ASEO</t>
  </si>
  <si>
    <t>PASAJES, FLETES Y BODEGAJE</t>
  </si>
  <si>
    <t>SERVICIO DE SUSCRIPCION (MATERIAL DE APOYO)</t>
  </si>
  <si>
    <t>SERVICIOS INFORMATICOS</t>
  </si>
  <si>
    <t>GASTOS MENORES (FOFI) DIRECTIVA DGFA N°02-DC/0201/22 FECHA ENERO 2009</t>
  </si>
  <si>
    <t>MAQUINAS Y EQUIPOS DE OFICINA (ADQUISICION)</t>
  </si>
  <si>
    <t>GASTOS DE ADMINISTRACIÓN Y VENTAS</t>
  </si>
  <si>
    <t>GASTO EN PERSONAL</t>
  </si>
  <si>
    <t>VESTUARIO ACC.Y PRENDAS DIVERSAS</t>
  </si>
  <si>
    <t>CALZADO E PERSONAL DE COCINA</t>
  </si>
  <si>
    <t>CURSOS DE CAPACITACION</t>
  </si>
  <si>
    <t>COM.DE SERVICIO EN EL PAIS (VIATICO - 2 REUNIONES ANUALES DIRECTORA)</t>
  </si>
  <si>
    <t>CONSUMOS BÁSICOS</t>
  </si>
  <si>
    <t>OTROS SERVICIOS BASICOS</t>
  </si>
  <si>
    <t>BIENES DE CONSUMO</t>
  </si>
  <si>
    <t>MATERIALES DE OFICINA</t>
  </si>
  <si>
    <t>PROD.QUIMIC,FARMACEUTICOS IND. (BOTIQUIN)</t>
  </si>
  <si>
    <t>FERT.INSECT.FUNG.Y OTROS</t>
  </si>
  <si>
    <t>MAT.Y UTILES DE ASEO</t>
  </si>
  <si>
    <t>ver detalle</t>
  </si>
  <si>
    <t>MENAJE OFICINA CASINO Y OTROS</t>
  </si>
  <si>
    <t>MOBILIARIO Y OTROS</t>
  </si>
  <si>
    <t>EQUIPOS COMPUTACIONALES (CAMARAS DE VIGILANCIA)</t>
  </si>
  <si>
    <t>TEXTOS Y OTROS MAT.ENSEÑANZA</t>
  </si>
  <si>
    <t>SERVICIOS GENERALES</t>
  </si>
  <si>
    <t>SERVICIO DE PUBLICIDAD</t>
  </si>
  <si>
    <t>SERVICIO DE IMPRESION</t>
  </si>
  <si>
    <t>SERVICIOS DE VIGILANCIA /SEGURIDAD</t>
  </si>
  <si>
    <t>OTROS SERVICIOS GENERALES (FUMIGACIÓN)</t>
  </si>
  <si>
    <t>SEGURO PARVULOS</t>
  </si>
  <si>
    <t>OTROS SERVICIOS GENERALES (LAVANDERIIA)</t>
  </si>
  <si>
    <t>OTROS ARRIENDOS (BUSES)</t>
  </si>
  <si>
    <t>SEGURO INMUEBLES</t>
  </si>
  <si>
    <t>MANTENCIÓN Y REPARACIÓN</t>
  </si>
  <si>
    <t>MANT.Y REPAR. MOBILIARIO Y OTROS</t>
  </si>
  <si>
    <t>MANT.Y REPAR. DE EQUIPOS OFICINA</t>
  </si>
  <si>
    <t>MANT.Y REPAR. OTRAS MAQ. Y EQUIP. (COCINA)</t>
  </si>
  <si>
    <t>MANT.Y REPAR. EQUIPOS INFORMATICOS</t>
  </si>
  <si>
    <t>OTROS MANTEN. Y REPAR. MENORES (GASFITERIA Y ELECTRICIDAD)</t>
  </si>
  <si>
    <t>SERVICIO DE MANTENCION JARDINES</t>
  </si>
  <si>
    <t>OTROS MANTEN. Y REP.MENORES</t>
  </si>
  <si>
    <t>OTROS GASTOS</t>
  </si>
  <si>
    <t>CUOTA DE PADRES</t>
  </si>
  <si>
    <t>AFL</t>
  </si>
  <si>
    <t>COSTO DIRECTO TOTAL</t>
  </si>
  <si>
    <t>PAF</t>
  </si>
  <si>
    <t>Centro de Costo</t>
  </si>
  <si>
    <t>SUPLENCIAS Y REEMPLAZOS (EC  oPAC)</t>
  </si>
  <si>
    <t>MANTENCIONES MAYORES APP 6 MM</t>
  </si>
  <si>
    <t xml:space="preserve">detalle </t>
  </si>
  <si>
    <t xml:space="preserve"> COSTOS DIRECTOS COMUNES  "CARACOLITO DE MAR"</t>
  </si>
  <si>
    <t>TOTAL</t>
  </si>
  <si>
    <t>SCD (50%)</t>
  </si>
  <si>
    <t>SCN (10%)</t>
  </si>
  <si>
    <t>JI (40%)</t>
  </si>
  <si>
    <t>se ajusta personal con licencia</t>
  </si>
  <si>
    <t>se ajusta cantidad de niños, 33</t>
  </si>
  <si>
    <t>incluir en proyecto de mejorameinto de instalación educativa dispuesta por señor director, 13234587</t>
  </si>
  <si>
    <t>fofi de igual cantidad que ji grandes. Con tan solo 34 niños se disminuye de 9 a 5 fofis</t>
  </si>
  <si>
    <t>pxq llama la atención gasto no proporcional a ji con mayor matricula.</t>
  </si>
  <si>
    <t xml:space="preserve"> COSTOS DIRECTOS COMUNES  "MAR AZUL"</t>
  </si>
  <si>
    <t>SCD (70%)</t>
  </si>
  <si>
    <t>SCN (30%)</t>
  </si>
  <si>
    <t>CLIMATIZADOR</t>
  </si>
  <si>
    <t>9 FOFIS 6 UTM</t>
  </si>
  <si>
    <t>TOTAL GENERAL COSTOS DIRECTOS</t>
  </si>
  <si>
    <t>PROY. 2022</t>
  </si>
  <si>
    <t xml:space="preserve">COSTOS INDIRECTOS </t>
  </si>
  <si>
    <t>BONOS</t>
  </si>
  <si>
    <t>AGUINALDOS</t>
  </si>
  <si>
    <t>TABLA 6: REMUNERACIONES DEL PERSONAL LEY 18.712 ADMINISTRACION CENTRAL Y APOYO ADMINISTRATIVO ASISTENCIA RECREATIVA</t>
  </si>
  <si>
    <t>TABLA 7: DISTRIBUCION COSTOS REMUNERACIONES ADMINISTRACION CENTRAL Y APOYO ADMINISTRATIVO A. RECREATIVA</t>
  </si>
  <si>
    <t>TABLA 8: COSTOS DE OPERACION ADMINISTRACIÓN CENTRAL Y  APOYO ADMINISTRATIVO ASISTENCIA RECREATIVA</t>
  </si>
  <si>
    <t>TABLA 9: RESUMEN DISTRIBUCION COSTOS REMUNERACIONES ADMINISTRACION CENTRAL Y APOYO ADMINISTRATIVO A. RECREATIVA</t>
  </si>
  <si>
    <t>TABLA 10: RESUMEN DISTRIBUCION COSTOS OPERACIÓN ADMINISTRACION CENTRAL  Y APOYO ADMINISTRATIVO A. RECREATIVA</t>
  </si>
  <si>
    <t>Reajuste</t>
  </si>
  <si>
    <t>Unidades de Apoyo Administrativo</t>
  </si>
  <si>
    <t>Nombre</t>
  </si>
  <si>
    <t>Apellido</t>
  </si>
  <si>
    <t>Ocupación / Cargo</t>
  </si>
  <si>
    <t>Costo Total por Servidor Reajustado 2022</t>
  </si>
  <si>
    <t>ASISTENCIA RECREATIVA</t>
  </si>
  <si>
    <t>ASISTENCIA EDUCACIONAL</t>
  </si>
  <si>
    <t>ASISTENCIA COMERCIAL</t>
  </si>
  <si>
    <t>Tiempo Total</t>
  </si>
  <si>
    <t>COSTO INDIRECTO ESTIMADO 2022</t>
  </si>
  <si>
    <t>Gasto Total Empresa</t>
  </si>
  <si>
    <t>Gasto Total Empresa
 MENSUAL</t>
  </si>
  <si>
    <t xml:space="preserve">Gasto Total Empresa </t>
  </si>
  <si>
    <t>Total Bonos anual</t>
  </si>
  <si>
    <t>Total Aguinaldos anual</t>
  </si>
  <si>
    <t>% tiempo</t>
  </si>
  <si>
    <t>$ Costo</t>
  </si>
  <si>
    <t>$ Costo Total</t>
  </si>
  <si>
    <t>$Costo Total</t>
  </si>
  <si>
    <t>ADMINISTRACIÓN CENTRAL</t>
  </si>
  <si>
    <t>Departamento de Finanzas y Abastecimiento</t>
  </si>
  <si>
    <t>JUAN MANUEL</t>
  </si>
  <si>
    <t>DIAZ FREDES</t>
  </si>
  <si>
    <t>CONTADOR GENERAL</t>
  </si>
  <si>
    <t>ADM. CENTRAL</t>
  </si>
  <si>
    <t>CONSTANZA JAVIERA</t>
  </si>
  <si>
    <t>MONCADA SOTO</t>
  </si>
  <si>
    <t>OP CONTABLE</t>
  </si>
  <si>
    <t>EDITH SORAYA</t>
  </si>
  <si>
    <t>MARAMBIO KERR</t>
  </si>
  <si>
    <t>TESORERIA</t>
  </si>
  <si>
    <t>SUPLENCIAS Y REEMPLAZOS</t>
  </si>
  <si>
    <t>JULIO</t>
  </si>
  <si>
    <t>PIAGGIO MORLA</t>
  </si>
  <si>
    <t>JEFE DE ADQUISICIONES</t>
  </si>
  <si>
    <t>PERSONAL A TRATO Y TEMPORAL</t>
  </si>
  <si>
    <t>ISAAC ELIHAIM</t>
  </si>
  <si>
    <t>SOTO SAEZ</t>
  </si>
  <si>
    <t>OTRAS REMUNERACIONES</t>
  </si>
  <si>
    <t>LUIS ARTURO</t>
  </si>
  <si>
    <t>SILVA CARDENAS</t>
  </si>
  <si>
    <t>ENC COMPRAS AREA ADQUISICIONES</t>
  </si>
  <si>
    <t>ALIMENTOS Y BEBIDAS</t>
  </si>
  <si>
    <t>TEXTILES Y ACABADOS TEXTILES</t>
  </si>
  <si>
    <t>PARA CALEFACCION</t>
  </si>
  <si>
    <t>Departamento de RR.HH.</t>
  </si>
  <si>
    <t xml:space="preserve">ANA MARIA </t>
  </si>
  <si>
    <t>MEDINA ESCUDERO</t>
  </si>
  <si>
    <t>Jefa RRHH</t>
  </si>
  <si>
    <t>PRODUCTOS QUIMICOS</t>
  </si>
  <si>
    <t>CARLA NINOSKA</t>
  </si>
  <si>
    <t>VELIZ PIZARRO</t>
  </si>
  <si>
    <t>OP RRHH</t>
  </si>
  <si>
    <t>HECTOR RICARDO</t>
  </si>
  <si>
    <t>DELGADO DELGADO</t>
  </si>
  <si>
    <t>EQUIPOS MENORES</t>
  </si>
  <si>
    <t>ORLANDO</t>
  </si>
  <si>
    <t>SALVO CANTILLANA</t>
  </si>
  <si>
    <t xml:space="preserve">PREVENCIONISTA </t>
  </si>
  <si>
    <t>TELEFONIA CELULAR</t>
  </si>
  <si>
    <t>Departamento de Informática</t>
  </si>
  <si>
    <t>CESAR RODRIGO</t>
  </si>
  <si>
    <t>CORNEJO MAGAÑA</t>
  </si>
  <si>
    <t>ENCARGADO INFORMATICA</t>
  </si>
  <si>
    <t>SERVICIO DE SUSCRIPCION</t>
  </si>
  <si>
    <t>GASTOS MENORES (FOFI)</t>
  </si>
  <si>
    <t>MAQUINAS Y EQUIPOS DE OFICINA</t>
  </si>
  <si>
    <t>Otros (Planes, Gestión u otros)</t>
  </si>
  <si>
    <t>FRANCISCA ANDREA</t>
  </si>
  <si>
    <t>MUÑOZ VERDEJO</t>
  </si>
  <si>
    <t>CALL CENTER</t>
  </si>
  <si>
    <t>GERARDO ANTONIO</t>
  </si>
  <si>
    <t>TAPIA HENRIQUEZ</t>
  </si>
  <si>
    <t>ENCARGADO MANTENCION GENERAL</t>
  </si>
  <si>
    <t>ABEL ROSENDO</t>
  </si>
  <si>
    <t>ESTAY CASTILLO</t>
  </si>
  <si>
    <t>LIMPIEZA, ASEO Y MANTENCION</t>
  </si>
  <si>
    <t>VESTUARIO ACC.Y PRENDAS DIVERS</t>
  </si>
  <si>
    <t>MAURICIO ABRAHAM</t>
  </si>
  <si>
    <t>OLMOS OLMOS</t>
  </si>
  <si>
    <t>MARKETING</t>
  </si>
  <si>
    <t>CALZADO</t>
  </si>
  <si>
    <t>SILVA HOTT</t>
  </si>
  <si>
    <t>CATALINA ANGELICA</t>
  </si>
  <si>
    <t>PERIODISTA</t>
  </si>
  <si>
    <t>FREZ URETA</t>
  </si>
  <si>
    <t>KAREN PAULETTE</t>
  </si>
  <si>
    <t>INSPECTOR TECNICO DE OBRAS</t>
  </si>
  <si>
    <t>VIATICOS PERSONAL COD.TRABAJO</t>
  </si>
  <si>
    <t>ENLACES DE TELECOMUNICACIONES</t>
  </si>
  <si>
    <t>COMB.LUBR.DIRECTOS-INDIRECTOS</t>
  </si>
  <si>
    <t>PROD.QUIMIC,FARMACEUTICOS IND.</t>
  </si>
  <si>
    <t>EQUIPOS COMPUTACIONALES</t>
  </si>
  <si>
    <t>COSTO SERVICIO DESAYUNO</t>
  </si>
  <si>
    <t>COSTOS DE TEXT. VEST,O PRENDAS</t>
  </si>
  <si>
    <t>SERVICIOS DE VIGILANCIA</t>
  </si>
  <si>
    <t>OTROS SERVICIOS GENERALES</t>
  </si>
  <si>
    <t>ÁREA APOYO A. RECREATIVA</t>
  </si>
  <si>
    <t>Asistencia Recreativa</t>
  </si>
  <si>
    <t>PONCE QUIROZ</t>
  </si>
  <si>
    <t>MARCIA LETICIA</t>
  </si>
  <si>
    <t>COORDINARORA ADMINISTRATIVA</t>
  </si>
  <si>
    <t>APOYO ADM.</t>
  </si>
  <si>
    <t>ARRIENDO DE TERRENOS</t>
  </si>
  <si>
    <t>CHAMORRO JIMENEZ</t>
  </si>
  <si>
    <t>MARCELA ANDREA</t>
  </si>
  <si>
    <t>ASISTENTE ADMINISTRATIVO</t>
  </si>
  <si>
    <t>ARRIENDO DE MOBILIARIO Y OTROS</t>
  </si>
  <si>
    <t>ALUMNA PRACTICA</t>
  </si>
  <si>
    <t>ARRIENDO DE MAQUINAS Y EQUIPOS</t>
  </si>
  <si>
    <t>MOISES ARIEL</t>
  </si>
  <si>
    <t>DURAN NAVIA</t>
  </si>
  <si>
    <t>OP CONTABLE A. RECREATIVA</t>
  </si>
  <si>
    <t>OTROS ARRIENDOS</t>
  </si>
  <si>
    <t>ÁREA APOYO A. EDUCACIONAL</t>
  </si>
  <si>
    <t>Asistencia Educacional</t>
  </si>
  <si>
    <t>MARJORIE ANDREA</t>
  </si>
  <si>
    <t>POBLETE GUERRA</t>
  </si>
  <si>
    <t>OP CONTABLE A. EDUCACIONAL</t>
  </si>
  <si>
    <t>MANT.Y REPAR. OTRAS MAQ. Y EQUIP.</t>
  </si>
  <si>
    <t>OTROS MANTEN. Y REPAR. MENORES</t>
  </si>
  <si>
    <t>OTROS GASTOS IMPREVISTOS</t>
  </si>
  <si>
    <t>OTROS MATERIALES DE USO CONSUMO</t>
  </si>
  <si>
    <t>ÁREA APOYO A. COMERCIAL</t>
  </si>
  <si>
    <t>Asistencia Comercial</t>
  </si>
  <si>
    <t>GREECE MARJORIE</t>
  </si>
  <si>
    <t>ANDREOTTI CUEVAS</t>
  </si>
  <si>
    <t>SUP. OP CONTABLE A. COMERCIAL</t>
  </si>
  <si>
    <t>COSTO  TOTAL</t>
  </si>
  <si>
    <t>CASTRO VIDELA</t>
  </si>
  <si>
    <t>SOFIA</t>
  </si>
  <si>
    <t>OP CONTABLE A. COMERCIAL</t>
  </si>
  <si>
    <t>NAVAJAS SANTINI</t>
  </si>
  <si>
    <t>JAVIER</t>
  </si>
  <si>
    <t>JEFE ASISTENCIA</t>
  </si>
  <si>
    <t>CALVO ALVAREZ</t>
  </si>
  <si>
    <t>CECILIA</t>
  </si>
  <si>
    <t>INFORMATICA</t>
  </si>
  <si>
    <t>COSTO OPERACIÓN PROYECTADO DIREBIEN</t>
  </si>
  <si>
    <t>MANRIQUEZ VILLENA</t>
  </si>
  <si>
    <t>ARTURO</t>
  </si>
  <si>
    <t xml:space="preserve">INGRESOS ADM. CENTRAL </t>
  </si>
  <si>
    <t>FINANCIAMIENTO PROYECTADO</t>
  </si>
  <si>
    <t>ANEXO E</t>
  </si>
  <si>
    <t>E) RESUMEN DE TARIFADO</t>
  </si>
  <si>
    <t>Reajuste en pesos ($)</t>
  </si>
  <si>
    <t>Reajuste en porcentaje (%)</t>
  </si>
  <si>
    <t>ANEXO F</t>
  </si>
  <si>
    <t>F) REMUNERACIONES DEL PERSONAL CÓDIGO DEL TRABAJO</t>
  </si>
  <si>
    <t>Gasto Total Empresa
2021</t>
  </si>
  <si>
    <t>Gasto Total Empresa
2022</t>
  </si>
  <si>
    <t>Costo Total Remuneraciones por Centro de Beneficio</t>
  </si>
  <si>
    <t>Ana Maria</t>
  </si>
  <si>
    <t>Ibarra</t>
  </si>
  <si>
    <t>Tecnicos</t>
  </si>
  <si>
    <t>Jacqueline</t>
  </si>
  <si>
    <t>Varas</t>
  </si>
  <si>
    <t>Farias</t>
  </si>
  <si>
    <t>Mariela</t>
  </si>
  <si>
    <t>Vicent</t>
  </si>
  <si>
    <t>modificado bonos  de       a 226548</t>
  </si>
  <si>
    <t>Claudia</t>
  </si>
  <si>
    <t>Herrera</t>
  </si>
  <si>
    <t>modificado aguinaldos de 141118 a 133310</t>
  </si>
  <si>
    <t>Vanessa</t>
  </si>
  <si>
    <t>Jimenez</t>
  </si>
  <si>
    <t>Angela</t>
  </si>
  <si>
    <t>Galleguillos</t>
  </si>
  <si>
    <t>Marta</t>
  </si>
  <si>
    <t>Mateluna</t>
  </si>
  <si>
    <t>Manip. Alim</t>
  </si>
  <si>
    <t>Camila</t>
  </si>
  <si>
    <t>Angulo</t>
  </si>
  <si>
    <t>Ruth</t>
  </si>
  <si>
    <t>Huerta</t>
  </si>
  <si>
    <t>Aux. Aseo</t>
  </si>
  <si>
    <t>Josefina</t>
  </si>
  <si>
    <t>Correa</t>
  </si>
  <si>
    <t>Co asist. Tecnico</t>
  </si>
  <si>
    <t xml:space="preserve">Domitila </t>
  </si>
  <si>
    <t>Vargas</t>
  </si>
  <si>
    <t>Ma. Paz</t>
  </si>
  <si>
    <t>Lorenzo</t>
  </si>
  <si>
    <t>Directora EC</t>
  </si>
  <si>
    <t>Cecilia</t>
  </si>
  <si>
    <t>Osega</t>
  </si>
  <si>
    <t>Educ. Pedag. EC</t>
  </si>
  <si>
    <t>Paula</t>
  </si>
  <si>
    <t>Torregrosa</t>
  </si>
  <si>
    <t xml:space="preserve">Ana Ma. </t>
  </si>
  <si>
    <t>Astudillo</t>
  </si>
  <si>
    <t>Educ. Pedag. P/AC</t>
  </si>
  <si>
    <t>Ma. Gabriela</t>
  </si>
  <si>
    <t>Sara</t>
  </si>
  <si>
    <t>Guillermina</t>
  </si>
  <si>
    <t>Oyarzo</t>
  </si>
  <si>
    <t>Sonia</t>
  </si>
  <si>
    <t>Escudero</t>
  </si>
  <si>
    <t>Micaela</t>
  </si>
  <si>
    <t>Gomez</t>
  </si>
  <si>
    <t>Jocelyn</t>
  </si>
  <si>
    <t>Olivares</t>
  </si>
  <si>
    <t>Estormi</t>
  </si>
  <si>
    <t>Delgado</t>
  </si>
  <si>
    <t>Magali</t>
  </si>
  <si>
    <t>Gonzalez</t>
  </si>
  <si>
    <t>Carolina</t>
  </si>
  <si>
    <t>Acevedo</t>
  </si>
  <si>
    <t>Nayareth</t>
  </si>
  <si>
    <t>Contreras</t>
  </si>
  <si>
    <t>Maria</t>
  </si>
  <si>
    <t>Tatiana</t>
  </si>
  <si>
    <t>Bravo</t>
  </si>
  <si>
    <t>Priscila</t>
  </si>
  <si>
    <t>Behrendsen</t>
  </si>
  <si>
    <t>Ma. Francisca</t>
  </si>
  <si>
    <t>Del Real</t>
  </si>
  <si>
    <t>Silvana</t>
  </si>
  <si>
    <t>Palominos</t>
  </si>
  <si>
    <t>Andrea</t>
  </si>
  <si>
    <t>Gutierrez</t>
  </si>
  <si>
    <t>Técnicos</t>
  </si>
  <si>
    <t>Jardín Infantil Pececitos de Colores</t>
  </si>
  <si>
    <t>Aravena</t>
  </si>
  <si>
    <t>Directora. EC</t>
  </si>
  <si>
    <t>Francisca</t>
  </si>
  <si>
    <t>Landeros</t>
  </si>
  <si>
    <t xml:space="preserve"> Ed. De Párvulos </t>
  </si>
  <si>
    <t>Sandra</t>
  </si>
  <si>
    <t>Molina</t>
  </si>
  <si>
    <t>Avelina</t>
  </si>
  <si>
    <t>Muñoz</t>
  </si>
  <si>
    <t>Valladares</t>
  </si>
  <si>
    <t>Peñafiel</t>
  </si>
  <si>
    <t>Patricia</t>
  </si>
  <si>
    <t>Soto</t>
  </si>
  <si>
    <t>Solange</t>
  </si>
  <si>
    <t>Espinoza</t>
  </si>
  <si>
    <t>Ines</t>
  </si>
  <si>
    <t>Romero</t>
  </si>
  <si>
    <t>Karen</t>
  </si>
  <si>
    <t>Paulina</t>
  </si>
  <si>
    <t>Cisternas</t>
  </si>
  <si>
    <t>Carla</t>
  </si>
  <si>
    <t>Bosque</t>
  </si>
  <si>
    <t>Educ. Pedag P/AC</t>
  </si>
  <si>
    <t>Daniela</t>
  </si>
  <si>
    <t>Saravia</t>
  </si>
  <si>
    <t>Ed. De Parvulos</t>
  </si>
  <si>
    <t>Ma. Ignacia</t>
  </si>
  <si>
    <t>Cofre</t>
  </si>
  <si>
    <t>Myriam</t>
  </si>
  <si>
    <t>Bustos</t>
  </si>
  <si>
    <t>Gina</t>
  </si>
  <si>
    <t>Basualto</t>
  </si>
  <si>
    <t>Luisa</t>
  </si>
  <si>
    <t>Lazo</t>
  </si>
  <si>
    <t>Beatriz</t>
  </si>
  <si>
    <t>Baeza</t>
  </si>
  <si>
    <t>Susan</t>
  </si>
  <si>
    <t>Oyarce</t>
  </si>
  <si>
    <t>Fabiola</t>
  </si>
  <si>
    <t>Vidal</t>
  </si>
  <si>
    <t>Alejandra</t>
  </si>
  <si>
    <t>Deila</t>
  </si>
  <si>
    <t>Olga</t>
  </si>
  <si>
    <t>Collao</t>
  </si>
  <si>
    <t>Ximena</t>
  </si>
  <si>
    <t>Lorca</t>
  </si>
  <si>
    <t>Leon</t>
  </si>
  <si>
    <t>Jessica</t>
  </si>
  <si>
    <t>Martinez</t>
  </si>
  <si>
    <t xml:space="preserve">Isabel </t>
  </si>
  <si>
    <t>Pereira</t>
  </si>
  <si>
    <t>Joseline</t>
  </si>
  <si>
    <t>Alvarado</t>
  </si>
  <si>
    <t>Ma. Esther</t>
  </si>
  <si>
    <t>Ampuero</t>
  </si>
  <si>
    <t>Maricel</t>
  </si>
  <si>
    <t>Morales</t>
  </si>
  <si>
    <t>TOTAL GENERAL</t>
  </si>
  <si>
    <t>ANEXO G</t>
  </si>
  <si>
    <t>G) COMPARACIÓN TARIFAS CON PRECIOS DE MERCADO</t>
  </si>
  <si>
    <r>
      <rPr>
        <sz val="10"/>
        <rFont val="Arial"/>
        <family val="2"/>
        <charset val="1"/>
      </rP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  <charset val="1"/>
      </rPr>
      <t>dentro de la misma comuna en la que se encuentran los Jardines Infantiles (J.I.) y Salas Cunas (S.C.)</t>
    </r>
    <r>
      <rPr>
        <sz val="10"/>
        <rFont val="Arial"/>
        <family val="2"/>
        <charset val="1"/>
      </rPr>
      <t xml:space="preserve"> de su Repartición. Este cuadro comparativo debe ser completado con, </t>
    </r>
    <r>
      <rPr>
        <b/>
        <u/>
        <sz val="10"/>
        <rFont val="Arial"/>
        <family val="2"/>
        <charset val="1"/>
      </rPr>
      <t>A LO MENOS</t>
    </r>
    <r>
      <rPr>
        <sz val="10"/>
        <rFont val="Arial"/>
        <family val="2"/>
        <charset val="1"/>
      </rPr>
      <t xml:space="preserve">, dos instituciones públicas o privadas </t>
    </r>
    <r>
      <rPr>
        <b/>
        <u/>
        <sz val="10"/>
        <rFont val="Arial"/>
        <family val="2"/>
        <charset val="1"/>
      </rPr>
      <t>puedan considerarse como las principales competencias directas</t>
    </r>
    <r>
      <rPr>
        <sz val="10"/>
        <rFont val="Arial"/>
        <family val="2"/>
        <charset val="1"/>
      </rPr>
      <t xml:space="preserve"> y que otorguen </t>
    </r>
    <r>
      <rPr>
        <b/>
        <u/>
        <sz val="10"/>
        <rFont val="Arial"/>
        <family val="2"/>
        <charset val="1"/>
      </rPr>
      <t>prestaciones de calidad igual o similar</t>
    </r>
    <r>
      <rPr>
        <sz val="10"/>
        <rFont val="Arial"/>
        <family val="2"/>
        <charset val="1"/>
      </rPr>
      <t xml:space="preserve"> a las brindadas por las instalaciones de este Departamento/Delegación.</t>
    </r>
  </si>
  <si>
    <t>% Respecto a Precio Promedio Mercado</t>
  </si>
  <si>
    <t>COMPARACIÓN 1</t>
  </si>
  <si>
    <t>COMPARACIÓN 2</t>
  </si>
  <si>
    <t>Precio promedio mercado (ppm)</t>
  </si>
  <si>
    <t>Institución</t>
  </si>
  <si>
    <t>Mensualidad</t>
  </si>
  <si>
    <t>Jardín Infantil CHARLIE BROWN</t>
  </si>
  <si>
    <t>Jardín Infantil GIRATONDO</t>
  </si>
  <si>
    <t>Sala Cuna Privada CHARLIE BROWN</t>
  </si>
  <si>
    <t>Sala Cuna Privada VITAMINAS</t>
  </si>
  <si>
    <t>Sala Cuna MAR DE TESOROS</t>
  </si>
  <si>
    <t>Sala Cuna VITAMINAS</t>
  </si>
  <si>
    <t>SC PERSONITAS</t>
  </si>
  <si>
    <t>SC MAR DE TESOROS</t>
  </si>
  <si>
    <t>(Nombre Institución Pública / Privada)</t>
  </si>
  <si>
    <t>H) DETALLE DE DATOS COMPLEMENTARIOS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</si>
  <si>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</si>
  <si>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FICHAS MANTENCIONES PLAN BIENVALP</t>
  </si>
  <si>
    <t>JI LOBITO MARINO</t>
  </si>
  <si>
    <t>JI LOS DELFINES</t>
  </si>
  <si>
    <t xml:space="preserve">NIVEL </t>
  </si>
  <si>
    <t xml:space="preserve">MANTENIMIENTO </t>
  </si>
  <si>
    <t>DESCRIPCIÓN DEL TRABAJO</t>
  </si>
  <si>
    <t>FRECUENCIA</t>
  </si>
  <si>
    <t>CANTIDAD</t>
  </si>
  <si>
    <t>UNIDAD</t>
  </si>
  <si>
    <t>VALOR $</t>
  </si>
  <si>
    <t>VALOR ANUAL</t>
  </si>
  <si>
    <t>UF ANUAL 2022</t>
  </si>
  <si>
    <t>PLAN CAPACITACION 2022</t>
  </si>
  <si>
    <t xml:space="preserve">MANTENIMIENTO 1er NIVEL </t>
  </si>
  <si>
    <t>MANTENCIÓN Y REPARACIONES EN TECHUMBRE</t>
  </si>
  <si>
    <t>LIMPIEZA DE CANALES DE AGUA LLUVIAS Y RESUMIDEROS</t>
  </si>
  <si>
    <t>ANUAL</t>
  </si>
  <si>
    <t>ML</t>
  </si>
  <si>
    <t>Objetivo: Ofrecer instancias de análisis y reflexión sobre diferentes tipos de materiales educativos que apoyen y dinamicen el proceso de aprendizaje, favoreciendo el intercambio y la construcción conjunta de saberes. Contar con capacitación para aplicar diferentes estrategias pedagógicas relacionadas con los procesos de aprendizaje a la luz de las nuevas Bases Curriculares de la Educación Parvularia.</t>
  </si>
  <si>
    <t>MANTENCION DE ARTEFACTOS SANITARIOS Y LAVAPLATOS</t>
  </si>
  <si>
    <t>FUNCIONAMIENTO  Y FITTINGS WC</t>
  </si>
  <si>
    <t>UN</t>
  </si>
  <si>
    <t xml:space="preserve">FUNCIONAMIENTO Y FITTINGS LAVAMANOS, TINETAS, LAVAPLATO Y LAVAFONDO </t>
  </si>
  <si>
    <t>AREA TECNICO PEDAGOGICA</t>
  </si>
  <si>
    <t>SELLOS DE SILICONAS</t>
  </si>
  <si>
    <t>GL</t>
  </si>
  <si>
    <t xml:space="preserve">Capacitación interna o externa al JI / SC </t>
  </si>
  <si>
    <t>Responsable</t>
  </si>
  <si>
    <t>Recursos</t>
  </si>
  <si>
    <t>Fecha y Tiempo de realización</t>
  </si>
  <si>
    <t>Fuente de extracción de la información</t>
  </si>
  <si>
    <t>REPARACIONES Y MANTENCIÓN DE ARTEFACTOS DE COCINA</t>
  </si>
  <si>
    <t>CALEFONT</t>
  </si>
  <si>
    <t>(curso, taller, seminario, charla, entre otros)</t>
  </si>
  <si>
    <t>(Humanos, materiales y/o financieros)</t>
  </si>
  <si>
    <t>ARTEFACTO COCINA Y FOGON</t>
  </si>
  <si>
    <t>un</t>
  </si>
  <si>
    <t>Creación de Materiales Educativos en Educación Parvularia</t>
  </si>
  <si>
    <t>EDUCREA</t>
  </si>
  <si>
    <t xml:space="preserve">Valor curso p/p $ 63.420 </t>
  </si>
  <si>
    <t xml:space="preserve">Marzo </t>
  </si>
  <si>
    <t>EDUCREA.CL</t>
  </si>
  <si>
    <t>MANTENCIÓN ELÉCTRICA</t>
  </si>
  <si>
    <t>LUMINARIAS Y ENCHUFE</t>
  </si>
  <si>
    <t xml:space="preserve"> 8 hrs cronológicas</t>
  </si>
  <si>
    <t>MANTENIMIENTO 2do NIVEL</t>
  </si>
  <si>
    <t>MANTENCIÓN EXTERIOR</t>
  </si>
  <si>
    <t>MANTENCION PATIO GOMA CAUCHO</t>
  </si>
  <si>
    <t>m2</t>
  </si>
  <si>
    <t xml:space="preserve">PATIO DE JUEGO </t>
  </si>
  <si>
    <t>Estrategias Didácticas de Apoyo al Rol de las Asistentes de Párvulos.</t>
  </si>
  <si>
    <t xml:space="preserve">Valor curso p/p $63.420 </t>
  </si>
  <si>
    <t xml:space="preserve">Agosto </t>
  </si>
  <si>
    <t>PATIO DE JUEGO (PASTO SINTETICO)</t>
  </si>
  <si>
    <t>VEREDAS Y PAVIMENTOS</t>
  </si>
  <si>
    <t>8 hrs. cronológicas</t>
  </si>
  <si>
    <t>REJAS Y PROTECCIONES</t>
  </si>
  <si>
    <t>ml</t>
  </si>
  <si>
    <t>PATIO TECHADO TIPO VELA</t>
  </si>
  <si>
    <t>5 AÑOS</t>
  </si>
  <si>
    <t xml:space="preserve">TECHUMBRE EN PATIO </t>
  </si>
  <si>
    <t>TECHUMBRE EDIFICACIÓN</t>
  </si>
  <si>
    <t>Objetivo: Diseñar procesos de enseñanza aprendizaje para atender a la diversidad, en base al Diseño Universal para el Aprendizaje (DUA). Elaborar instrumentos de observación para la evaluación de habilidades y actitudes.</t>
  </si>
  <si>
    <t>CANALES Y HOJALATERÍA</t>
  </si>
  <si>
    <t>2 AÑOS</t>
  </si>
  <si>
    <t>MANTENCIÓN PINTURA INTERIOR CIELOS Y MUROS</t>
  </si>
  <si>
    <t xml:space="preserve">SALA DE ACTIVIDADES </t>
  </si>
  <si>
    <t>AREA GESTION CURRICULAR</t>
  </si>
  <si>
    <t xml:space="preserve">SALA DE HÁBITOS HIGIÉNICOS </t>
  </si>
  <si>
    <t>Capacitación interna o externa al JI / SC</t>
  </si>
  <si>
    <t>OFICINAS, COMEDORES, PASILLOS Y ETC.</t>
  </si>
  <si>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(curso, taller, seminario, charla, entre otros)</t>
    </r>
  </si>
  <si>
    <t>BAÑOS PERSONAL</t>
  </si>
  <si>
    <t>Diseño Universal de Aprendizaje: Planificando para la Diversidad.</t>
  </si>
  <si>
    <t>Abril</t>
  </si>
  <si>
    <t>MANTENCION PINTURA EXTERIOR</t>
  </si>
  <si>
    <t>FACHADAS</t>
  </si>
  <si>
    <t>8 hrs cronológicas</t>
  </si>
  <si>
    <t>REJA PERIMETRAL</t>
  </si>
  <si>
    <t>Elaboración de Instrumentos de Evaluación</t>
  </si>
  <si>
    <t>Septiembre</t>
  </si>
  <si>
    <t>CAMBIO DE SIFONES Y DESAGUES</t>
  </si>
  <si>
    <t>3 AÑOS</t>
  </si>
  <si>
    <t>MARCO Y VENTANAS</t>
  </si>
  <si>
    <t>gl</t>
  </si>
  <si>
    <t>CAMBIO DE GRIFERÍA LAVAMANOS, TINETA Y LAVAPLATOS</t>
  </si>
  <si>
    <t>MANTENCIÓN MOBILIARIO</t>
  </si>
  <si>
    <t xml:space="preserve">MUEBLES DE COCINA  </t>
  </si>
  <si>
    <t>MANTENCIÓN REVESTIMIENTOS PISO Y MURO</t>
  </si>
  <si>
    <t>CERÁMICOS DE PISO Y MURO</t>
  </si>
  <si>
    <t>MANTENCIÓN PUERTA Y VENTANA</t>
  </si>
  <si>
    <t>PUERTAS, CERRADURAS Y BISAGRAS</t>
  </si>
  <si>
    <t>FUNCIONAMIENTO DE VENTANAS</t>
  </si>
  <si>
    <t>CIRCUITOS TABLERO Y TIERRA</t>
  </si>
  <si>
    <t>PISO FLOTANTE</t>
  </si>
  <si>
    <t>MANTENCIÓN SANITARIA</t>
  </si>
  <si>
    <t>REVISIÓN DE AGUA POTABLE</t>
  </si>
  <si>
    <t>REVISIÓN DE ALCANTARILLADO</t>
  </si>
  <si>
    <t>MANTENCIÓN CLIMA Y EXTRACCION</t>
  </si>
  <si>
    <t>MANENCION CALEFACTORES</t>
  </si>
  <si>
    <t>MANTENCION CAMPANA COCINA</t>
  </si>
  <si>
    <t xml:space="preserve">MANTENCION INSTALACIONES DE EMERGENCIA </t>
  </si>
  <si>
    <t xml:space="preserve">MANTENCION RED HUMEDA (gabinetes, extintores, señaletica) </t>
  </si>
  <si>
    <t xml:space="preserve">MANTENCION JARDINES </t>
  </si>
  <si>
    <t xml:space="preserve">PODA Y TALA </t>
  </si>
  <si>
    <t xml:space="preserve">MANTENIMIENTO 3ER NIVEL </t>
  </si>
  <si>
    <t>REPOSICIONES</t>
  </si>
  <si>
    <t>CAMBIO DE TECHUMBRE</t>
  </si>
  <si>
    <t>10 AÑOS</t>
  </si>
  <si>
    <t>REPOSICION  DE VENTANAS</t>
  </si>
  <si>
    <t>CAMBIO DE PUERTAS Y CERRADURAS</t>
  </si>
  <si>
    <t>uni</t>
  </si>
  <si>
    <t xml:space="preserve">MANTENCION DE BOMBAS </t>
  </si>
  <si>
    <t>REPOSICION DE CALEFACTORES</t>
  </si>
  <si>
    <t>8 AÑOS</t>
  </si>
  <si>
    <t>MANTENCION GENERADOR</t>
  </si>
  <si>
    <t>REPOSICION LAVAMANOS Y WC</t>
  </si>
  <si>
    <t xml:space="preserve">MANTENCION SENSORES DE HUMO </t>
  </si>
  <si>
    <t>REPOSICION COCINA</t>
  </si>
  <si>
    <t xml:space="preserve">REPOSICION CAMPANA </t>
  </si>
  <si>
    <t xml:space="preserve">REPOSICION FOGON </t>
  </si>
  <si>
    <t>UF</t>
  </si>
  <si>
    <t>REPOSICION PISO GOMA CAUCHO</t>
  </si>
  <si>
    <t>M2</t>
  </si>
  <si>
    <t>SC MAR AZUL</t>
  </si>
  <si>
    <t>SC CARACOLITO DE MAR</t>
  </si>
  <si>
    <t>TECHUMBRE EN PATIO TECHADO</t>
  </si>
  <si>
    <t xml:space="preserve">+ DE 10 </t>
  </si>
  <si>
    <t>+ DE 10</t>
  </si>
  <si>
    <t>COEFICIENTE TECNICO</t>
  </si>
  <si>
    <t>PROYECCIÓN</t>
  </si>
  <si>
    <t>CANTIDAD NIVELES</t>
  </si>
  <si>
    <t>DIRECTORA</t>
  </si>
  <si>
    <t>EDUC</t>
  </si>
  <si>
    <t>TEC. PARV</t>
  </si>
  <si>
    <t>MANIP. ALIM</t>
  </si>
  <si>
    <t>co asist tec parv</t>
  </si>
  <si>
    <t>AUX. ASEO</t>
  </si>
  <si>
    <t>LOBITO MARINO</t>
  </si>
  <si>
    <t>SOBRE DOTACIÓN</t>
  </si>
  <si>
    <t>LOS DELFINES</t>
  </si>
  <si>
    <t>VARAS PEREZ JACQUELINE BETZABE</t>
  </si>
  <si>
    <t>LOBITO</t>
  </si>
  <si>
    <t>7 TEC. PARV PROYECCIÓN 100 NIÑOS</t>
  </si>
  <si>
    <t>PECECITOS</t>
  </si>
  <si>
    <t>IBARRA OPAZO ANA MARIA</t>
  </si>
  <si>
    <t>OBSERVACIONES</t>
  </si>
  <si>
    <t>JI CARACOLITO</t>
  </si>
  <si>
    <t>VICENT AVILA LUZ MARIELA</t>
  </si>
  <si>
    <t>AVENDAÑO TOLEDO SHEYLIE CONSTANZA</t>
  </si>
  <si>
    <t>DESVINCULAR</t>
  </si>
  <si>
    <t>VERIFICAR/ FUEROS</t>
  </si>
  <si>
    <t>SC CARACOLITO</t>
  </si>
  <si>
    <t>JIMENEZ MARTINEZ VANESSA ELIZABETH</t>
  </si>
  <si>
    <t>MITROVICH ZULETA IVANIA SMILKA</t>
  </si>
  <si>
    <t>AUTOMENTO NIVEL</t>
  </si>
  <si>
    <t>HASTA 31 DIC</t>
  </si>
  <si>
    <t>REEMPLAZOS</t>
  </si>
  <si>
    <t>SC MAR AZUL DIUR</t>
  </si>
  <si>
    <t>HERRERA GONZALEZ CLAUDIA MAGDALENA</t>
  </si>
  <si>
    <t>PEÑA ROJAS LESLY DAMARIS</t>
  </si>
  <si>
    <t>SC MAR AZUL NOC</t>
  </si>
  <si>
    <t>GALLEGUILLOS SANZANA ANGELA VERONICA</t>
  </si>
  <si>
    <t>ROMERO NAMUNCURA CAROLAINE ALEJANDRA</t>
  </si>
  <si>
    <t>FARIAS ORMEÑO MARIA INES</t>
  </si>
  <si>
    <t>DELGADO TORRES JACQUELINE CECILIA</t>
  </si>
  <si>
    <t>GONZALEZ FUENTES MAGALI SUSANA ISABEL</t>
  </si>
  <si>
    <t>7 TEC. PARV PROYECCIÓN 83 NIÑOS</t>
  </si>
  <si>
    <t>OPAZO HERNANDEZ GUISEL DAYAN</t>
  </si>
  <si>
    <t>HUERTA NUÑEZ SARA ESTER</t>
  </si>
  <si>
    <t>RODRIGUEZ MORALES VALERIA ANDREA</t>
  </si>
  <si>
    <t>OYARZO HERNANDEZ GUILLERMINA ANDREA</t>
  </si>
  <si>
    <t>DELGADO TORRES ESTORMI DE LAS MERCE</t>
  </si>
  <si>
    <t>ESCUDERO ALZAMORA SONIA SOLEDAD</t>
  </si>
  <si>
    <t>GOMEZ TERRAZAS MICAELA JERUSALEM DE</t>
  </si>
  <si>
    <t>OLIVARES DE RODT JOCELYN ADELA</t>
  </si>
  <si>
    <t>ESPINOZA BRUNA SOLANGE ISABEL</t>
  </si>
  <si>
    <t>6 TEC. PARV PROYECCIÓN 35 LACTANTES</t>
  </si>
  <si>
    <t>MOLINA JARA SANDRA ANDREA</t>
  </si>
  <si>
    <t>MUÑOZ ARANGUEZ AVELINA ROSA</t>
  </si>
  <si>
    <t>VALLADARES LOPEZ PAULA MARCELA</t>
  </si>
  <si>
    <t>PEÑAFIEL VALDEBENITO SILVANA LORETO</t>
  </si>
  <si>
    <t>SOTO CONTRERAS PATRICIA EDITH</t>
  </si>
  <si>
    <t>COFRE OYANEDER CLAUDIA DEL CARMEN</t>
  </si>
  <si>
    <t>9 TEC. PARV PROYECCIÓN 63 LACTANTES</t>
  </si>
  <si>
    <t>GUTIERREZ BERNALES DENIS CARMEN</t>
  </si>
  <si>
    <t>BAEZA JAQUE BEATRIZ LORETO</t>
  </si>
  <si>
    <t>BASUALTO RIVERA GINA IVONNE</t>
  </si>
  <si>
    <t>LAZO TORO LUISA JEANETTE</t>
  </si>
  <si>
    <t>BUSTOS SUAREZ MYRIAM MARGARITA</t>
  </si>
  <si>
    <t>CARRASCO TAPIA MICAL BETSABE</t>
  </si>
  <si>
    <t>CARRASCO JEREZ NATHALY SOLANGE</t>
  </si>
  <si>
    <t>OYARCE JARA SUSAN VALERIA</t>
  </si>
  <si>
    <t>TOTAL COEF. TEC.</t>
  </si>
  <si>
    <t>SEPULVEDA SILVA JESSICA DEL PILAR</t>
  </si>
  <si>
    <t>GUARDIA</t>
  </si>
  <si>
    <t>PEREIRA MORALES ISABEL MARGARITA</t>
  </si>
  <si>
    <t>MARTINEZ GUZMAN ANDREA PAMELA</t>
  </si>
  <si>
    <t>AMPUERO SALINAS MARIA ESTHER</t>
  </si>
  <si>
    <t>MORALES MORALES MARICEL CONSTANZA</t>
  </si>
  <si>
    <t>ALVARADO COLLAO JOSELINE JEANNETTE</t>
  </si>
  <si>
    <t>EPP</t>
  </si>
  <si>
    <t>PXQ CARACOLITO DE MAR</t>
  </si>
  <si>
    <t>PRQ EPP</t>
  </si>
  <si>
    <t xml:space="preserve">REQUERIMIENTO ARTEFACTOS DE COCINA POR VETUSTEZ </t>
  </si>
  <si>
    <t>NOTEBOOK</t>
  </si>
  <si>
    <t>DATA</t>
  </si>
  <si>
    <t>IMPRESORAS</t>
  </si>
  <si>
    <t>PARLANTES</t>
  </si>
  <si>
    <t>EQUIPOS MUSICA</t>
  </si>
  <si>
    <t>CANT. MASCARILLAS</t>
  </si>
  <si>
    <t>CANT. BUZOS</t>
  </si>
  <si>
    <t>CANT.COFIAS</t>
  </si>
  <si>
    <t>CANT. GUANTES</t>
  </si>
  <si>
    <t>AMONIO</t>
  </si>
  <si>
    <t>ALCH.GEL</t>
  </si>
  <si>
    <t>SEGÚN COTIZACIONES COMERCIO ESTABLECIDO:</t>
  </si>
  <si>
    <t>1 COCINA 4 PLATOS SEDILE $ 250.000</t>
  </si>
  <si>
    <t>VALOR UN</t>
  </si>
  <si>
    <t>VALOR LT</t>
  </si>
  <si>
    <t>1 REFRIGERADOR 330 LTS SEDILE $ 300.000</t>
  </si>
  <si>
    <t>SOFT WORD/EXELL</t>
  </si>
  <si>
    <t>1 REFRIGERADOR 330 LTS BODEGA ALIMENTOS  $ 300.000</t>
  </si>
  <si>
    <t>1 NOTEBOOK $680.000</t>
  </si>
  <si>
    <t>REPOSICIÓN CASILLEROS VESTIDORES PERSONAL $ 295.960.</t>
  </si>
  <si>
    <t>1 ESCRITORIO, 2  SILLAS OFICINA Y MUEBLE ORGANIZADOR DIRECTORA $ 695.000</t>
  </si>
  <si>
    <t>VARIOS MENAJE REPOSICIÓN DELFINES</t>
  </si>
  <si>
    <t>CASILLEROS PERSONAL</t>
  </si>
  <si>
    <t>20 SILLAS LACTANTES $ 10.000 c/u</t>
  </si>
  <si>
    <t>6 SILLAS ADULTO PARA EL AULA $ 50.000 C/U.</t>
  </si>
  <si>
    <t>50 AGENDAS IMPRENTA NAVAL $3500.-</t>
  </si>
  <si>
    <t>HIDROLAVADORA</t>
  </si>
  <si>
    <t>REFRIGERADOR SEDILE</t>
  </si>
  <si>
    <t>REFRIGERADOR BODEGA ALIM</t>
  </si>
  <si>
    <t>COCINA  SEDILE</t>
  </si>
  <si>
    <t>PXQ LOS DELFINES</t>
  </si>
  <si>
    <t>SEGÚN COTIZACIONES COMERCIO ESTABLECIDO.</t>
  </si>
  <si>
    <t>1 DATA $ 350.000</t>
  </si>
  <si>
    <t>JUEGOS PATIO MADERA LOBITO PROYECTO PATIO CERRO</t>
  </si>
  <si>
    <t xml:space="preserve">CLOSET BODEGA SALAS LOBITO SALAS QUE NO TIENEN BODEGAS DE  MATERIAL </t>
  </si>
  <si>
    <t>MUEBLES TIPO JUNJI</t>
  </si>
  <si>
    <t>GIMNASIO ESTIMULACIÓN</t>
  </si>
  <si>
    <t>ESCRITORIO, 2 SILLAS Y MUEBLE ORGANIZADOR OF.</t>
  </si>
  <si>
    <t>SILLAS LACTANTES</t>
  </si>
  <si>
    <t>SILLAS ADULTOS</t>
  </si>
  <si>
    <t>1 NOTEBOOK $ 650.000</t>
  </si>
  <si>
    <t>2 PARLANTES ACTIVIDADES EXTRAPROGRAMATICAS $ 80.000 C/U.</t>
  </si>
  <si>
    <t>CARACOLITO</t>
  </si>
  <si>
    <t>MENAJE DE COCINA PARA NIÑOS Y PERSONAL</t>
  </si>
  <si>
    <t>SARTENES, PLATOS, OLLAS, SERVICIO, ETC $ 800.000.-</t>
  </si>
  <si>
    <t>PXQ MAR AZUL</t>
  </si>
  <si>
    <t>REPOSICIÓN MENAJE, OLLAS, SERVICIOS, ETC $ 540.000.-</t>
  </si>
  <si>
    <t>GIMNACIO ESTIMULACIÓN $ 300.000 C/U</t>
  </si>
  <si>
    <t>LIBRETAS DIGITALES $ 8100 C/U (COTIZACIÓN ANUAL NIÑO)</t>
  </si>
  <si>
    <t>pxq lobito</t>
  </si>
  <si>
    <t>5 equipo musica de acuerdo a comercio establecido</t>
  </si>
  <si>
    <t>$ 50.000 c/u</t>
  </si>
  <si>
    <t xml:space="preserve">mueble n° 5 o 6 Junji </t>
  </si>
  <si>
    <t>10 $ 70.000 c/u</t>
  </si>
  <si>
    <t>Juego de patio / madera  $ 1.000.000</t>
  </si>
  <si>
    <t>Mueble acero inox basurero</t>
  </si>
  <si>
    <t>softwear $150.000</t>
  </si>
  <si>
    <t>5 closet para bodega materiales en sala actividades $ 200.000</t>
  </si>
  <si>
    <t>1 hidrolavadora $ 170.000</t>
  </si>
  <si>
    <t>TABLA N°15: PROYECCIÓN MENSUAL</t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</si>
  <si>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</si>
  <si>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</si>
  <si>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</si>
  <si>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</si>
  <si>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</si>
  <si>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</si>
  <si>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</si>
  <si>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</si>
  <si>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</si>
  <si>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</si>
  <si>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</si>
  <si>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MATRICULA</t>
  </si>
  <si>
    <t>PERSONAL</t>
  </si>
  <si>
    <t>Jardin Infantil Lobito Marino</t>
  </si>
  <si>
    <t>ACUMULADO A DICIEMBRE</t>
  </si>
  <si>
    <t>INGRESOS DE OPERACION</t>
  </si>
  <si>
    <t>REMUNERACIONES COD.DEL TRABAJO</t>
  </si>
  <si>
    <t>BONOS CÓDIGO DEL TRABAJO</t>
  </si>
  <si>
    <t>COSTOS  DE OPERACION</t>
  </si>
  <si>
    <t>RESULTADO OPERACIONAL</t>
  </si>
  <si>
    <t>Jardin Infantil Los Delfines</t>
  </si>
  <si>
    <t>Sala Cuna Caracolito de Mar (Diurna)</t>
  </si>
  <si>
    <t>Sala Cuna Mar Azul (Diurna)</t>
  </si>
  <si>
    <t>Sala Cuna Mar Azul (Nocturna)</t>
  </si>
  <si>
    <t>NN</t>
  </si>
  <si>
    <t>MANTENCIÓN PINTURA INTERIOR</t>
  </si>
  <si>
    <t>LIMPIEZA DE CANALES DE AGUA LLUVIAS</t>
  </si>
  <si>
    <t>FUNCIONAMIENTO Y FITTNGS LAVAMANOS, TINETAS, LAVAPLATO.</t>
  </si>
  <si>
    <t>MANTENCION SELLOS DE SILICONAS</t>
  </si>
  <si>
    <t>MANTENCION CALEFONT</t>
  </si>
  <si>
    <t>MANTENCION ARTEFACTO COCINA</t>
  </si>
  <si>
    <t xml:space="preserve">RADIER  EN SECTOR PATIO </t>
  </si>
  <si>
    <t>SALA DE ACTIVIDADES Y CUNA</t>
  </si>
  <si>
    <t>SALA DE HÁBITOS HIGIÉNICOS Y MUDAS</t>
  </si>
  <si>
    <t>COCINA Y SEDILE</t>
  </si>
  <si>
    <t>MUEBLES DE COCINA  Y MUDADORES</t>
  </si>
  <si>
    <t>PUERTA. CERRADURAS Y BISAGRAS</t>
  </si>
  <si>
    <t>VENTANA</t>
  </si>
  <si>
    <t>CIRCUITOS, TABLERO Y TIERRA</t>
  </si>
  <si>
    <t>CAMBIO DE VENTANAS</t>
  </si>
  <si>
    <t>UF ANUAL</t>
  </si>
  <si>
    <t>IN</t>
  </si>
  <si>
    <t xml:space="preserve">MANTENIMIENTO 3er NIVEL </t>
  </si>
  <si>
    <t xml:space="preserve">UF </t>
  </si>
  <si>
    <t>PESOS</t>
  </si>
  <si>
    <t>PLAN MANTENCIÓN PCECITOS DE COLORES</t>
  </si>
  <si>
    <t>990960 considerar en proyecto</t>
  </si>
  <si>
    <t>560000 considerar en proyecto</t>
  </si>
  <si>
    <t>se elimina uso de buzos fundamentado en el retorno a condición normal proyectado.</t>
  </si>
  <si>
    <t>13 MM considerar en proyecto</t>
  </si>
  <si>
    <t xml:space="preserve">Patricia </t>
  </si>
  <si>
    <t>Dennis</t>
  </si>
  <si>
    <t xml:space="preserve">Aux. Aseo </t>
  </si>
  <si>
    <t>Solari</t>
  </si>
  <si>
    <t xml:space="preserve">Loreto </t>
  </si>
  <si>
    <t xml:space="preserve">Cabezas </t>
  </si>
  <si>
    <t>Educ. Parv</t>
  </si>
  <si>
    <t>Caroline</t>
  </si>
  <si>
    <t>Educ. de Parv PAC</t>
  </si>
  <si>
    <t>Aux. Aseo TT</t>
  </si>
  <si>
    <t>aumento matriculas 120 al 21MAR</t>
  </si>
  <si>
    <t>NN/ Reemplazo SHARP</t>
  </si>
  <si>
    <t>LMP hasta el año del hijo</t>
  </si>
  <si>
    <t>M Jesus</t>
  </si>
  <si>
    <t>Valenzuela</t>
  </si>
  <si>
    <t>se aumenta el personal ff.pp.x n° nñs.</t>
  </si>
  <si>
    <t>a que corresponde?</t>
  </si>
  <si>
    <t>se ajusto según detalle</t>
  </si>
  <si>
    <t>se acomoda el n° meses</t>
  </si>
  <si>
    <t>sera el monto del año??</t>
  </si>
  <si>
    <t>a que corresponde??</t>
  </si>
  <si>
    <t>se ajusto al n° de personal</t>
  </si>
  <si>
    <t>se ajusto al 30%</t>
  </si>
  <si>
    <t>Sepulveda</t>
  </si>
  <si>
    <t>karina</t>
  </si>
  <si>
    <t>se modifica a 9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</si>
</sst>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-&quot;$&quot;\ * #,##0_-;\-&quot;$&quot;\ * #,##0_-;_-&quot;$&quot;\ * &quot;-&quot;_-;_-@_-"/>
    <numFmt numFmtId="165" formatCode="0\ %"/>
    <numFmt numFmtId="166" formatCode="_-&quot;$ &quot;* #,##0_-;&quot;-$ &quot;* #,##0_-;_-&quot;$ &quot;* \-_-;_-@_-"/>
    <numFmt numFmtId="167" formatCode="_-\$* #,##0.00_-;&quot;-$&quot;* #,##0.00_-;_-\$* \-??_-;_-@_-"/>
    <numFmt numFmtId="168" formatCode="#,##0_ ;[Red]\-#,##0\ "/>
    <numFmt numFmtId="169" formatCode="_-* #,##0.00_-;\-* #,##0.00_-;_-* \-??_-;_-@_-"/>
    <numFmt numFmtId="170" formatCode="_-\ * #,##0_-;&quot;$ &quot;* #,##0_-;_-\ * \-_-;_-@_-"/>
    <numFmt numFmtId="171" formatCode="_-\$* #,##0_-;&quot;-$&quot;* #,##0_-;_-\$* \-??_-;_-@_-"/>
    <numFmt numFmtId="172" formatCode="0.0%"/>
    <numFmt numFmtId="173" formatCode="#,##0_ ;\-#,##0\ "/>
    <numFmt numFmtId="174" formatCode="_-* #,##0.0_-;\-* #,##0.0_-;_-* \-??_-;_-@_-"/>
    <numFmt numFmtId="175" formatCode="_(* #,##0_);_(* \(#,##0\);_(* \-_);_(@_)"/>
    <numFmt numFmtId="176" formatCode="_-* #,##0_-;\-* #,##0_-;_-* \-??_-;_-@_-"/>
    <numFmt numFmtId="177" formatCode="\$#,##0_);&quot;($&quot;#,##0\)"/>
    <numFmt numFmtId="178" formatCode="_ * #,##0_ ;_ * \-#,##0_ ;_ * \-_ ;_ @_ "/>
    <numFmt numFmtId="179" formatCode="_ \$* #,##0_ ;_ \$* \-#,##0_ ;_ \$* \-_ ;_ @_ "/>
    <numFmt numFmtId="180" formatCode="&quot;$ &quot;#,##0"/>
    <numFmt numFmtId="181" formatCode="0.00\ %"/>
    <numFmt numFmtId="182" formatCode="0&quot; AÑOS&quot;"/>
    <numFmt numFmtId="183" formatCode="_-&quot;$ &quot;* #,##0_-;&quot;-$ &quot;* #,##0_-;_-&quot;$ &quot;* \-??_-;_-@_-"/>
    <numFmt numFmtId="184" formatCode="0.0"/>
    <numFmt numFmtId="185" formatCode="_-[$$-340A]\ * #,##0_-;\-[$$-340A]\ * #,##0_-;_-[$$-340A]\ * \-??_-;_-@_-"/>
    <numFmt numFmtId="186" formatCode="\$#,##0;[Red]&quot;$-&quot;#,##0"/>
  </numFmts>
  <fonts count="37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u/>
      <sz val="12"/>
      <color rgb="FF0000CC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00CCFF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color rgb="FFFF0000"/>
      <name val="Arial"/>
      <family val="2"/>
      <charset val="1"/>
    </font>
    <font>
      <b/>
      <sz val="11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0"/>
      <color rgb="FF000099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FFFFFF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b/>
      <sz val="16"/>
      <name val="Arial"/>
      <family val="2"/>
      <charset val="1"/>
    </font>
    <font>
      <sz val="9"/>
      <color rgb="FF000000"/>
      <name val="Arial"/>
      <family val="2"/>
      <charset val="1"/>
    </font>
    <font>
      <b/>
      <u/>
      <sz val="10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8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Times New Roman"/>
      <family val="1"/>
      <charset val="1"/>
    </font>
    <font>
      <sz val="11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/>
      <sz val="10"/>
      <color rgb="FF000000"/>
      <name val="Calibri"/>
      <family val="2"/>
      <charset val="1"/>
    </font>
    <font>
      <sz val="10"/>
      <name val="Arial"/>
      <family val="2"/>
      <charset val="1"/>
    </font>
    <font>
      <b/>
      <sz val="8"/>
      <color rgb="FFFF0000"/>
      <name val="Calibri"/>
      <family val="2"/>
      <charset val="1"/>
    </font>
    <font>
      <sz val="8"/>
      <color rgb="FFFF0000"/>
      <name val="Calibri"/>
      <family val="2"/>
      <charset val="1"/>
    </font>
    <font>
      <b/>
      <sz val="10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rgb="FFA6A6A7"/>
        <bgColor rgb="FFA2A3AE"/>
      </patternFill>
    </fill>
    <fill>
      <patternFill patternType="solid">
        <fgColor rgb="FFFFFFFF"/>
        <bgColor rgb="FFFFFFF2"/>
      </patternFill>
    </fill>
    <fill>
      <patternFill patternType="solid">
        <fgColor rgb="FFFFFF00"/>
        <bgColor rgb="FFDFDF00"/>
      </patternFill>
    </fill>
    <fill>
      <patternFill patternType="solid">
        <fgColor rgb="FFBFBFBF"/>
        <bgColor rgb="FFBFBFC0"/>
      </patternFill>
    </fill>
    <fill>
      <patternFill patternType="solid">
        <fgColor rgb="FF0B2B4B"/>
        <bgColor rgb="FF000000"/>
      </patternFill>
    </fill>
    <fill>
      <patternFill patternType="solid">
        <fgColor rgb="FFC00000"/>
        <bgColor rgb="FFFF0000"/>
      </patternFill>
    </fill>
    <fill>
      <patternFill patternType="solid">
        <fgColor rgb="FFC6D9F1"/>
        <bgColor rgb="FFB9CDE5"/>
      </patternFill>
    </fill>
    <fill>
      <patternFill patternType="solid">
        <fgColor rgb="FFF3DCDB"/>
        <bgColor rgb="FFE6D3DF"/>
      </patternFill>
    </fill>
    <fill>
      <patternFill patternType="solid">
        <fgColor rgb="FFADBDD3"/>
        <bgColor rgb="FFB5B5CF"/>
      </patternFill>
    </fill>
    <fill>
      <patternFill patternType="solid">
        <fgColor rgb="FFD3C0C0"/>
        <bgColor rgb="FFBFBFC0"/>
      </patternFill>
    </fill>
    <fill>
      <patternFill patternType="solid">
        <fgColor rgb="FFDFDFE0"/>
        <bgColor rgb="FFD9D9D9"/>
      </patternFill>
    </fill>
    <fill>
      <patternFill patternType="solid">
        <fgColor rgb="FF8EB7E5"/>
        <bgColor rgb="FF95B3D7"/>
      </patternFill>
    </fill>
    <fill>
      <patternFill patternType="solid">
        <fgColor rgb="FF568ED4"/>
        <bgColor rgb="FF578FD5"/>
      </patternFill>
    </fill>
    <fill>
      <patternFill patternType="solid">
        <fgColor rgb="FFB9CDE5"/>
        <bgColor rgb="FFB5C6E8"/>
      </patternFill>
    </fill>
    <fill>
      <patternFill patternType="solid">
        <fgColor rgb="FFFFFFF2"/>
        <bgColor rgb="FFFFFFFF"/>
      </patternFill>
    </fill>
    <fill>
      <patternFill patternType="solid">
        <fgColor rgb="FFDFDF00"/>
        <bgColor rgb="FFFFC000"/>
      </patternFill>
    </fill>
    <fill>
      <patternFill patternType="solid">
        <fgColor rgb="FFB1C0EB"/>
        <bgColor rgb="FFB5C6E8"/>
      </patternFill>
    </fill>
    <fill>
      <patternFill patternType="solid">
        <fgColor rgb="FF649DD7"/>
        <bgColor rgb="FF5C95D6"/>
      </patternFill>
    </fill>
    <fill>
      <patternFill patternType="solid">
        <fgColor rgb="FFD9D9D9"/>
        <bgColor rgb="FFDFDFE0"/>
      </patternFill>
    </fill>
    <fill>
      <patternFill patternType="solid">
        <fgColor rgb="FFB5C6E8"/>
        <bgColor rgb="FFB1C0EB"/>
      </patternFill>
    </fill>
    <fill>
      <patternFill patternType="solid">
        <fgColor rgb="FF5C95D6"/>
        <bgColor rgb="FF578FD5"/>
      </patternFill>
    </fill>
    <fill>
      <patternFill patternType="solid">
        <fgColor rgb="FFA1B3C9"/>
        <bgColor rgb="FF95B3D7"/>
      </patternFill>
    </fill>
    <fill>
      <patternFill patternType="solid">
        <fgColor rgb="FF94A2B5"/>
        <bgColor rgb="FFA2A3AE"/>
      </patternFill>
    </fill>
    <fill>
      <patternFill patternType="solid">
        <fgColor rgb="FFBFBF00"/>
        <bgColor rgb="FFDFDF00"/>
      </patternFill>
    </fill>
    <fill>
      <patternFill patternType="solid">
        <fgColor rgb="FFD99694"/>
        <bgColor rgb="FFBD9CA1"/>
      </patternFill>
    </fill>
    <fill>
      <patternFill patternType="solid">
        <fgColor rgb="FFB48384"/>
        <bgColor rgb="FFA0816E"/>
      </patternFill>
    </fill>
    <fill>
      <patternFill patternType="darkGray">
        <fgColor rgb="FF8EB7E5"/>
        <bgColor rgb="FF95B3D7"/>
      </patternFill>
    </fill>
    <fill>
      <patternFill patternType="solid">
        <fgColor rgb="FFF79646"/>
        <bgColor rgb="FFD8833E"/>
      </patternFill>
    </fill>
    <fill>
      <patternFill patternType="solid">
        <fgColor rgb="FF3D81C5"/>
        <bgColor rgb="FF2B79BB"/>
      </patternFill>
    </fill>
    <fill>
      <patternFill patternType="solid">
        <fgColor rgb="FF9E9E9F"/>
        <bgColor rgb="FF94A2B5"/>
      </patternFill>
    </fill>
    <fill>
      <patternFill patternType="solid">
        <fgColor rgb="FFB5B5CF"/>
        <bgColor rgb="FFBABAC7"/>
      </patternFill>
    </fill>
    <fill>
      <patternFill patternType="solid">
        <fgColor rgb="FFB8C1C4"/>
        <bgColor rgb="FFBFBFC0"/>
      </patternFill>
    </fill>
    <fill>
      <patternFill patternType="darkGray">
        <fgColor rgb="FF0B2B4B"/>
        <bgColor rgb="FF000000"/>
      </patternFill>
    </fill>
    <fill>
      <patternFill patternType="solid">
        <fgColor rgb="FFBDBDBE"/>
        <bgColor rgb="FFBFBFBF"/>
      </patternFill>
    </fill>
    <fill>
      <patternFill patternType="solid">
        <fgColor rgb="FFA2A3AE"/>
        <bgColor rgb="FFA6A6A7"/>
      </patternFill>
    </fill>
    <fill>
      <patternFill patternType="darkGray">
        <fgColor rgb="FFA0816E"/>
        <bgColor rgb="FFB48384"/>
      </patternFill>
    </fill>
    <fill>
      <patternFill patternType="solid">
        <fgColor rgb="FFBD9CA1"/>
        <bgColor rgb="FFB5A5A5"/>
      </patternFill>
    </fill>
    <fill>
      <patternFill patternType="solid">
        <fgColor rgb="FFDBCBE4"/>
        <bgColor rgb="FFE6D3DF"/>
      </patternFill>
    </fill>
    <fill>
      <patternFill patternType="solid">
        <fgColor rgb="FFB5A5A5"/>
        <bgColor rgb="FFA6A6A7"/>
      </patternFill>
    </fill>
    <fill>
      <patternFill patternType="solid">
        <fgColor rgb="FFE6D3DF"/>
        <bgColor rgb="FFD9D9D9"/>
      </patternFill>
    </fill>
    <fill>
      <patternFill patternType="mediumGray">
        <fgColor rgb="FF849DBF"/>
        <bgColor rgb="FF94A2B5"/>
      </patternFill>
    </fill>
    <fill>
      <patternFill patternType="solid">
        <fgColor rgb="FF578FD5"/>
        <bgColor rgb="FF568ED4"/>
      </patternFill>
    </fill>
    <fill>
      <patternFill patternType="darkGray">
        <fgColor rgb="FF849DBF"/>
        <bgColor rgb="FF799CC6"/>
      </patternFill>
    </fill>
    <fill>
      <patternFill patternType="solid">
        <fgColor rgb="FFD8833E"/>
        <bgColor rgb="FFF79646"/>
      </patternFill>
    </fill>
    <fill>
      <patternFill patternType="solid">
        <fgColor rgb="FFB97035"/>
        <bgColor rgb="FFD8833E"/>
      </patternFill>
    </fill>
    <fill>
      <patternFill patternType="solid">
        <fgColor rgb="FFBFBFC0"/>
        <bgColor rgb="FFBFBFBF"/>
      </patternFill>
    </fill>
    <fill>
      <patternFill patternType="darkGray">
        <fgColor rgb="FF2B79BB"/>
        <bgColor rgb="FF3D81C5"/>
      </patternFill>
    </fill>
    <fill>
      <patternFill patternType="solid">
        <fgColor rgb="FFBABAC7"/>
        <bgColor rgb="FFBDBDBE"/>
      </patternFill>
    </fill>
    <fill>
      <patternFill patternType="darkGray">
        <fgColor rgb="FFB8C1C4"/>
        <bgColor rgb="FFBFBFC0"/>
      </patternFill>
    </fill>
    <fill>
      <patternFill patternType="solid">
        <fgColor rgb="FF799CC6"/>
        <bgColor rgb="FF849DBF"/>
      </patternFill>
    </fill>
    <fill>
      <patternFill patternType="solid">
        <fgColor rgb="FF95B3D7"/>
        <bgColor rgb="FF8EB7E5"/>
      </patternFill>
    </fill>
    <fill>
      <patternFill patternType="solid">
        <fgColor rgb="FF00B7F7"/>
        <bgColor rgb="FF3D81C5"/>
      </patternFill>
    </fill>
    <fill>
      <patternFill patternType="solid">
        <fgColor rgb="FFE6B9B8"/>
        <bgColor rgb="FFD3C0C0"/>
      </patternFill>
    </fill>
    <fill>
      <patternFill patternType="solid">
        <fgColor rgb="FFE4E6EC"/>
        <bgColor rgb="FFDFDFE0"/>
      </patternFill>
    </fill>
    <fill>
      <patternFill patternType="mediumGray">
        <fgColor rgb="FFA2A3AE"/>
        <bgColor rgb="FF9E9E9F"/>
      </patternFill>
    </fill>
    <fill>
      <patternFill patternType="solid">
        <fgColor rgb="FFFFC000"/>
        <bgColor rgb="FFDFDF00"/>
      </patternFill>
    </fill>
    <fill>
      <patternFill patternType="solid">
        <fgColor rgb="FFA8D08D"/>
        <bgColor rgb="FFB8C1C4"/>
      </patternFill>
    </fill>
    <fill>
      <patternFill patternType="solid">
        <fgColor rgb="FFFFD966"/>
        <bgColor rgb="FFDFDF00"/>
      </patternFill>
    </fill>
    <fill>
      <patternFill patternType="solid">
        <fgColor rgb="FFE4E6EC"/>
        <bgColor rgb="FFDFDFE0"/>
      </patternFill>
    </fill>
    <fill>
      <patternFill patternType="solid">
        <fgColor theme="0"/>
        <bgColor indexed="64"/>
      </patternFill>
    </fill>
    <fill>
      <patternFill patternType="lightGray">
        <fgColor rgb="FFDFDF00"/>
        <bgColor rgb="FFBFBF00"/>
      </patternFill>
    </fill>
  </fills>
  <borders count="8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2B79BB"/>
      </left>
      <right style="thin">
        <color rgb="FF2B79BB"/>
      </right>
      <top/>
      <bottom style="thin">
        <color rgb="FF2B79BB"/>
      </bottom>
      <diagonal/>
    </border>
    <border>
      <left style="thin">
        <color rgb="FF2B79BB"/>
      </left>
      <right style="thin">
        <color rgb="FF2B79BB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rgb="FF95B3D7"/>
      </bottom>
      <diagonal/>
    </border>
  </borders>
  <cellStyleXfs count="7">
    <xf numFmtId="0" fontId="0" fillId="0" borderId="0"/>
    <xf numFmtId="169" fontId="33" fillId="0" borderId="0"/>
    <xf numFmtId="167" fontId="33" fillId="0" borderId="0"/>
    <xf numFmtId="165" fontId="33" fillId="0" borderId="0"/>
    <xf numFmtId="0" fontId="2" fillId="0" borderId="0" applyBorder="0" applyProtection="0"/>
    <xf numFmtId="179" fontId="33" fillId="0" borderId="0" applyBorder="0" applyProtection="0"/>
    <xf numFmtId="164" fontId="33" fillId="0" borderId="0" applyFont="0" applyFill="0" applyBorder="0" applyAlignment="0" applyProtection="0"/>
  </cellStyleXfs>
  <cellXfs count="1127">
    <xf numFmtId="0" fontId="0" fillId="0" borderId="0" xfId="0"/>
    <xf numFmtId="0" fontId="0" fillId="2" borderId="0" xfId="0" applyFill="1" applyProtection="1"/>
    <xf numFmtId="0" fontId="1" fillId="2" borderId="0" xfId="0" applyFont="1" applyFill="1" applyBorder="1" applyAlignment="1" applyProtection="1">
      <alignment horizontal="center" vertical="center"/>
    </xf>
    <xf numFmtId="0" fontId="0" fillId="0" borderId="0" xfId="0" applyFont="1" applyProtection="1"/>
    <xf numFmtId="0" fontId="1" fillId="0" borderId="0" xfId="0" applyFont="1" applyBorder="1" applyAlignment="1" applyProtection="1">
      <alignment horizontal="center" vertical="center"/>
    </xf>
    <xf numFmtId="0" fontId="2" fillId="0" borderId="0" xfId="4" applyFont="1" applyBorder="1" applyAlignment="1" applyProtection="1">
      <alignment vertical="center"/>
    </xf>
    <xf numFmtId="0" fontId="2" fillId="0" borderId="0" xfId="4" applyBorder="1" applyAlignment="1" applyProtection="1">
      <alignment vertical="center"/>
    </xf>
    <xf numFmtId="0" fontId="0" fillId="0" borderId="0" xfId="0" applyFont="1"/>
    <xf numFmtId="0" fontId="2" fillId="3" borderId="0" xfId="4" applyFont="1" applyFill="1" applyBorder="1" applyAlignment="1" applyProtection="1">
      <alignment vertical="center"/>
    </xf>
    <xf numFmtId="0" fontId="2" fillId="3" borderId="0" xfId="4" applyFill="1" applyBorder="1" applyAlignment="1" applyProtection="1">
      <alignment vertical="center"/>
    </xf>
    <xf numFmtId="0" fontId="2" fillId="0" borderId="0" xfId="4" applyBorder="1" applyAlignment="1" applyProtection="1"/>
    <xf numFmtId="0" fontId="2" fillId="0" borderId="0" xfId="4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2" fillId="0" borderId="0" xfId="4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2" fillId="3" borderId="0" xfId="4" applyFont="1" applyFill="1" applyBorder="1" applyAlignment="1" applyProtection="1">
      <alignment horizontal="left" vertical="center"/>
    </xf>
    <xf numFmtId="0" fontId="2" fillId="3" borderId="0" xfId="4" applyFill="1" applyBorder="1" applyAlignment="1" applyProtection="1">
      <alignment horizontal="left" vertical="center"/>
    </xf>
    <xf numFmtId="0" fontId="2" fillId="0" borderId="0" xfId="4" applyBorder="1" applyAlignment="1" applyProtection="1">
      <alignment horizontal="left"/>
    </xf>
    <xf numFmtId="0" fontId="0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65" fontId="4" fillId="0" borderId="0" xfId="3" applyFont="1" applyBorder="1" applyAlignment="1" applyProtection="1">
      <alignment vertical="center"/>
    </xf>
    <xf numFmtId="165" fontId="0" fillId="0" borderId="0" xfId="3" applyFont="1" applyProtection="1"/>
    <xf numFmtId="0" fontId="1" fillId="0" borderId="0" xfId="0" applyFont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center" indent="4"/>
    </xf>
    <xf numFmtId="0" fontId="1" fillId="0" borderId="3" xfId="0" applyFont="1" applyBorder="1" applyAlignment="1" applyProtection="1">
      <alignment vertical="center"/>
    </xf>
    <xf numFmtId="165" fontId="1" fillId="0" borderId="0" xfId="3" applyFont="1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</xf>
    <xf numFmtId="166" fontId="7" fillId="6" borderId="2" xfId="0" applyNumberFormat="1" applyFont="1" applyFill="1" applyBorder="1" applyAlignment="1" applyProtection="1">
      <alignment horizontal="center" vertical="center" wrapText="1"/>
    </xf>
    <xf numFmtId="166" fontId="7" fillId="6" borderId="5" xfId="0" applyNumberFormat="1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 wrapText="1"/>
    </xf>
    <xf numFmtId="0" fontId="7" fillId="7" borderId="2" xfId="0" applyFont="1" applyFill="1" applyBorder="1" applyAlignment="1" applyProtection="1">
      <alignment horizontal="center" vertical="center" wrapText="1"/>
    </xf>
    <xf numFmtId="0" fontId="7" fillId="7" borderId="6" xfId="0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left" vertical="center"/>
    </xf>
    <xf numFmtId="166" fontId="0" fillId="8" borderId="2" xfId="2" applyNumberFormat="1" applyFont="1" applyFill="1" applyBorder="1" applyAlignment="1" applyProtection="1">
      <alignment vertical="center"/>
    </xf>
    <xf numFmtId="166" fontId="0" fillId="8" borderId="4" xfId="2" applyNumberFormat="1" applyFont="1" applyFill="1" applyBorder="1" applyAlignment="1" applyProtection="1">
      <alignment vertical="center"/>
    </xf>
    <xf numFmtId="166" fontId="1" fillId="8" borderId="7" xfId="2" applyNumberFormat="1" applyFont="1" applyFill="1" applyBorder="1" applyAlignment="1" applyProtection="1">
      <alignment vertical="center"/>
    </xf>
    <xf numFmtId="166" fontId="0" fillId="9" borderId="2" xfId="2" applyNumberFormat="1" applyFont="1" applyFill="1" applyBorder="1" applyAlignment="1" applyProtection="1">
      <alignment vertical="center"/>
    </xf>
    <xf numFmtId="166" fontId="0" fillId="9" borderId="6" xfId="2" applyNumberFormat="1" applyFont="1" applyFill="1" applyBorder="1" applyAlignment="1" applyProtection="1">
      <alignment vertical="center"/>
    </xf>
    <xf numFmtId="166" fontId="1" fillId="9" borderId="2" xfId="2" applyNumberFormat="1" applyFont="1" applyFill="1" applyBorder="1" applyAlignment="1" applyProtection="1">
      <alignment vertical="center"/>
    </xf>
    <xf numFmtId="166" fontId="1" fillId="0" borderId="2" xfId="2" applyNumberFormat="1" applyFont="1" applyBorder="1" applyAlignment="1" applyProtection="1">
      <alignment vertical="center"/>
    </xf>
    <xf numFmtId="166" fontId="1" fillId="3" borderId="0" xfId="2" applyNumberFormat="1" applyFont="1" applyFill="1" applyBorder="1" applyAlignment="1" applyProtection="1">
      <alignment vertical="center"/>
    </xf>
    <xf numFmtId="165" fontId="33" fillId="0" borderId="2" xfId="3" applyBorder="1" applyAlignment="1" applyProtection="1">
      <alignment horizontal="center" vertical="center"/>
    </xf>
    <xf numFmtId="165" fontId="8" fillId="0" borderId="0" xfId="3" applyFont="1" applyBorder="1" applyAlignment="1" applyProtection="1">
      <alignment horizontal="center" vertical="center"/>
    </xf>
    <xf numFmtId="166" fontId="0" fillId="9" borderId="5" xfId="2" applyNumberFormat="1" applyFont="1" applyFill="1" applyBorder="1" applyAlignment="1" applyProtection="1">
      <alignment vertical="center"/>
    </xf>
    <xf numFmtId="166" fontId="0" fillId="0" borderId="0" xfId="0" applyNumberFormat="1" applyFont="1" applyAlignment="1" applyProtection="1">
      <alignment vertical="center"/>
    </xf>
    <xf numFmtId="166" fontId="0" fillId="10" borderId="2" xfId="2" applyNumberFormat="1" applyFont="1" applyFill="1" applyBorder="1" applyAlignment="1" applyProtection="1">
      <alignment vertical="center"/>
    </xf>
    <xf numFmtId="166" fontId="0" fillId="10" borderId="4" xfId="2" applyNumberFormat="1" applyFont="1" applyFill="1" applyBorder="1" applyAlignment="1" applyProtection="1">
      <alignment vertical="center"/>
    </xf>
    <xf numFmtId="166" fontId="1" fillId="10" borderId="7" xfId="2" applyNumberFormat="1" applyFont="1" applyFill="1" applyBorder="1" applyAlignment="1" applyProtection="1">
      <alignment vertical="center"/>
    </xf>
    <xf numFmtId="166" fontId="0" fillId="11" borderId="5" xfId="2" applyNumberFormat="1" applyFont="1" applyFill="1" applyBorder="1" applyAlignment="1" applyProtection="1">
      <alignment vertical="center"/>
    </xf>
    <xf numFmtId="166" fontId="1" fillId="11" borderId="2" xfId="2" applyNumberFormat="1" applyFont="1" applyFill="1" applyBorder="1" applyAlignment="1" applyProtection="1">
      <alignment vertical="center"/>
    </xf>
    <xf numFmtId="166" fontId="1" fillId="12" borderId="2" xfId="2" applyNumberFormat="1" applyFont="1" applyFill="1" applyBorder="1" applyAlignment="1" applyProtection="1">
      <alignment vertical="center"/>
    </xf>
    <xf numFmtId="165" fontId="33" fillId="0" borderId="0" xfId="3" applyBorder="1" applyAlignment="1" applyProtection="1">
      <alignment horizontal="center" vertical="center"/>
    </xf>
    <xf numFmtId="166" fontId="0" fillId="8" borderId="5" xfId="2" applyNumberFormat="1" applyFont="1" applyFill="1" applyBorder="1" applyAlignment="1" applyProtection="1">
      <alignment vertical="center"/>
    </xf>
    <xf numFmtId="166" fontId="1" fillId="8" borderId="2" xfId="2" applyNumberFormat="1" applyFont="1" applyFill="1" applyBorder="1" applyAlignment="1" applyProtection="1">
      <alignment vertical="center"/>
    </xf>
    <xf numFmtId="166" fontId="1" fillId="8" borderId="3" xfId="2" applyNumberFormat="1" applyFont="1" applyFill="1" applyBorder="1" applyAlignment="1" applyProtection="1">
      <alignment vertical="center"/>
    </xf>
    <xf numFmtId="166" fontId="1" fillId="9" borderId="8" xfId="2" applyNumberFormat="1" applyFont="1" applyFill="1" applyBorder="1" applyAlignment="1" applyProtection="1">
      <alignment vertical="center"/>
    </xf>
    <xf numFmtId="166" fontId="1" fillId="0" borderId="8" xfId="2" applyNumberFormat="1" applyFont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166" fontId="9" fillId="5" borderId="2" xfId="2" applyNumberFormat="1" applyFont="1" applyFill="1" applyBorder="1" applyAlignment="1" applyProtection="1">
      <alignment vertical="center"/>
    </xf>
    <xf numFmtId="166" fontId="9" fillId="5" borderId="6" xfId="2" applyNumberFormat="1" applyFont="1" applyFill="1" applyBorder="1" applyAlignment="1" applyProtection="1">
      <alignment vertical="center"/>
    </xf>
    <xf numFmtId="166" fontId="1" fillId="0" borderId="0" xfId="0" applyNumberFormat="1" applyFont="1" applyAlignment="1" applyProtection="1">
      <alignment vertical="center"/>
    </xf>
    <xf numFmtId="165" fontId="1" fillId="5" borderId="2" xfId="3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left" vertical="center"/>
    </xf>
    <xf numFmtId="167" fontId="1" fillId="0" borderId="0" xfId="2" applyFont="1" applyBorder="1" applyAlignment="1" applyProtection="1">
      <alignment vertical="center"/>
    </xf>
    <xf numFmtId="168" fontId="1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6" fontId="1" fillId="14" borderId="17" xfId="0" applyNumberFormat="1" applyFont="1" applyFill="1" applyBorder="1" applyAlignment="1" applyProtection="1">
      <alignment horizontal="center" vertical="center" wrapText="1"/>
    </xf>
    <xf numFmtId="166" fontId="1" fillId="14" borderId="5" xfId="0" applyNumberFormat="1" applyFont="1" applyFill="1" applyBorder="1" applyAlignment="1" applyProtection="1">
      <alignment horizontal="center" vertical="center" wrapText="1"/>
    </xf>
    <xf numFmtId="166" fontId="1" fillId="14" borderId="18" xfId="0" applyNumberFormat="1" applyFont="1" applyFill="1" applyBorder="1" applyAlignment="1" applyProtection="1">
      <alignment horizontal="center" vertical="center" wrapText="1"/>
    </xf>
    <xf numFmtId="166" fontId="1" fillId="14" borderId="19" xfId="0" applyNumberFormat="1" applyFont="1" applyFill="1" applyBorder="1" applyAlignment="1" applyProtection="1">
      <alignment horizontal="center" vertical="center" wrapText="1"/>
    </xf>
    <xf numFmtId="166" fontId="0" fillId="0" borderId="22" xfId="0" applyNumberFormat="1" applyFont="1" applyBorder="1" applyAlignment="1" applyProtection="1">
      <alignment vertical="center"/>
    </xf>
    <xf numFmtId="166" fontId="0" fillId="0" borderId="20" xfId="2" applyNumberFormat="1" applyFont="1" applyBorder="1" applyAlignment="1" applyProtection="1">
      <alignment vertical="center"/>
    </xf>
    <xf numFmtId="166" fontId="0" fillId="0" borderId="21" xfId="2" applyNumberFormat="1" applyFont="1" applyBorder="1" applyAlignment="1" applyProtection="1">
      <alignment vertical="center"/>
    </xf>
    <xf numFmtId="166" fontId="0" fillId="0" borderId="22" xfId="2" applyNumberFormat="1" applyFont="1" applyBorder="1" applyAlignment="1" applyProtection="1">
      <alignment vertical="center"/>
    </xf>
    <xf numFmtId="166" fontId="0" fillId="0" borderId="23" xfId="2" applyNumberFormat="1" applyFont="1" applyBorder="1" applyAlignment="1" applyProtection="1">
      <alignment vertical="center"/>
    </xf>
    <xf numFmtId="166" fontId="0" fillId="12" borderId="24" xfId="2" applyNumberFormat="1" applyFont="1" applyFill="1" applyBorder="1" applyAlignment="1" applyProtection="1">
      <alignment horizontal="right" vertical="center"/>
    </xf>
    <xf numFmtId="166" fontId="0" fillId="12" borderId="21" xfId="2" applyNumberFormat="1" applyFont="1" applyFill="1" applyBorder="1" applyAlignment="1" applyProtection="1">
      <alignment horizontal="right" vertical="center"/>
    </xf>
    <xf numFmtId="166" fontId="0" fillId="3" borderId="21" xfId="2" applyNumberFormat="1" applyFont="1" applyFill="1" applyBorder="1" applyAlignment="1" applyProtection="1">
      <alignment vertical="center"/>
    </xf>
    <xf numFmtId="166" fontId="0" fillId="0" borderId="4" xfId="0" applyNumberFormat="1" applyFont="1" applyBorder="1" applyAlignment="1" applyProtection="1">
      <alignment vertical="center"/>
    </xf>
    <xf numFmtId="170" fontId="0" fillId="0" borderId="25" xfId="1" applyNumberFormat="1" applyFont="1" applyBorder="1" applyAlignment="1" applyProtection="1">
      <alignment vertical="center"/>
    </xf>
    <xf numFmtId="170" fontId="0" fillId="0" borderId="2" xfId="1" applyNumberFormat="1" applyFont="1" applyBorder="1" applyAlignment="1" applyProtection="1">
      <alignment vertical="center"/>
    </xf>
    <xf numFmtId="170" fontId="0" fillId="0" borderId="26" xfId="1" applyNumberFormat="1" applyFont="1" applyBorder="1" applyAlignment="1" applyProtection="1">
      <alignment vertical="center"/>
    </xf>
    <xf numFmtId="166" fontId="0" fillId="12" borderId="6" xfId="2" applyNumberFormat="1" applyFont="1" applyFill="1" applyBorder="1" applyAlignment="1" applyProtection="1">
      <alignment horizontal="right" vertical="center"/>
    </xf>
    <xf numFmtId="166" fontId="0" fillId="12" borderId="2" xfId="2" applyNumberFormat="1" applyFont="1" applyFill="1" applyBorder="1" applyAlignment="1" applyProtection="1">
      <alignment horizontal="right" vertical="center"/>
    </xf>
    <xf numFmtId="170" fontId="0" fillId="4" borderId="2" xfId="1" applyNumberFormat="1" applyFont="1" applyFill="1" applyBorder="1" applyAlignment="1" applyProtection="1">
      <alignment vertical="center"/>
      <protection locked="0"/>
    </xf>
    <xf numFmtId="166" fontId="1" fillId="15" borderId="4" xfId="0" applyNumberFormat="1" applyFont="1" applyFill="1" applyBorder="1" applyAlignment="1" applyProtection="1">
      <alignment vertical="center"/>
    </xf>
    <xf numFmtId="166" fontId="1" fillId="15" borderId="25" xfId="2" applyNumberFormat="1" applyFont="1" applyFill="1" applyBorder="1" applyAlignment="1" applyProtection="1">
      <alignment vertical="center"/>
    </xf>
    <xf numFmtId="166" fontId="1" fillId="15" borderId="2" xfId="2" applyNumberFormat="1" applyFont="1" applyFill="1" applyBorder="1" applyAlignment="1" applyProtection="1">
      <alignment vertical="center"/>
    </xf>
    <xf numFmtId="166" fontId="1" fillId="15" borderId="26" xfId="2" applyNumberFormat="1" applyFont="1" applyFill="1" applyBorder="1" applyAlignment="1" applyProtection="1">
      <alignment vertical="center"/>
    </xf>
    <xf numFmtId="166" fontId="1" fillId="15" borderId="6" xfId="2" applyNumberFormat="1" applyFont="1" applyFill="1" applyBorder="1" applyAlignment="1" applyProtection="1">
      <alignment horizontal="right" vertical="center"/>
    </xf>
    <xf numFmtId="166" fontId="1" fillId="15" borderId="2" xfId="2" applyNumberFormat="1" applyFont="1" applyFill="1" applyBorder="1" applyAlignment="1" applyProtection="1">
      <alignment horizontal="right" vertical="center"/>
    </xf>
    <xf numFmtId="166" fontId="1" fillId="15" borderId="26" xfId="2" applyNumberFormat="1" applyFont="1" applyFill="1" applyBorder="1" applyAlignment="1" applyProtection="1">
      <alignment horizontal="right" vertical="center"/>
    </xf>
    <xf numFmtId="166" fontId="0" fillId="0" borderId="25" xfId="2" applyNumberFormat="1" applyFont="1" applyBorder="1" applyAlignment="1" applyProtection="1">
      <alignment vertical="center"/>
    </xf>
    <xf numFmtId="166" fontId="0" fillId="0" borderId="2" xfId="2" applyNumberFormat="1" applyFont="1" applyBorder="1" applyAlignment="1" applyProtection="1">
      <alignment vertical="center"/>
    </xf>
    <xf numFmtId="166" fontId="0" fillId="0" borderId="26" xfId="2" applyNumberFormat="1" applyFont="1" applyBorder="1" applyAlignment="1" applyProtection="1">
      <alignment vertical="center"/>
    </xf>
    <xf numFmtId="166" fontId="0" fillId="3" borderId="2" xfId="2" applyNumberFormat="1" applyFont="1" applyFill="1" applyBorder="1" applyAlignment="1" applyProtection="1">
      <alignment vertical="center"/>
    </xf>
    <xf numFmtId="166" fontId="9" fillId="14" borderId="25" xfId="2" applyNumberFormat="1" applyFont="1" applyFill="1" applyBorder="1" applyAlignment="1" applyProtection="1">
      <alignment vertical="center" wrapText="1"/>
    </xf>
    <xf numFmtId="166" fontId="9" fillId="14" borderId="2" xfId="2" applyNumberFormat="1" applyFont="1" applyFill="1" applyBorder="1" applyAlignment="1" applyProtection="1">
      <alignment vertical="center" wrapText="1"/>
    </xf>
    <xf numFmtId="166" fontId="9" fillId="14" borderId="26" xfId="2" applyNumberFormat="1" applyFont="1" applyFill="1" applyBorder="1" applyAlignment="1" applyProtection="1">
      <alignment vertical="center" wrapText="1"/>
    </xf>
    <xf numFmtId="166" fontId="9" fillId="14" borderId="6" xfId="2" applyNumberFormat="1" applyFont="1" applyFill="1" applyBorder="1" applyAlignment="1" applyProtection="1">
      <alignment vertical="center" wrapText="1"/>
    </xf>
    <xf numFmtId="166" fontId="0" fillId="12" borderId="25" xfId="2" applyNumberFormat="1" applyFont="1" applyFill="1" applyBorder="1" applyAlignment="1" applyProtection="1">
      <alignment vertical="center"/>
    </xf>
    <xf numFmtId="166" fontId="0" fillId="12" borderId="2" xfId="2" applyNumberFormat="1" applyFont="1" applyFill="1" applyBorder="1" applyAlignment="1" applyProtection="1">
      <alignment vertical="center"/>
    </xf>
    <xf numFmtId="166" fontId="0" fillId="12" borderId="26" xfId="2" applyNumberFormat="1" applyFont="1" applyFill="1" applyBorder="1" applyAlignment="1" applyProtection="1">
      <alignment vertical="center"/>
    </xf>
    <xf numFmtId="170" fontId="0" fillId="12" borderId="25" xfId="1" applyNumberFormat="1" applyFont="1" applyFill="1" applyBorder="1" applyAlignment="1" applyProtection="1">
      <alignment vertical="center"/>
    </xf>
    <xf numFmtId="170" fontId="0" fillId="12" borderId="2" xfId="1" applyNumberFormat="1" applyFont="1" applyFill="1" applyBorder="1" applyAlignment="1" applyProtection="1">
      <alignment vertical="center"/>
    </xf>
    <xf numFmtId="170" fontId="0" fillId="12" borderId="26" xfId="1" applyNumberFormat="1" applyFont="1" applyFill="1" applyBorder="1" applyAlignment="1" applyProtection="1">
      <alignment vertical="center"/>
    </xf>
    <xf numFmtId="170" fontId="0" fillId="17" borderId="2" xfId="1" applyNumberFormat="1" applyFont="1" applyFill="1" applyBorder="1" applyAlignment="1" applyProtection="1">
      <alignment vertical="center"/>
      <protection locked="0"/>
    </xf>
    <xf numFmtId="166" fontId="1" fillId="18" borderId="25" xfId="2" applyNumberFormat="1" applyFont="1" applyFill="1" applyBorder="1" applyAlignment="1" applyProtection="1">
      <alignment vertical="center"/>
    </xf>
    <xf numFmtId="166" fontId="1" fillId="18" borderId="2" xfId="2" applyNumberFormat="1" applyFont="1" applyFill="1" applyBorder="1" applyAlignment="1" applyProtection="1">
      <alignment vertical="center"/>
    </xf>
    <xf numFmtId="166" fontId="1" fillId="18" borderId="26" xfId="2" applyNumberFormat="1" applyFont="1" applyFill="1" applyBorder="1" applyAlignment="1" applyProtection="1">
      <alignment vertical="center"/>
    </xf>
    <xf numFmtId="166" fontId="1" fillId="18" borderId="6" xfId="2" applyNumberFormat="1" applyFont="1" applyFill="1" applyBorder="1" applyAlignment="1" applyProtection="1">
      <alignment horizontal="right" vertical="center"/>
    </xf>
    <xf numFmtId="166" fontId="1" fillId="18" borderId="2" xfId="2" applyNumberFormat="1" applyFont="1" applyFill="1" applyBorder="1" applyAlignment="1" applyProtection="1">
      <alignment horizontal="right" vertical="center"/>
    </xf>
    <xf numFmtId="166" fontId="1" fillId="18" borderId="26" xfId="2" applyNumberFormat="1" applyFont="1" applyFill="1" applyBorder="1" applyAlignment="1" applyProtection="1">
      <alignment horizontal="right" vertical="center"/>
    </xf>
    <xf numFmtId="166" fontId="9" fillId="19" borderId="27" xfId="2" applyNumberFormat="1" applyFont="1" applyFill="1" applyBorder="1" applyAlignment="1" applyProtection="1">
      <alignment vertical="center" wrapText="1"/>
    </xf>
    <xf numFmtId="166" fontId="9" fillId="19" borderId="29" xfId="2" applyNumberFormat="1" applyFont="1" applyFill="1" applyBorder="1" applyAlignment="1" applyProtection="1">
      <alignment vertical="center" wrapText="1"/>
    </xf>
    <xf numFmtId="166" fontId="9" fillId="19" borderId="30" xfId="2" applyNumberFormat="1" applyFont="1" applyFill="1" applyBorder="1" applyAlignment="1" applyProtection="1">
      <alignment vertical="center" wrapText="1"/>
    </xf>
    <xf numFmtId="166" fontId="9" fillId="19" borderId="31" xfId="2" applyNumberFormat="1" applyFont="1" applyFill="1" applyBorder="1" applyAlignment="1" applyProtection="1">
      <alignment vertical="center" wrapText="1"/>
    </xf>
    <xf numFmtId="166" fontId="0" fillId="0" borderId="33" xfId="0" applyNumberFormat="1" applyFont="1" applyBorder="1" applyAlignment="1" applyProtection="1">
      <alignment vertical="center"/>
    </xf>
    <xf numFmtId="166" fontId="0" fillId="12" borderId="36" xfId="2" applyNumberFormat="1" applyFont="1" applyFill="1" applyBorder="1" applyAlignment="1" applyProtection="1">
      <alignment horizontal="right" vertical="center"/>
    </xf>
    <xf numFmtId="166" fontId="0" fillId="12" borderId="8" xfId="2" applyNumberFormat="1" applyFont="1" applyFill="1" applyBorder="1" applyAlignment="1" applyProtection="1">
      <alignment horizontal="right" vertical="center"/>
    </xf>
    <xf numFmtId="166" fontId="0" fillId="12" borderId="8" xfId="2" applyNumberFormat="1" applyFont="1" applyFill="1" applyBorder="1" applyAlignment="1" applyProtection="1">
      <alignment vertical="center"/>
    </xf>
    <xf numFmtId="166" fontId="1" fillId="21" borderId="2" xfId="2" applyNumberFormat="1" applyFont="1" applyFill="1" applyBorder="1" applyAlignment="1" applyProtection="1">
      <alignment vertical="center"/>
    </xf>
    <xf numFmtId="166" fontId="9" fillId="14" borderId="27" xfId="2" applyNumberFormat="1" applyFont="1" applyFill="1" applyBorder="1" applyAlignment="1" applyProtection="1">
      <alignment vertical="center" wrapText="1"/>
    </xf>
    <xf numFmtId="166" fontId="9" fillId="14" borderId="29" xfId="2" applyNumberFormat="1" applyFont="1" applyFill="1" applyBorder="1" applyAlignment="1" applyProtection="1">
      <alignment vertical="center" wrapText="1"/>
    </xf>
    <xf numFmtId="166" fontId="9" fillId="14" borderId="30" xfId="2" applyNumberFormat="1" applyFont="1" applyFill="1" applyBorder="1" applyAlignment="1" applyProtection="1">
      <alignment vertical="center" wrapText="1"/>
    </xf>
    <xf numFmtId="166" fontId="9" fillId="14" borderId="37" xfId="2" applyNumberFormat="1" applyFont="1" applyFill="1" applyBorder="1" applyAlignment="1" applyProtection="1">
      <alignment vertical="center" wrapText="1"/>
    </xf>
    <xf numFmtId="166" fontId="9" fillId="14" borderId="5" xfId="2" applyNumberFormat="1" applyFont="1" applyFill="1" applyBorder="1" applyAlignment="1" applyProtection="1">
      <alignment vertical="center" wrapText="1"/>
    </xf>
    <xf numFmtId="166" fontId="9" fillId="22" borderId="5" xfId="2" applyNumberFormat="1" applyFont="1" applyFill="1" applyBorder="1" applyAlignment="1" applyProtection="1">
      <alignment vertical="center" wrapText="1"/>
    </xf>
    <xf numFmtId="166" fontId="9" fillId="14" borderId="19" xfId="2" applyNumberFormat="1" applyFont="1" applyFill="1" applyBorder="1" applyAlignment="1" applyProtection="1">
      <alignment vertical="center" wrapText="1"/>
    </xf>
    <xf numFmtId="166" fontId="0" fillId="12" borderId="21" xfId="2" applyNumberFormat="1" applyFont="1" applyFill="1" applyBorder="1" applyAlignment="1" applyProtection="1">
      <alignment vertical="center"/>
    </xf>
    <xf numFmtId="166" fontId="1" fillId="21" borderId="6" xfId="2" applyNumberFormat="1" applyFont="1" applyFill="1" applyBorder="1" applyAlignment="1" applyProtection="1">
      <alignment horizontal="right" vertical="center"/>
    </xf>
    <xf numFmtId="166" fontId="9" fillId="22" borderId="27" xfId="2" applyNumberFormat="1" applyFont="1" applyFill="1" applyBorder="1" applyAlignment="1" applyProtection="1">
      <alignment vertical="center" wrapText="1"/>
    </xf>
    <xf numFmtId="166" fontId="9" fillId="14" borderId="40" xfId="2" applyNumberFormat="1" applyFont="1" applyFill="1" applyBorder="1" applyAlignment="1" applyProtection="1">
      <alignment vertical="center" wrapText="1"/>
    </xf>
    <xf numFmtId="166" fontId="9" fillId="14" borderId="41" xfId="2" applyNumberFormat="1" applyFont="1" applyFill="1" applyBorder="1" applyAlignment="1" applyProtection="1">
      <alignment vertical="center" wrapText="1"/>
    </xf>
    <xf numFmtId="166" fontId="9" fillId="14" borderId="42" xfId="2" applyNumberFormat="1" applyFont="1" applyFill="1" applyBorder="1" applyAlignment="1" applyProtection="1">
      <alignment vertical="center" wrapText="1"/>
    </xf>
    <xf numFmtId="166" fontId="9" fillId="14" borderId="43" xfId="2" applyNumberFormat="1" applyFont="1" applyFill="1" applyBorder="1" applyAlignment="1" applyProtection="1">
      <alignment vertical="center" wrapText="1"/>
    </xf>
    <xf numFmtId="166" fontId="9" fillId="14" borderId="44" xfId="2" applyNumberFormat="1" applyFont="1" applyFill="1" applyBorder="1" applyAlignment="1" applyProtection="1">
      <alignment vertical="center" wrapText="1"/>
    </xf>
    <xf numFmtId="0" fontId="0" fillId="0" borderId="0" xfId="0" applyFont="1" applyBorder="1" applyProtection="1"/>
    <xf numFmtId="1" fontId="0" fillId="0" borderId="0" xfId="3" applyNumberFormat="1" applyFont="1" applyProtection="1"/>
    <xf numFmtId="166" fontId="1" fillId="0" borderId="0" xfId="0" applyNumberFormat="1" applyFont="1" applyBorder="1" applyAlignment="1" applyProtection="1">
      <alignment horizontal="center" vertical="center" wrapText="1"/>
    </xf>
    <xf numFmtId="166" fontId="1" fillId="5" borderId="10" xfId="0" applyNumberFormat="1" applyFont="1" applyFill="1" applyBorder="1" applyAlignment="1" applyProtection="1">
      <alignment horizontal="center" vertical="center" wrapText="1"/>
    </xf>
    <xf numFmtId="166" fontId="1" fillId="5" borderId="14" xfId="0" applyNumberFormat="1" applyFont="1" applyFill="1" applyBorder="1" applyAlignment="1" applyProtection="1">
      <alignment horizontal="center" vertical="center" wrapText="1"/>
    </xf>
    <xf numFmtId="166" fontId="1" fillId="5" borderId="15" xfId="0" applyNumberFormat="1" applyFont="1" applyFill="1" applyBorder="1" applyAlignment="1" applyProtection="1">
      <alignment horizontal="center" vertical="center" wrapText="1"/>
    </xf>
    <xf numFmtId="166" fontId="1" fillId="14" borderId="37" xfId="0" applyNumberFormat="1" applyFont="1" applyFill="1" applyBorder="1" applyAlignment="1" applyProtection="1">
      <alignment horizontal="center" vertical="center" wrapText="1"/>
    </xf>
    <xf numFmtId="0" fontId="0" fillId="15" borderId="23" xfId="0" applyFont="1" applyFill="1" applyBorder="1" applyAlignment="1" applyProtection="1">
      <alignment horizontal="left" vertical="center"/>
    </xf>
    <xf numFmtId="171" fontId="0" fillId="15" borderId="20" xfId="2" applyNumberFormat="1" applyFont="1" applyFill="1" applyBorder="1" applyAlignment="1" applyProtection="1">
      <alignment vertical="center"/>
    </xf>
    <xf numFmtId="171" fontId="0" fillId="15" borderId="21" xfId="2" applyNumberFormat="1" applyFont="1" applyFill="1" applyBorder="1" applyAlignment="1" applyProtection="1">
      <alignment vertical="center"/>
    </xf>
    <xf numFmtId="171" fontId="0" fillId="15" borderId="22" xfId="2" applyNumberFormat="1" applyFont="1" applyFill="1" applyBorder="1" applyAlignment="1" applyProtection="1">
      <alignment vertical="center"/>
    </xf>
    <xf numFmtId="172" fontId="0" fillId="4" borderId="20" xfId="2" applyNumberFormat="1" applyFont="1" applyFill="1" applyBorder="1" applyAlignment="1" applyProtection="1">
      <alignment horizontal="center" vertical="center"/>
      <protection locked="0"/>
    </xf>
    <xf numFmtId="172" fontId="0" fillId="15" borderId="21" xfId="2" applyNumberFormat="1" applyFont="1" applyFill="1" applyBorder="1" applyAlignment="1" applyProtection="1">
      <alignment horizontal="center" vertical="center"/>
    </xf>
    <xf numFmtId="172" fontId="0" fillId="15" borderId="23" xfId="2" applyNumberFormat="1" applyFont="1" applyFill="1" applyBorder="1" applyAlignment="1" applyProtection="1">
      <alignment horizontal="center" vertical="center"/>
    </xf>
    <xf numFmtId="171" fontId="0" fillId="8" borderId="24" xfId="2" applyNumberFormat="1" applyFont="1" applyFill="1" applyBorder="1" applyAlignment="1" applyProtection="1">
      <alignment vertical="center"/>
    </xf>
    <xf numFmtId="171" fontId="0" fillId="8" borderId="21" xfId="2" applyNumberFormat="1" applyFont="1" applyFill="1" applyBorder="1" applyAlignment="1" applyProtection="1">
      <alignment vertical="center"/>
    </xf>
    <xf numFmtId="171" fontId="0" fillId="8" borderId="23" xfId="2" applyNumberFormat="1" applyFont="1" applyFill="1" applyBorder="1" applyAlignment="1" applyProtection="1">
      <alignment vertical="center"/>
    </xf>
    <xf numFmtId="171" fontId="0" fillId="0" borderId="0" xfId="2" applyNumberFormat="1" applyFont="1" applyBorder="1" applyAlignment="1" applyProtection="1">
      <alignment vertical="center"/>
    </xf>
    <xf numFmtId="0" fontId="0" fillId="15" borderId="30" xfId="0" applyFont="1" applyFill="1" applyBorder="1" applyAlignment="1" applyProtection="1">
      <alignment horizontal="left" vertical="center"/>
    </xf>
    <xf numFmtId="171" fontId="0" fillId="15" borderId="27" xfId="2" applyNumberFormat="1" applyFont="1" applyFill="1" applyBorder="1" applyAlignment="1" applyProtection="1">
      <alignment vertical="center"/>
    </xf>
    <xf numFmtId="171" fontId="0" fillId="15" borderId="29" xfId="2" applyNumberFormat="1" applyFont="1" applyFill="1" applyBorder="1" applyAlignment="1" applyProtection="1">
      <alignment vertical="center"/>
    </xf>
    <xf numFmtId="171" fontId="0" fillId="15" borderId="28" xfId="2" applyNumberFormat="1" applyFont="1" applyFill="1" applyBorder="1" applyAlignment="1" applyProtection="1">
      <alignment vertical="center"/>
    </xf>
    <xf numFmtId="172" fontId="0" fillId="4" borderId="27" xfId="2" applyNumberFormat="1" applyFont="1" applyFill="1" applyBorder="1" applyAlignment="1" applyProtection="1">
      <alignment horizontal="center" vertical="center"/>
      <protection locked="0"/>
    </xf>
    <xf numFmtId="172" fontId="0" fillId="15" borderId="29" xfId="2" applyNumberFormat="1" applyFont="1" applyFill="1" applyBorder="1" applyAlignment="1" applyProtection="1">
      <alignment horizontal="center" vertical="center"/>
    </xf>
    <xf numFmtId="172" fontId="0" fillId="15" borderId="30" xfId="2" applyNumberFormat="1" applyFont="1" applyFill="1" applyBorder="1" applyAlignment="1" applyProtection="1">
      <alignment horizontal="center" vertical="center"/>
    </xf>
    <xf numFmtId="171" fontId="0" fillId="8" borderId="31" xfId="2" applyNumberFormat="1" applyFont="1" applyFill="1" applyBorder="1" applyAlignment="1" applyProtection="1">
      <alignment vertical="center"/>
    </xf>
    <xf numFmtId="171" fontId="0" fillId="8" borderId="29" xfId="2" applyNumberFormat="1" applyFont="1" applyFill="1" applyBorder="1" applyAlignment="1" applyProtection="1">
      <alignment vertical="center"/>
    </xf>
    <xf numFmtId="171" fontId="0" fillId="8" borderId="30" xfId="2" applyNumberFormat="1" applyFont="1" applyFill="1" applyBorder="1" applyAlignment="1" applyProtection="1">
      <alignment vertical="center"/>
    </xf>
    <xf numFmtId="171" fontId="0" fillId="8" borderId="36" xfId="2" applyNumberFormat="1" applyFont="1" applyFill="1" applyBorder="1" applyAlignment="1" applyProtection="1">
      <alignment vertical="center"/>
    </xf>
    <xf numFmtId="171" fontId="0" fillId="8" borderId="8" xfId="2" applyNumberFormat="1" applyFont="1" applyFill="1" applyBorder="1" applyAlignment="1" applyProtection="1">
      <alignment vertical="center"/>
    </xf>
    <xf numFmtId="171" fontId="0" fillId="8" borderId="35" xfId="2" applyNumberFormat="1" applyFont="1" applyFill="1" applyBorder="1" applyAlignment="1" applyProtection="1">
      <alignment vertical="center"/>
    </xf>
    <xf numFmtId="171" fontId="0" fillId="0" borderId="0" xfId="2" applyNumberFormat="1" applyFont="1" applyBorder="1" applyProtection="1"/>
    <xf numFmtId="171" fontId="0" fillId="15" borderId="17" xfId="2" applyNumberFormat="1" applyFont="1" applyFill="1" applyBorder="1" applyAlignment="1" applyProtection="1">
      <alignment vertical="center"/>
    </xf>
    <xf numFmtId="171" fontId="0" fillId="15" borderId="5" xfId="2" applyNumberFormat="1" applyFont="1" applyFill="1" applyBorder="1" applyAlignment="1" applyProtection="1">
      <alignment vertical="center"/>
    </xf>
    <xf numFmtId="171" fontId="0" fillId="15" borderId="18" xfId="2" applyNumberFormat="1" applyFont="1" applyFill="1" applyBorder="1" applyAlignment="1" applyProtection="1">
      <alignment vertical="center"/>
    </xf>
    <xf numFmtId="172" fontId="0" fillId="4" borderId="17" xfId="2" applyNumberFormat="1" applyFont="1" applyFill="1" applyBorder="1" applyAlignment="1" applyProtection="1">
      <alignment horizontal="center" vertical="center"/>
      <protection locked="0"/>
    </xf>
    <xf numFmtId="172" fontId="0" fillId="15" borderId="5" xfId="2" applyNumberFormat="1" applyFont="1" applyFill="1" applyBorder="1" applyAlignment="1" applyProtection="1">
      <alignment horizontal="center" vertical="center"/>
    </xf>
    <xf numFmtId="172" fontId="0" fillId="15" borderId="19" xfId="2" applyNumberFormat="1" applyFont="1" applyFill="1" applyBorder="1" applyAlignment="1" applyProtection="1">
      <alignment horizontal="center" vertical="center"/>
    </xf>
    <xf numFmtId="171" fontId="0" fillId="8" borderId="37" xfId="2" applyNumberFormat="1" applyFont="1" applyFill="1" applyBorder="1" applyAlignment="1" applyProtection="1">
      <alignment vertical="center"/>
    </xf>
    <xf numFmtId="171" fontId="0" fillId="8" borderId="5" xfId="2" applyNumberFormat="1" applyFont="1" applyFill="1" applyBorder="1" applyAlignment="1" applyProtection="1">
      <alignment vertical="center"/>
    </xf>
    <xf numFmtId="171" fontId="0" fillId="8" borderId="19" xfId="2" applyNumberFormat="1" applyFont="1" applyFill="1" applyBorder="1" applyAlignment="1" applyProtection="1">
      <alignment vertical="center"/>
    </xf>
    <xf numFmtId="0" fontId="0" fillId="15" borderId="42" xfId="0" applyFont="1" applyFill="1" applyBorder="1" applyAlignment="1" applyProtection="1">
      <alignment horizontal="left" vertical="center"/>
    </xf>
    <xf numFmtId="171" fontId="0" fillId="15" borderId="43" xfId="2" applyNumberFormat="1" applyFont="1" applyFill="1" applyBorder="1" applyAlignment="1" applyProtection="1">
      <alignment vertical="center"/>
    </xf>
    <xf numFmtId="171" fontId="0" fillId="15" borderId="41" xfId="2" applyNumberFormat="1" applyFont="1" applyFill="1" applyBorder="1" applyAlignment="1" applyProtection="1">
      <alignment vertical="center"/>
    </xf>
    <xf numFmtId="171" fontId="0" fillId="15" borderId="42" xfId="2" applyNumberFormat="1" applyFont="1" applyFill="1" applyBorder="1" applyAlignment="1" applyProtection="1">
      <alignment vertical="center"/>
    </xf>
    <xf numFmtId="172" fontId="0" fillId="15" borderId="41" xfId="2" applyNumberFormat="1" applyFont="1" applyFill="1" applyBorder="1" applyAlignment="1" applyProtection="1">
      <alignment horizontal="center" vertical="center"/>
    </xf>
    <xf numFmtId="172" fontId="0" fillId="15" borderId="44" xfId="2" applyNumberFormat="1" applyFont="1" applyFill="1" applyBorder="1" applyAlignment="1" applyProtection="1">
      <alignment horizontal="center" vertical="center"/>
    </xf>
    <xf numFmtId="171" fontId="0" fillId="8" borderId="40" xfId="2" applyNumberFormat="1" applyFont="1" applyFill="1" applyBorder="1" applyAlignment="1" applyProtection="1">
      <alignment vertical="center"/>
    </xf>
    <xf numFmtId="171" fontId="0" fillId="8" borderId="41" xfId="2" applyNumberFormat="1" applyFont="1" applyFill="1" applyBorder="1" applyAlignment="1" applyProtection="1">
      <alignment vertical="center"/>
    </xf>
    <xf numFmtId="171" fontId="0" fillId="8" borderId="44" xfId="2" applyNumberFormat="1" applyFont="1" applyFill="1" applyBorder="1" applyAlignment="1" applyProtection="1">
      <alignment vertical="center"/>
    </xf>
    <xf numFmtId="166" fontId="1" fillId="5" borderId="17" xfId="0" applyNumberFormat="1" applyFont="1" applyFill="1" applyBorder="1" applyAlignment="1" applyProtection="1">
      <alignment horizontal="center" vertical="center" wrapText="1"/>
    </xf>
    <xf numFmtId="166" fontId="1" fillId="5" borderId="5" xfId="0" applyNumberFormat="1" applyFont="1" applyFill="1" applyBorder="1" applyAlignment="1" applyProtection="1">
      <alignment horizontal="center" vertical="center" wrapText="1"/>
    </xf>
    <xf numFmtId="166" fontId="1" fillId="5" borderId="18" xfId="0" applyNumberFormat="1" applyFont="1" applyFill="1" applyBorder="1" applyAlignment="1" applyProtection="1">
      <alignment horizontal="center" vertical="center" wrapText="1"/>
    </xf>
    <xf numFmtId="0" fontId="0" fillId="15" borderId="22" xfId="0" applyFont="1" applyFill="1" applyBorder="1" applyAlignment="1" applyProtection="1">
      <alignment horizontal="left" vertical="center"/>
    </xf>
    <xf numFmtId="0" fontId="0" fillId="15" borderId="4" xfId="0" applyFont="1" applyFill="1" applyBorder="1" applyAlignment="1" applyProtection="1">
      <alignment horizontal="left" vertical="center"/>
    </xf>
    <xf numFmtId="0" fontId="0" fillId="15" borderId="28" xfId="0" applyFont="1" applyFill="1" applyBorder="1" applyAlignment="1" applyProtection="1">
      <alignment horizontal="left" vertical="center"/>
    </xf>
    <xf numFmtId="0" fontId="0" fillId="15" borderId="33" xfId="0" applyFont="1" applyFill="1" applyBorder="1" applyAlignment="1" applyProtection="1">
      <alignment horizontal="left" vertical="center"/>
    </xf>
    <xf numFmtId="171" fontId="0" fillId="23" borderId="2" xfId="2" applyNumberFormat="1" applyFont="1" applyFill="1" applyBorder="1" applyAlignment="1" applyProtection="1">
      <alignment vertical="center"/>
    </xf>
    <xf numFmtId="171" fontId="0" fillId="23" borderId="4" xfId="2" applyNumberFormat="1" applyFont="1" applyFill="1" applyBorder="1" applyAlignment="1" applyProtection="1">
      <alignment vertical="center"/>
    </xf>
    <xf numFmtId="172" fontId="0" fillId="4" borderId="25" xfId="2" applyNumberFormat="1" applyFont="1" applyFill="1" applyBorder="1" applyAlignment="1" applyProtection="1">
      <alignment horizontal="center" vertical="center"/>
      <protection locked="0"/>
    </xf>
    <xf numFmtId="171" fontId="0" fillId="8" borderId="6" xfId="2" applyNumberFormat="1" applyFont="1" applyFill="1" applyBorder="1" applyAlignment="1" applyProtection="1">
      <alignment vertical="center"/>
    </xf>
    <xf numFmtId="165" fontId="33" fillId="0" borderId="0" xfId="3" applyProtection="1"/>
    <xf numFmtId="166" fontId="1" fillId="14" borderId="38" xfId="0" applyNumberFormat="1" applyFont="1" applyFill="1" applyBorder="1" applyAlignment="1" applyProtection="1">
      <alignment horizontal="center" vertical="center" wrapText="1"/>
    </xf>
    <xf numFmtId="166" fontId="1" fillId="14" borderId="54" xfId="0" applyNumberFormat="1" applyFont="1" applyFill="1" applyBorder="1" applyAlignment="1" applyProtection="1">
      <alignment horizontal="center" vertical="center" wrapText="1"/>
    </xf>
    <xf numFmtId="166" fontId="1" fillId="14" borderId="55" xfId="0" applyNumberFormat="1" applyFont="1" applyFill="1" applyBorder="1" applyAlignment="1" applyProtection="1">
      <alignment horizontal="center" vertical="center" wrapText="1"/>
    </xf>
    <xf numFmtId="0" fontId="0" fillId="0" borderId="56" xfId="0" applyFont="1" applyBorder="1" applyAlignment="1" applyProtection="1">
      <alignment horizontal="left" vertical="center"/>
    </xf>
    <xf numFmtId="173" fontId="0" fillId="4" borderId="20" xfId="2" applyNumberFormat="1" applyFont="1" applyFill="1" applyBorder="1" applyAlignment="1" applyProtection="1">
      <alignment horizontal="center" vertical="center"/>
      <protection locked="0"/>
    </xf>
    <xf numFmtId="173" fontId="0" fillId="4" borderId="21" xfId="2" applyNumberFormat="1" applyFont="1" applyFill="1" applyBorder="1" applyAlignment="1" applyProtection="1">
      <alignment horizontal="center" vertical="center"/>
      <protection locked="0"/>
    </xf>
    <xf numFmtId="173" fontId="0" fillId="4" borderId="22" xfId="2" applyNumberFormat="1" applyFont="1" applyFill="1" applyBorder="1" applyAlignment="1" applyProtection="1">
      <alignment horizontal="center" vertical="center"/>
      <protection locked="0"/>
    </xf>
    <xf numFmtId="173" fontId="1" fillId="8" borderId="13" xfId="0" applyNumberFormat="1" applyFont="1" applyFill="1" applyBorder="1" applyAlignment="1" applyProtection="1">
      <alignment horizontal="center" vertical="center"/>
    </xf>
    <xf numFmtId="0" fontId="0" fillId="0" borderId="57" xfId="0" applyFont="1" applyBorder="1" applyAlignment="1" applyProtection="1">
      <alignment horizontal="left" vertical="center"/>
    </xf>
    <xf numFmtId="173" fontId="0" fillId="4" borderId="27" xfId="2" applyNumberFormat="1" applyFont="1" applyFill="1" applyBorder="1" applyAlignment="1" applyProtection="1">
      <alignment horizontal="center" vertical="center"/>
      <protection locked="0"/>
    </xf>
    <xf numFmtId="173" fontId="0" fillId="4" borderId="29" xfId="2" applyNumberFormat="1" applyFont="1" applyFill="1" applyBorder="1" applyAlignment="1" applyProtection="1">
      <alignment horizontal="center" vertical="center"/>
      <protection locked="0"/>
    </xf>
    <xf numFmtId="173" fontId="0" fillId="4" borderId="28" xfId="2" applyNumberFormat="1" applyFont="1" applyFill="1" applyBorder="1" applyAlignment="1" applyProtection="1">
      <alignment horizontal="center" vertical="center"/>
      <protection locked="0"/>
    </xf>
    <xf numFmtId="173" fontId="1" fillId="8" borderId="58" xfId="0" applyNumberFormat="1" applyFont="1" applyFill="1" applyBorder="1" applyAlignment="1" applyProtection="1">
      <alignment horizontal="center" vertical="center"/>
    </xf>
    <xf numFmtId="173" fontId="1" fillId="8" borderId="39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Protection="1"/>
    <xf numFmtId="0" fontId="0" fillId="0" borderId="0" xfId="0" applyFont="1" applyBorder="1" applyAlignment="1" applyProtection="1">
      <alignment horizontal="center" vertical="center"/>
    </xf>
    <xf numFmtId="171" fontId="8" fillId="0" borderId="0" xfId="2" applyNumberFormat="1" applyFont="1" applyProtection="1"/>
    <xf numFmtId="0" fontId="0" fillId="0" borderId="59" xfId="0" applyFont="1" applyBorder="1" applyAlignment="1" applyProtection="1">
      <alignment horizontal="left" vertical="center"/>
    </xf>
    <xf numFmtId="173" fontId="8" fillId="4" borderId="17" xfId="2" applyNumberFormat="1" applyFont="1" applyFill="1" applyBorder="1" applyAlignment="1" applyProtection="1">
      <alignment horizontal="center" vertical="center"/>
      <protection locked="0"/>
    </xf>
    <xf numFmtId="173" fontId="0" fillId="4" borderId="5" xfId="2" applyNumberFormat="1" applyFont="1" applyFill="1" applyBorder="1" applyAlignment="1" applyProtection="1">
      <alignment horizontal="center" vertical="center"/>
      <protection locked="0"/>
    </xf>
    <xf numFmtId="173" fontId="0" fillId="4" borderId="18" xfId="2" applyNumberFormat="1" applyFont="1" applyFill="1" applyBorder="1" applyAlignment="1" applyProtection="1">
      <alignment horizontal="center" vertical="center"/>
      <protection locked="0"/>
    </xf>
    <xf numFmtId="173" fontId="1" fillId="8" borderId="60" xfId="0" applyNumberFormat="1" applyFont="1" applyFill="1" applyBorder="1" applyAlignment="1" applyProtection="1">
      <alignment horizontal="center" vertical="center"/>
    </xf>
    <xf numFmtId="171" fontId="8" fillId="0" borderId="0" xfId="0" applyNumberFormat="1" applyFont="1" applyBorder="1" applyProtection="1"/>
    <xf numFmtId="0" fontId="0" fillId="0" borderId="61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left" vertical="center"/>
    </xf>
    <xf numFmtId="173" fontId="1" fillId="24" borderId="13" xfId="0" applyNumberFormat="1" applyFont="1" applyFill="1" applyBorder="1" applyAlignment="1" applyProtection="1">
      <alignment horizontal="center" vertical="center"/>
    </xf>
    <xf numFmtId="173" fontId="1" fillId="24" borderId="58" xfId="0" applyNumberFormat="1" applyFont="1" applyFill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left" vertical="center"/>
    </xf>
    <xf numFmtId="173" fontId="8" fillId="4" borderId="20" xfId="2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/>
    </xf>
    <xf numFmtId="0" fontId="0" fillId="0" borderId="50" xfId="0" applyFont="1" applyBorder="1" applyAlignment="1" applyProtection="1">
      <alignment horizontal="left" vertical="center"/>
    </xf>
    <xf numFmtId="173" fontId="1" fillId="10" borderId="51" xfId="0" applyNumberFormat="1" applyFont="1" applyFill="1" applyBorder="1" applyAlignment="1" applyProtection="1">
      <alignment horizontal="center" vertical="center"/>
    </xf>
    <xf numFmtId="0" fontId="0" fillId="0" borderId="63" xfId="0" applyFont="1" applyBorder="1" applyAlignment="1" applyProtection="1">
      <alignment horizontal="left" vertical="center"/>
    </xf>
    <xf numFmtId="173" fontId="0" fillId="4" borderId="34" xfId="2" applyNumberFormat="1" applyFont="1" applyFill="1" applyBorder="1" applyAlignment="1" applyProtection="1">
      <alignment horizontal="center" vertical="center"/>
      <protection locked="0"/>
    </xf>
    <xf numFmtId="173" fontId="0" fillId="4" borderId="8" xfId="2" applyNumberFormat="1" applyFont="1" applyFill="1" applyBorder="1" applyAlignment="1" applyProtection="1">
      <alignment horizontal="center" vertical="center"/>
      <protection locked="0"/>
    </xf>
    <xf numFmtId="173" fontId="0" fillId="4" borderId="33" xfId="2" applyNumberFormat="1" applyFont="1" applyFill="1" applyBorder="1" applyAlignment="1" applyProtection="1">
      <alignment horizontal="center" vertical="center"/>
      <protection locked="0"/>
    </xf>
    <xf numFmtId="173" fontId="1" fillId="8" borderId="64" xfId="0" applyNumberFormat="1" applyFont="1" applyFill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left" vertical="center"/>
    </xf>
    <xf numFmtId="173" fontId="0" fillId="4" borderId="25" xfId="2" applyNumberFormat="1" applyFont="1" applyFill="1" applyBorder="1" applyAlignment="1" applyProtection="1">
      <alignment horizontal="center" vertical="center"/>
      <protection locked="0"/>
    </xf>
    <xf numFmtId="173" fontId="0" fillId="4" borderId="2" xfId="2" applyNumberFormat="1" applyFont="1" applyFill="1" applyBorder="1" applyAlignment="1" applyProtection="1">
      <alignment horizontal="center" vertical="center"/>
      <protection locked="0"/>
    </xf>
    <xf numFmtId="173" fontId="0" fillId="4" borderId="4" xfId="2" applyNumberFormat="1" applyFont="1" applyFill="1" applyBorder="1" applyAlignment="1" applyProtection="1">
      <alignment horizontal="center" vertical="center"/>
      <protection locked="0"/>
    </xf>
    <xf numFmtId="173" fontId="1" fillId="8" borderId="51" xfId="0" applyNumberFormat="1" applyFont="1" applyFill="1" applyBorder="1" applyAlignment="1" applyProtection="1">
      <alignment horizontal="center" vertical="center"/>
    </xf>
    <xf numFmtId="174" fontId="0" fillId="0" borderId="0" xfId="1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174" fontId="1" fillId="5" borderId="2" xfId="1" applyNumberFormat="1" applyFont="1" applyFill="1" applyBorder="1" applyAlignment="1" applyProtection="1">
      <alignment horizontal="center" vertical="center" wrapText="1"/>
    </xf>
    <xf numFmtId="0" fontId="1" fillId="26" borderId="6" xfId="0" applyFont="1" applyFill="1" applyBorder="1" applyAlignment="1" applyProtection="1">
      <alignment horizontal="center" vertical="center"/>
    </xf>
    <xf numFmtId="0" fontId="12" fillId="26" borderId="4" xfId="0" applyFont="1" applyFill="1" applyBorder="1" applyAlignment="1" applyProtection="1">
      <alignment horizontal="left" vertical="center"/>
    </xf>
    <xf numFmtId="166" fontId="12" fillId="26" borderId="2" xfId="2" applyNumberFormat="1" applyFont="1" applyFill="1" applyBorder="1" applyAlignment="1" applyProtection="1">
      <alignment horizontal="center" vertical="center"/>
    </xf>
    <xf numFmtId="166" fontId="12" fillId="27" borderId="2" xfId="2" applyNumberFormat="1" applyFont="1" applyFill="1" applyBorder="1" applyAlignment="1" applyProtection="1">
      <alignment vertical="center"/>
    </xf>
    <xf numFmtId="166" fontId="1" fillId="26" borderId="2" xfId="2" applyNumberFormat="1" applyFont="1" applyFill="1" applyBorder="1" applyAlignment="1" applyProtection="1">
      <alignment vertical="center"/>
    </xf>
    <xf numFmtId="166" fontId="12" fillId="26" borderId="6" xfId="2" applyNumberFormat="1" applyFont="1" applyFill="1" applyBorder="1" applyAlignment="1" applyProtection="1">
      <alignment horizontal="center" vertical="center"/>
    </xf>
    <xf numFmtId="0" fontId="1" fillId="9" borderId="36" xfId="0" applyFont="1" applyFill="1" applyBorder="1" applyAlignment="1" applyProtection="1">
      <alignment horizontal="center" vertical="center" wrapText="1"/>
    </xf>
    <xf numFmtId="0" fontId="12" fillId="9" borderId="4" xfId="0" applyFont="1" applyFill="1" applyBorder="1" applyAlignment="1" applyProtection="1">
      <alignment horizontal="left" vertical="center"/>
    </xf>
    <xf numFmtId="166" fontId="12" fillId="9" borderId="2" xfId="2" applyNumberFormat="1" applyFont="1" applyFill="1" applyBorder="1" applyAlignment="1" applyProtection="1">
      <alignment horizontal="center" vertical="center"/>
    </xf>
    <xf numFmtId="166" fontId="12" fillId="11" borderId="2" xfId="2" applyNumberFormat="1" applyFont="1" applyFill="1" applyBorder="1" applyAlignment="1" applyProtection="1">
      <alignment vertical="center"/>
    </xf>
    <xf numFmtId="166" fontId="12" fillId="9" borderId="36" xfId="2" applyNumberFormat="1" applyFont="1" applyFill="1" applyBorder="1" applyAlignment="1" applyProtection="1">
      <alignment horizontal="center" vertical="center"/>
    </xf>
    <xf numFmtId="166" fontId="13" fillId="8" borderId="2" xfId="2" applyNumberFormat="1" applyFont="1" applyFill="1" applyBorder="1" applyAlignment="1" applyProtection="1">
      <alignment vertical="center"/>
    </xf>
    <xf numFmtId="166" fontId="12" fillId="28" borderId="6" xfId="2" applyNumberFormat="1" applyFont="1" applyFill="1" applyBorder="1" applyAlignment="1" applyProtection="1">
      <alignment vertical="center"/>
    </xf>
    <xf numFmtId="166" fontId="0" fillId="4" borderId="2" xfId="2" applyNumberFormat="1" applyFont="1" applyFill="1" applyBorder="1" applyAlignment="1" applyProtection="1">
      <alignment vertical="center"/>
      <protection locked="0"/>
    </xf>
    <xf numFmtId="166" fontId="13" fillId="4" borderId="2" xfId="2" applyNumberFormat="1" applyFont="1" applyFill="1" applyBorder="1" applyAlignment="1" applyProtection="1">
      <alignment vertical="center"/>
      <protection locked="0"/>
    </xf>
    <xf numFmtId="176" fontId="13" fillId="4" borderId="2" xfId="1" applyNumberFormat="1" applyFont="1" applyFill="1" applyBorder="1" applyAlignment="1" applyProtection="1">
      <alignment vertical="center"/>
      <protection locked="0"/>
    </xf>
    <xf numFmtId="166" fontId="12" fillId="9" borderId="2" xfId="2" applyNumberFormat="1" applyFont="1" applyFill="1" applyBorder="1" applyAlignment="1" applyProtection="1">
      <alignment horizontal="center" vertical="center"/>
      <protection locked="0"/>
    </xf>
    <xf numFmtId="166" fontId="8" fillId="4" borderId="2" xfId="2" applyNumberFormat="1" applyFont="1" applyFill="1" applyBorder="1" applyAlignment="1" applyProtection="1">
      <alignment vertical="center"/>
      <protection locked="0"/>
    </xf>
    <xf numFmtId="176" fontId="8" fillId="4" borderId="2" xfId="1" applyNumberFormat="1" applyFont="1" applyFill="1" applyBorder="1" applyAlignment="1" applyProtection="1">
      <alignment vertical="center"/>
      <protection locked="0"/>
    </xf>
    <xf numFmtId="166" fontId="8" fillId="8" borderId="2" xfId="2" applyNumberFormat="1" applyFont="1" applyFill="1" applyBorder="1" applyAlignment="1" applyProtection="1">
      <alignment vertical="center"/>
    </xf>
    <xf numFmtId="166" fontId="4" fillId="28" borderId="6" xfId="2" applyNumberFormat="1" applyFont="1" applyFill="1" applyBorder="1" applyAlignment="1" applyProtection="1">
      <alignment vertical="center"/>
    </xf>
    <xf numFmtId="0" fontId="13" fillId="4" borderId="2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166" fontId="13" fillId="29" borderId="2" xfId="2" applyNumberFormat="1" applyFont="1" applyFill="1" applyBorder="1" applyAlignment="1" applyProtection="1">
      <alignment vertical="center"/>
      <protection locked="0"/>
    </xf>
    <xf numFmtId="0" fontId="13" fillId="29" borderId="2" xfId="0" applyFont="1" applyFill="1" applyBorder="1" applyAlignment="1" applyProtection="1">
      <alignment vertical="center"/>
      <protection locked="0"/>
    </xf>
    <xf numFmtId="166" fontId="12" fillId="4" borderId="2" xfId="2" applyNumberFormat="1" applyFont="1" applyFill="1" applyBorder="1" applyAlignment="1" applyProtection="1">
      <alignment vertical="center"/>
      <protection locked="0"/>
    </xf>
    <xf numFmtId="166" fontId="12" fillId="9" borderId="2" xfId="2" applyNumberFormat="1" applyFont="1" applyFill="1" applyBorder="1" applyAlignment="1" applyProtection="1">
      <alignment vertical="center"/>
      <protection locked="0"/>
    </xf>
    <xf numFmtId="166" fontId="12" fillId="9" borderId="2" xfId="2" applyNumberFormat="1" applyFont="1" applyFill="1" applyBorder="1" applyAlignment="1" applyProtection="1">
      <alignment vertical="center"/>
    </xf>
    <xf numFmtId="166" fontId="12" fillId="9" borderId="6" xfId="2" applyNumberFormat="1" applyFont="1" applyFill="1" applyBorder="1" applyAlignment="1" applyProtection="1">
      <alignment vertical="center"/>
    </xf>
    <xf numFmtId="0" fontId="8" fillId="4" borderId="2" xfId="0" applyFont="1" applyFill="1" applyBorder="1" applyAlignment="1" applyProtection="1">
      <alignment vertical="center"/>
      <protection locked="0"/>
    </xf>
    <xf numFmtId="0" fontId="12" fillId="9" borderId="2" xfId="0" applyFont="1" applyFill="1" applyBorder="1" applyAlignment="1" applyProtection="1">
      <alignment vertical="center"/>
      <protection locked="0"/>
    </xf>
    <xf numFmtId="166" fontId="8" fillId="29" borderId="2" xfId="2" applyNumberFormat="1" applyFont="1" applyFill="1" applyBorder="1" applyAlignment="1" applyProtection="1">
      <alignment vertical="center"/>
      <protection locked="0"/>
    </xf>
    <xf numFmtId="0" fontId="8" fillId="29" borderId="2" xfId="0" applyFont="1" applyFill="1" applyBorder="1" applyAlignment="1" applyProtection="1">
      <alignment vertical="center"/>
      <protection locked="0"/>
    </xf>
    <xf numFmtId="166" fontId="0" fillId="29" borderId="2" xfId="2" applyNumberFormat="1" applyFont="1" applyFill="1" applyBorder="1" applyAlignment="1" applyProtection="1">
      <alignment vertical="center"/>
    </xf>
    <xf numFmtId="0" fontId="13" fillId="8" borderId="2" xfId="0" applyFont="1" applyFill="1" applyBorder="1" applyAlignment="1" applyProtection="1">
      <alignment vertical="center"/>
    </xf>
    <xf numFmtId="166" fontId="12" fillId="28" borderId="37" xfId="2" applyNumberFormat="1" applyFont="1" applyFill="1" applyBorder="1" applyAlignment="1" applyProtection="1">
      <alignment vertical="center"/>
    </xf>
    <xf numFmtId="177" fontId="1" fillId="14" borderId="2" xfId="2" applyNumberFormat="1" applyFont="1" applyFill="1" applyBorder="1" applyAlignment="1" applyProtection="1">
      <alignment vertical="center"/>
    </xf>
    <xf numFmtId="177" fontId="1" fillId="14" borderId="6" xfId="2" applyNumberFormat="1" applyFont="1" applyFill="1" applyBorder="1" applyAlignment="1" applyProtection="1">
      <alignment vertical="center"/>
    </xf>
    <xf numFmtId="0" fontId="1" fillId="14" borderId="2" xfId="0" applyFont="1" applyFill="1" applyBorder="1" applyAlignment="1" applyProtection="1">
      <alignment horizontal="center" vertical="center" wrapText="1"/>
    </xf>
    <xf numFmtId="0" fontId="1" fillId="14" borderId="8" xfId="0" applyFont="1" applyFill="1" applyBorder="1" applyAlignment="1" applyProtection="1">
      <alignment vertical="center"/>
    </xf>
    <xf numFmtId="0" fontId="1" fillId="5" borderId="5" xfId="0" applyFont="1" applyFill="1" applyBorder="1" applyAlignment="1" applyProtection="1">
      <alignment horizontal="center" vertical="center" wrapText="1"/>
    </xf>
    <xf numFmtId="174" fontId="1" fillId="5" borderId="5" xfId="1" applyNumberFormat="1" applyFont="1" applyFill="1" applyBorder="1" applyAlignment="1" applyProtection="1">
      <alignment horizontal="center" vertical="center" wrapText="1"/>
    </xf>
    <xf numFmtId="0" fontId="12" fillId="26" borderId="2" xfId="0" applyFont="1" applyFill="1" applyBorder="1" applyAlignment="1" applyProtection="1">
      <alignment horizontal="left" vertical="center"/>
    </xf>
    <xf numFmtId="166" fontId="12" fillId="26" borderId="2" xfId="2" applyNumberFormat="1" applyFont="1" applyFill="1" applyBorder="1" applyAlignment="1" applyProtection="1">
      <alignment vertical="center"/>
    </xf>
    <xf numFmtId="0" fontId="8" fillId="3" borderId="0" xfId="0" applyFont="1" applyFill="1" applyAlignment="1" applyProtection="1">
      <alignment vertical="center"/>
    </xf>
    <xf numFmtId="0" fontId="12" fillId="9" borderId="2" xfId="0" applyFont="1" applyFill="1" applyBorder="1" applyAlignment="1" applyProtection="1">
      <alignment horizontal="left" vertical="center"/>
    </xf>
    <xf numFmtId="166" fontId="0" fillId="15" borderId="2" xfId="2" applyNumberFormat="1" applyFont="1" applyFill="1" applyBorder="1" applyAlignment="1" applyProtection="1">
      <alignment vertical="center"/>
    </xf>
    <xf numFmtId="166" fontId="13" fillId="3" borderId="2" xfId="2" applyNumberFormat="1" applyFont="1" applyFill="1" applyBorder="1" applyAlignment="1" applyProtection="1">
      <alignment vertical="center"/>
    </xf>
    <xf numFmtId="176" fontId="13" fillId="3" borderId="2" xfId="1" applyNumberFormat="1" applyFont="1" applyFill="1" applyBorder="1" applyAlignment="1" applyProtection="1">
      <alignment vertical="center"/>
    </xf>
    <xf numFmtId="178" fontId="12" fillId="4" borderId="2" xfId="5" applyNumberFormat="1" applyFont="1" applyFill="1" applyBorder="1" applyAlignment="1" applyProtection="1">
      <alignment vertical="center"/>
      <protection locked="0"/>
    </xf>
    <xf numFmtId="178" fontId="13" fillId="29" borderId="2" xfId="5" applyNumberFormat="1" applyFont="1" applyFill="1" applyBorder="1" applyAlignment="1" applyProtection="1">
      <alignment vertical="center"/>
      <protection locked="0"/>
    </xf>
    <xf numFmtId="0" fontId="12" fillId="26" borderId="2" xfId="0" applyFont="1" applyFill="1" applyBorder="1" applyAlignment="1" applyProtection="1">
      <alignment vertical="center"/>
    </xf>
    <xf numFmtId="0" fontId="12" fillId="9" borderId="2" xfId="0" applyFont="1" applyFill="1" applyBorder="1" applyAlignment="1" applyProtection="1">
      <alignment vertical="center"/>
    </xf>
    <xf numFmtId="166" fontId="0" fillId="29" borderId="2" xfId="2" applyNumberFormat="1" applyFont="1" applyFill="1" applyBorder="1" applyAlignment="1" applyProtection="1">
      <alignment vertical="center"/>
      <protection locked="0"/>
    </xf>
    <xf numFmtId="166" fontId="4" fillId="3" borderId="2" xfId="2" applyNumberFormat="1" applyFont="1" applyFill="1" applyBorder="1" applyAlignment="1" applyProtection="1">
      <alignment horizontal="center" vertical="center"/>
    </xf>
    <xf numFmtId="166" fontId="8" fillId="29" borderId="2" xfId="2" applyNumberFormat="1" applyFont="1" applyFill="1" applyBorder="1" applyAlignment="1" applyProtection="1">
      <alignment vertical="center"/>
    </xf>
    <xf numFmtId="0" fontId="1" fillId="14" borderId="4" xfId="0" applyFont="1" applyFill="1" applyBorder="1" applyAlignment="1" applyProtection="1">
      <alignment vertical="center"/>
    </xf>
    <xf numFmtId="0" fontId="4" fillId="3" borderId="2" xfId="0" applyFont="1" applyFill="1" applyBorder="1" applyAlignment="1" applyProtection="1">
      <alignment horizontal="center" vertical="center"/>
    </xf>
    <xf numFmtId="171" fontId="8" fillId="4" borderId="2" xfId="2" applyNumberFormat="1" applyFont="1" applyFill="1" applyBorder="1" applyProtection="1"/>
    <xf numFmtId="0" fontId="1" fillId="32" borderId="2" xfId="0" applyFont="1" applyFill="1" applyBorder="1" applyAlignment="1" applyProtection="1">
      <alignment horizontal="center" vertical="center" wrapText="1"/>
    </xf>
    <xf numFmtId="174" fontId="1" fillId="32" borderId="2" xfId="1" applyNumberFormat="1" applyFont="1" applyFill="1" applyBorder="1" applyAlignment="1" applyProtection="1">
      <alignment horizontal="center" vertical="center" wrapText="1"/>
    </xf>
    <xf numFmtId="166" fontId="12" fillId="36" borderId="2" xfId="2" applyNumberFormat="1" applyFont="1" applyFill="1" applyBorder="1" applyAlignment="1" applyProtection="1">
      <alignment horizontal="center" vertical="center"/>
    </xf>
    <xf numFmtId="166" fontId="12" fillId="37" borderId="2" xfId="2" applyNumberFormat="1" applyFont="1" applyFill="1" applyBorder="1" applyAlignment="1" applyProtection="1">
      <alignment vertical="center"/>
    </xf>
    <xf numFmtId="166" fontId="1" fillId="37" borderId="2" xfId="2" applyNumberFormat="1" applyFont="1" applyFill="1" applyBorder="1" applyAlignment="1" applyProtection="1">
      <alignment vertical="center"/>
    </xf>
    <xf numFmtId="166" fontId="12" fillId="36" borderId="6" xfId="2" applyNumberFormat="1" applyFont="1" applyFill="1" applyBorder="1" applyAlignment="1" applyProtection="1">
      <alignment horizontal="center" vertical="center"/>
    </xf>
    <xf numFmtId="0" fontId="12" fillId="38" borderId="4" xfId="0" applyFont="1" applyFill="1" applyBorder="1" applyAlignment="1" applyProtection="1">
      <alignment horizontal="left" vertical="center"/>
    </xf>
    <xf numFmtId="166" fontId="12" fillId="39" borderId="2" xfId="2" applyNumberFormat="1" applyFont="1" applyFill="1" applyBorder="1" applyAlignment="1" applyProtection="1">
      <alignment horizontal="center" vertical="center"/>
    </xf>
    <xf numFmtId="166" fontId="12" fillId="40" borderId="2" xfId="2" applyNumberFormat="1" applyFont="1" applyFill="1" applyBorder="1" applyAlignment="1" applyProtection="1">
      <alignment vertical="center"/>
    </xf>
    <xf numFmtId="166" fontId="1" fillId="40" borderId="2" xfId="2" applyNumberFormat="1" applyFont="1" applyFill="1" applyBorder="1" applyAlignment="1" applyProtection="1">
      <alignment vertical="center"/>
    </xf>
    <xf numFmtId="166" fontId="12" fillId="39" borderId="36" xfId="2" applyNumberFormat="1" applyFont="1" applyFill="1" applyBorder="1" applyAlignment="1" applyProtection="1">
      <alignment horizontal="center" vertical="center"/>
    </xf>
    <xf numFmtId="0" fontId="12" fillId="41" borderId="4" xfId="0" applyFont="1" applyFill="1" applyBorder="1" applyAlignment="1" applyProtection="1">
      <alignment horizontal="left" vertical="center"/>
    </xf>
    <xf numFmtId="166" fontId="0" fillId="42" borderId="2" xfId="2" applyNumberFormat="1" applyFont="1" applyFill="1" applyBorder="1" applyAlignment="1" applyProtection="1">
      <alignment vertical="center"/>
    </xf>
    <xf numFmtId="166" fontId="13" fillId="24" borderId="2" xfId="2" applyNumberFormat="1" applyFont="1" applyFill="1" applyBorder="1" applyAlignment="1" applyProtection="1">
      <alignment vertical="center"/>
    </xf>
    <xf numFmtId="176" fontId="13" fillId="24" borderId="2" xfId="1" applyNumberFormat="1" applyFont="1" applyFill="1" applyBorder="1" applyAlignment="1" applyProtection="1">
      <alignment vertical="center"/>
    </xf>
    <xf numFmtId="166" fontId="12" fillId="43" borderId="6" xfId="2" applyNumberFormat="1" applyFont="1" applyFill="1" applyBorder="1" applyAlignment="1" applyProtection="1">
      <alignment vertical="center"/>
    </xf>
    <xf numFmtId="175" fontId="13" fillId="12" borderId="4" xfId="0" applyNumberFormat="1" applyFont="1" applyFill="1" applyBorder="1" applyAlignment="1" applyProtection="1">
      <alignment horizontal="left" wrapText="1"/>
    </xf>
    <xf numFmtId="179" fontId="0" fillId="17" borderId="2" xfId="5" applyFont="1" applyFill="1" applyBorder="1" applyAlignment="1" applyProtection="1">
      <alignment horizontal="center" vertical="center"/>
    </xf>
    <xf numFmtId="171" fontId="33" fillId="44" borderId="2" xfId="2" applyNumberFormat="1" applyFill="1" applyBorder="1" applyAlignment="1" applyProtection="1">
      <alignment vertical="center"/>
    </xf>
    <xf numFmtId="171" fontId="33" fillId="44" borderId="2" xfId="2" applyNumberFormat="1" applyFill="1" applyBorder="1" applyProtection="1"/>
    <xf numFmtId="166" fontId="0" fillId="25" borderId="2" xfId="2" applyNumberFormat="1" applyFont="1" applyFill="1" applyBorder="1" applyAlignment="1" applyProtection="1">
      <alignment vertical="center"/>
    </xf>
    <xf numFmtId="166" fontId="13" fillId="25" borderId="2" xfId="2" applyNumberFormat="1" applyFont="1" applyFill="1" applyBorder="1" applyAlignment="1" applyProtection="1">
      <alignment vertical="center"/>
    </xf>
    <xf numFmtId="176" fontId="13" fillId="25" borderId="2" xfId="1" applyNumberFormat="1" applyFont="1" applyFill="1" applyBorder="1" applyAlignment="1" applyProtection="1">
      <alignment vertical="center"/>
    </xf>
    <xf numFmtId="175" fontId="13" fillId="12" borderId="4" xfId="0" applyNumberFormat="1" applyFont="1" applyFill="1" applyBorder="1" applyAlignment="1" applyProtection="1">
      <alignment horizontal="left"/>
    </xf>
    <xf numFmtId="179" fontId="0" fillId="45" borderId="2" xfId="5" applyFont="1" applyFill="1" applyBorder="1" applyAlignment="1" applyProtection="1">
      <alignment horizontal="center" vertical="center"/>
    </xf>
    <xf numFmtId="166" fontId="12" fillId="24" borderId="2" xfId="2" applyNumberFormat="1" applyFont="1" applyFill="1" applyBorder="1" applyAlignment="1" applyProtection="1">
      <alignment vertical="center"/>
    </xf>
    <xf numFmtId="176" fontId="33" fillId="24" borderId="2" xfId="1" applyNumberFormat="1" applyFill="1" applyBorder="1" applyProtection="1"/>
    <xf numFmtId="166" fontId="12" fillId="36" borderId="36" xfId="2" applyNumberFormat="1" applyFont="1" applyFill="1" applyBorder="1" applyAlignment="1" applyProtection="1">
      <alignment horizontal="center" vertical="center"/>
    </xf>
    <xf numFmtId="176" fontId="33" fillId="25" borderId="2" xfId="1" applyNumberFormat="1" applyFill="1" applyBorder="1" applyProtection="1"/>
    <xf numFmtId="166" fontId="12" fillId="39" borderId="2" xfId="2" applyNumberFormat="1" applyFont="1" applyFill="1" applyBorder="1" applyAlignment="1" applyProtection="1">
      <alignment vertical="center"/>
    </xf>
    <xf numFmtId="166" fontId="0" fillId="46" borderId="2" xfId="2" applyNumberFormat="1" applyFont="1" applyFill="1" applyBorder="1" applyAlignment="1" applyProtection="1">
      <alignment vertical="center"/>
    </xf>
    <xf numFmtId="176" fontId="33" fillId="46" borderId="2" xfId="1" applyNumberFormat="1" applyFill="1" applyBorder="1" applyProtection="1"/>
    <xf numFmtId="166" fontId="12" fillId="43" borderId="37" xfId="2" applyNumberFormat="1" applyFont="1" applyFill="1" applyBorder="1" applyAlignment="1" applyProtection="1">
      <alignment vertical="center"/>
    </xf>
    <xf numFmtId="166" fontId="4" fillId="47" borderId="2" xfId="2" applyNumberFormat="1" applyFont="1" applyFill="1" applyBorder="1" applyAlignment="1" applyProtection="1">
      <alignment horizontal="center" vertical="center"/>
    </xf>
    <xf numFmtId="166" fontId="8" fillId="46" borderId="2" xfId="2" applyNumberFormat="1" applyFont="1" applyFill="1" applyBorder="1" applyAlignment="1" applyProtection="1">
      <alignment vertical="center"/>
    </xf>
    <xf numFmtId="177" fontId="1" fillId="19" borderId="2" xfId="2" applyNumberFormat="1" applyFont="1" applyFill="1" applyBorder="1" applyAlignment="1" applyProtection="1">
      <alignment vertical="center"/>
    </xf>
    <xf numFmtId="177" fontId="1" fillId="48" borderId="2" xfId="2" applyNumberFormat="1" applyFont="1" applyFill="1" applyBorder="1" applyAlignment="1" applyProtection="1">
      <alignment vertical="center"/>
    </xf>
    <xf numFmtId="177" fontId="1" fillId="19" borderId="6" xfId="2" applyNumberFormat="1" applyFont="1" applyFill="1" applyBorder="1" applyAlignment="1" applyProtection="1">
      <alignment vertical="center"/>
    </xf>
    <xf numFmtId="0" fontId="4" fillId="47" borderId="2" xfId="0" applyFont="1" applyFill="1" applyBorder="1" applyAlignment="1" applyProtection="1">
      <alignment horizontal="center" vertical="center"/>
    </xf>
    <xf numFmtId="171" fontId="8" fillId="25" borderId="2" xfId="2" applyNumberFormat="1" applyFont="1" applyFill="1" applyBorder="1" applyProtection="1"/>
    <xf numFmtId="0" fontId="1" fillId="49" borderId="2" xfId="0" applyFont="1" applyFill="1" applyBorder="1" applyAlignment="1" applyProtection="1">
      <alignment horizontal="center" vertical="center" wrapText="1"/>
    </xf>
    <xf numFmtId="174" fontId="1" fillId="49" borderId="2" xfId="1" applyNumberFormat="1" applyFont="1" applyFill="1" applyBorder="1" applyAlignment="1" applyProtection="1">
      <alignment horizontal="center" vertical="center" wrapText="1"/>
    </xf>
    <xf numFmtId="176" fontId="0" fillId="4" borderId="2" xfId="1" applyNumberFormat="1" applyFont="1" applyFill="1" applyBorder="1" applyProtection="1">
      <protection locked="0"/>
    </xf>
    <xf numFmtId="176" fontId="0" fillId="29" borderId="2" xfId="1" applyNumberFormat="1" applyFont="1" applyFill="1" applyBorder="1" applyProtection="1">
      <protection locked="0"/>
    </xf>
    <xf numFmtId="176" fontId="8" fillId="29" borderId="2" xfId="1" applyNumberFormat="1" applyFont="1" applyFill="1" applyBorder="1" applyProtection="1">
      <protection locked="0"/>
    </xf>
    <xf numFmtId="179" fontId="0" fillId="29" borderId="2" xfId="5" applyFont="1" applyFill="1" applyBorder="1" applyAlignment="1" applyProtection="1">
      <alignment horizontal="center" vertical="center"/>
      <protection locked="0"/>
    </xf>
    <xf numFmtId="176" fontId="33" fillId="4" borderId="2" xfId="1" applyNumberFormat="1" applyFill="1" applyBorder="1" applyProtection="1">
      <protection locked="0"/>
    </xf>
    <xf numFmtId="176" fontId="33" fillId="29" borderId="2" xfId="1" applyNumberFormat="1" applyFill="1" applyBorder="1" applyProtection="1">
      <protection locked="0"/>
    </xf>
    <xf numFmtId="176" fontId="33" fillId="8" borderId="2" xfId="1" applyNumberFormat="1" applyFill="1" applyBorder="1" applyProtection="1"/>
    <xf numFmtId="166" fontId="12" fillId="38" borderId="2" xfId="2" applyNumberFormat="1" applyFont="1" applyFill="1" applyBorder="1" applyAlignment="1" applyProtection="1">
      <alignment horizontal="center" vertical="center"/>
    </xf>
    <xf numFmtId="166" fontId="1" fillId="27" borderId="2" xfId="2" applyNumberFormat="1" applyFont="1" applyFill="1" applyBorder="1" applyAlignment="1" applyProtection="1">
      <alignment vertical="center"/>
    </xf>
    <xf numFmtId="166" fontId="12" fillId="41" borderId="36" xfId="2" applyNumberFormat="1" applyFont="1" applyFill="1" applyBorder="1" applyAlignment="1" applyProtection="1">
      <alignment horizontal="center" vertical="center"/>
    </xf>
    <xf numFmtId="166" fontId="0" fillId="23" borderId="2" xfId="2" applyNumberFormat="1" applyFont="1" applyFill="1" applyBorder="1" applyAlignment="1" applyProtection="1">
      <alignment vertical="center"/>
    </xf>
    <xf numFmtId="166" fontId="13" fillId="10" borderId="2" xfId="2" applyNumberFormat="1" applyFont="1" applyFill="1" applyBorder="1" applyAlignment="1" applyProtection="1">
      <alignment vertical="center"/>
    </xf>
    <xf numFmtId="176" fontId="13" fillId="10" borderId="2" xfId="1" applyNumberFormat="1" applyFont="1" applyFill="1" applyBorder="1" applyAlignment="1" applyProtection="1">
      <alignment vertical="center"/>
    </xf>
    <xf numFmtId="166" fontId="12" fillId="51" borderId="6" xfId="2" applyNumberFormat="1" applyFont="1" applyFill="1" applyBorder="1" applyAlignment="1" applyProtection="1">
      <alignment vertical="center"/>
    </xf>
    <xf numFmtId="166" fontId="0" fillId="17" borderId="2" xfId="2" applyNumberFormat="1" applyFont="1" applyFill="1" applyBorder="1" applyAlignment="1" applyProtection="1">
      <alignment vertical="center"/>
    </xf>
    <xf numFmtId="166" fontId="13" fillId="17" borderId="2" xfId="2" applyNumberFormat="1" applyFont="1" applyFill="1" applyBorder="1" applyAlignment="1" applyProtection="1">
      <alignment vertical="center"/>
    </xf>
    <xf numFmtId="176" fontId="13" fillId="17" borderId="2" xfId="1" applyNumberFormat="1" applyFont="1" applyFill="1" applyBorder="1" applyAlignment="1" applyProtection="1">
      <alignment vertical="center"/>
    </xf>
    <xf numFmtId="176" fontId="0" fillId="10" borderId="2" xfId="1" applyNumberFormat="1" applyFont="1" applyFill="1" applyBorder="1" applyProtection="1"/>
    <xf numFmtId="166" fontId="12" fillId="38" borderId="36" xfId="2" applyNumberFormat="1" applyFont="1" applyFill="1" applyBorder="1" applyAlignment="1" applyProtection="1">
      <alignment horizontal="center" vertical="center"/>
    </xf>
    <xf numFmtId="176" fontId="33" fillId="17" borderId="2" xfId="1" applyNumberFormat="1" applyFill="1" applyBorder="1" applyProtection="1"/>
    <xf numFmtId="176" fontId="33" fillId="10" borderId="2" xfId="1" applyNumberFormat="1" applyFill="1" applyBorder="1" applyProtection="1"/>
    <xf numFmtId="166" fontId="12" fillId="41" borderId="2" xfId="2" applyNumberFormat="1" applyFont="1" applyFill="1" applyBorder="1" applyAlignment="1" applyProtection="1">
      <alignment vertical="center"/>
    </xf>
    <xf numFmtId="166" fontId="0" fillId="45" borderId="2" xfId="2" applyNumberFormat="1" applyFont="1" applyFill="1" applyBorder="1" applyAlignment="1" applyProtection="1">
      <alignment vertical="center"/>
    </xf>
    <xf numFmtId="176" fontId="33" fillId="45" borderId="2" xfId="1" applyNumberFormat="1" applyFill="1" applyBorder="1" applyProtection="1"/>
    <xf numFmtId="166" fontId="12" fillId="51" borderId="37" xfId="2" applyNumberFormat="1" applyFont="1" applyFill="1" applyBorder="1" applyAlignment="1" applyProtection="1">
      <alignment vertical="center"/>
    </xf>
    <xf numFmtId="177" fontId="1" fillId="22" borderId="2" xfId="2" applyNumberFormat="1" applyFont="1" applyFill="1" applyBorder="1" applyAlignment="1" applyProtection="1">
      <alignment vertical="center"/>
    </xf>
    <xf numFmtId="177" fontId="1" fillId="30" borderId="2" xfId="2" applyNumberFormat="1" applyFont="1" applyFill="1" applyBorder="1" applyAlignment="1" applyProtection="1">
      <alignment vertical="center"/>
    </xf>
    <xf numFmtId="177" fontId="1" fillId="22" borderId="6" xfId="2" applyNumberFormat="1" applyFont="1" applyFill="1" applyBorder="1" applyAlignment="1" applyProtection="1">
      <alignment vertical="center"/>
    </xf>
    <xf numFmtId="179" fontId="0" fillId="4" borderId="2" xfId="5" applyFont="1" applyFill="1" applyBorder="1" applyAlignment="1" applyProtection="1">
      <alignment horizontal="center" vertical="center"/>
      <protection locked="0"/>
    </xf>
    <xf numFmtId="171" fontId="33" fillId="52" borderId="2" xfId="2" applyNumberFormat="1" applyFill="1" applyBorder="1" applyAlignment="1" applyProtection="1">
      <alignment vertical="center"/>
    </xf>
    <xf numFmtId="176" fontId="33" fillId="29" borderId="2" xfId="1" applyNumberFormat="1" applyFill="1" applyBorder="1" applyProtection="1"/>
    <xf numFmtId="177" fontId="10" fillId="6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0" fillId="4" borderId="21" xfId="0" applyFont="1" applyFill="1" applyBorder="1" applyAlignment="1" applyProtection="1">
      <alignment horizontal="left" vertical="center"/>
      <protection locked="0"/>
    </xf>
    <xf numFmtId="0" fontId="0" fillId="4" borderId="21" xfId="0" applyFont="1" applyFill="1" applyBorder="1" applyProtection="1">
      <protection locked="0"/>
    </xf>
    <xf numFmtId="171" fontId="0" fillId="4" borderId="21" xfId="2" applyNumberFormat="1" applyFont="1" applyFill="1" applyBorder="1" applyAlignment="1" applyProtection="1">
      <alignment vertical="center"/>
      <protection locked="0"/>
    </xf>
    <xf numFmtId="165" fontId="0" fillId="4" borderId="17" xfId="0" applyNumberForma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/>
      <protection locked="0"/>
    </xf>
    <xf numFmtId="0" fontId="0" fillId="4" borderId="2" xfId="0" applyFont="1" applyFill="1" applyBorder="1" applyAlignment="1" applyProtection="1">
      <alignment horizontal="left" vertical="center"/>
      <protection locked="0"/>
    </xf>
    <xf numFmtId="0" fontId="0" fillId="4" borderId="2" xfId="0" applyFont="1" applyFill="1" applyBorder="1" applyProtection="1">
      <protection locked="0"/>
    </xf>
    <xf numFmtId="171" fontId="0" fillId="4" borderId="2" xfId="2" applyNumberFormat="1" applyFont="1" applyFill="1" applyBorder="1" applyAlignment="1" applyProtection="1">
      <alignment vertical="center"/>
      <protection locked="0"/>
    </xf>
    <xf numFmtId="171" fontId="0" fillId="4" borderId="8" xfId="2" applyNumberFormat="1" applyFont="1" applyFill="1" applyBorder="1" applyAlignment="1" applyProtection="1">
      <alignment vertical="center"/>
      <protection locked="0"/>
    </xf>
    <xf numFmtId="165" fontId="0" fillId="4" borderId="25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4" borderId="2" xfId="0" applyFill="1" applyBorder="1" applyProtection="1">
      <protection locked="0"/>
    </xf>
    <xf numFmtId="166" fontId="0" fillId="4" borderId="2" xfId="0" applyNumberFormat="1" applyFont="1" applyFill="1" applyBorder="1" applyAlignment="1" applyProtection="1">
      <alignment vertical="center"/>
      <protection locked="0"/>
    </xf>
    <xf numFmtId="0" fontId="0" fillId="4" borderId="29" xfId="0" applyFill="1" applyBorder="1" applyAlignment="1" applyProtection="1">
      <alignment horizontal="left" vertical="center"/>
      <protection locked="0"/>
    </xf>
    <xf numFmtId="0" fontId="0" fillId="4" borderId="29" xfId="0" applyFill="1" applyBorder="1" applyProtection="1">
      <protection locked="0"/>
    </xf>
    <xf numFmtId="171" fontId="0" fillId="4" borderId="29" xfId="2" applyNumberFormat="1" applyFont="1" applyFill="1" applyBorder="1" applyAlignment="1" applyProtection="1">
      <alignment vertical="center"/>
      <protection locked="0"/>
    </xf>
    <xf numFmtId="171" fontId="0" fillId="4" borderId="72" xfId="2" applyNumberFormat="1" applyFont="1" applyFill="1" applyBorder="1" applyAlignment="1" applyProtection="1">
      <alignment vertical="center"/>
      <protection locked="0"/>
    </xf>
    <xf numFmtId="165" fontId="0" fillId="4" borderId="32" xfId="0" applyNumberFormat="1" applyFill="1" applyBorder="1" applyAlignment="1" applyProtection="1">
      <alignment horizontal="center" vertical="center"/>
      <protection locked="0"/>
    </xf>
    <xf numFmtId="165" fontId="0" fillId="4" borderId="37" xfId="3" applyFont="1" applyFill="1" applyBorder="1" applyAlignment="1" applyProtection="1">
      <alignment horizontal="center" vertical="center"/>
      <protection locked="0"/>
    </xf>
    <xf numFmtId="165" fontId="0" fillId="4" borderId="20" xfId="3" applyFont="1" applyFill="1" applyBorder="1" applyAlignment="1" applyProtection="1">
      <alignment horizontal="center" vertical="center"/>
      <protection locked="0"/>
    </xf>
    <xf numFmtId="165" fontId="0" fillId="4" borderId="6" xfId="3" applyFont="1" applyFill="1" applyBorder="1" applyAlignment="1" applyProtection="1">
      <alignment horizontal="center" vertical="center"/>
      <protection locked="0"/>
    </xf>
    <xf numFmtId="165" fontId="0" fillId="4" borderId="20" xfId="0" applyNumberFormat="1" applyFill="1" applyBorder="1" applyAlignment="1" applyProtection="1">
      <alignment horizontal="center" vertical="center"/>
      <protection locked="0"/>
    </xf>
    <xf numFmtId="165" fontId="0" fillId="4" borderId="24" xfId="3" applyFont="1" applyFill="1" applyBorder="1" applyAlignment="1" applyProtection="1">
      <alignment horizontal="center" vertical="center"/>
      <protection locked="0"/>
    </xf>
    <xf numFmtId="171" fontId="0" fillId="4" borderId="2" xfId="0" applyNumberFormat="1" applyFont="1" applyFill="1" applyBorder="1" applyAlignment="1" applyProtection="1">
      <alignment vertical="center"/>
      <protection locked="0"/>
    </xf>
    <xf numFmtId="0" fontId="17" fillId="4" borderId="2" xfId="0" applyFont="1" applyFill="1" applyBorder="1" applyProtection="1">
      <protection locked="0"/>
    </xf>
    <xf numFmtId="165" fontId="0" fillId="4" borderId="27" xfId="0" applyNumberFormat="1" applyFill="1" applyBorder="1" applyAlignment="1" applyProtection="1">
      <alignment horizontal="center" vertical="center"/>
      <protection locked="0"/>
    </xf>
    <xf numFmtId="165" fontId="0" fillId="4" borderId="31" xfId="3" applyFont="1" applyFill="1" applyBorder="1" applyAlignment="1" applyProtection="1">
      <alignment horizontal="center" vertical="center"/>
      <protection locked="0"/>
    </xf>
    <xf numFmtId="166" fontId="1" fillId="5" borderId="19" xfId="0" applyNumberFormat="1" applyFont="1" applyFill="1" applyBorder="1" applyAlignment="1" applyProtection="1">
      <alignment horizontal="center" vertical="center" wrapText="1"/>
    </xf>
    <xf numFmtId="166" fontId="1" fillId="5" borderId="37" xfId="0" applyNumberFormat="1" applyFont="1" applyFill="1" applyBorder="1" applyAlignment="1" applyProtection="1">
      <alignment horizontal="center" vertical="center" wrapText="1"/>
    </xf>
    <xf numFmtId="177" fontId="0" fillId="0" borderId="56" xfId="2" applyNumberFormat="1" applyFont="1" applyBorder="1" applyAlignment="1" applyProtection="1">
      <alignment vertical="center"/>
    </xf>
    <xf numFmtId="166" fontId="0" fillId="8" borderId="20" xfId="2" applyNumberFormat="1" applyFont="1" applyFill="1" applyBorder="1" applyAlignment="1" applyProtection="1">
      <alignment vertical="center"/>
    </xf>
    <xf numFmtId="166" fontId="0" fillId="8" borderId="21" xfId="2" applyNumberFormat="1" applyFont="1" applyFill="1" applyBorder="1" applyAlignment="1" applyProtection="1">
      <alignment vertical="center"/>
    </xf>
    <xf numFmtId="166" fontId="0" fillId="8" borderId="23" xfId="2" applyNumberFormat="1" applyFont="1" applyFill="1" applyBorder="1" applyAlignment="1" applyProtection="1">
      <alignment vertical="center"/>
    </xf>
    <xf numFmtId="166" fontId="0" fillId="20" borderId="24" xfId="2" applyNumberFormat="1" applyFont="1" applyFill="1" applyBorder="1" applyAlignment="1" applyProtection="1">
      <alignment vertical="center"/>
    </xf>
    <xf numFmtId="166" fontId="0" fillId="20" borderId="21" xfId="2" applyNumberFormat="1" applyFont="1" applyFill="1" applyBorder="1" applyAlignment="1" applyProtection="1">
      <alignment vertical="center"/>
    </xf>
    <xf numFmtId="166" fontId="0" fillId="20" borderId="22" xfId="2" applyNumberFormat="1" applyFont="1" applyFill="1" applyBorder="1" applyAlignment="1" applyProtection="1">
      <alignment vertical="center"/>
    </xf>
    <xf numFmtId="172" fontId="0" fillId="0" borderId="20" xfId="0" applyNumberFormat="1" applyFont="1" applyBorder="1" applyAlignment="1" applyProtection="1">
      <alignment horizontal="center" vertical="center"/>
    </xf>
    <xf numFmtId="172" fontId="0" fillId="0" borderId="21" xfId="0" applyNumberFormat="1" applyFont="1" applyBorder="1" applyAlignment="1" applyProtection="1">
      <alignment horizontal="center" vertical="center"/>
    </xf>
    <xf numFmtId="172" fontId="0" fillId="0" borderId="23" xfId="0" applyNumberFormat="1" applyFont="1" applyBorder="1" applyAlignment="1" applyProtection="1">
      <alignment horizontal="center" vertical="center"/>
    </xf>
    <xf numFmtId="177" fontId="0" fillId="0" borderId="7" xfId="2" applyNumberFormat="1" applyFont="1" applyBorder="1" applyAlignment="1" applyProtection="1">
      <alignment vertical="center"/>
    </xf>
    <xf numFmtId="166" fontId="0" fillId="8" borderId="27" xfId="2" applyNumberFormat="1" applyFont="1" applyFill="1" applyBorder="1" applyAlignment="1" applyProtection="1">
      <alignment vertical="center"/>
    </xf>
    <xf numFmtId="166" fontId="0" fillId="8" borderId="29" xfId="2" applyNumberFormat="1" applyFont="1" applyFill="1" applyBorder="1" applyAlignment="1" applyProtection="1">
      <alignment vertical="center"/>
    </xf>
    <xf numFmtId="166" fontId="0" fillId="8" borderId="30" xfId="2" applyNumberFormat="1" applyFont="1" applyFill="1" applyBorder="1" applyAlignment="1" applyProtection="1">
      <alignment vertical="center"/>
    </xf>
    <xf numFmtId="166" fontId="0" fillId="20" borderId="31" xfId="2" applyNumberFormat="1" applyFont="1" applyFill="1" applyBorder="1" applyAlignment="1" applyProtection="1">
      <alignment vertical="center"/>
    </xf>
    <xf numFmtId="166" fontId="0" fillId="20" borderId="29" xfId="2" applyNumberFormat="1" applyFont="1" applyFill="1" applyBorder="1" applyAlignment="1" applyProtection="1">
      <alignment vertical="center"/>
    </xf>
    <xf numFmtId="166" fontId="0" fillId="20" borderId="28" xfId="2" applyNumberFormat="1" applyFont="1" applyFill="1" applyBorder="1" applyAlignment="1" applyProtection="1">
      <alignment vertical="center"/>
    </xf>
    <xf numFmtId="166" fontId="0" fillId="0" borderId="27" xfId="2" applyNumberFormat="1" applyFont="1" applyBorder="1" applyAlignment="1" applyProtection="1">
      <alignment vertical="center"/>
    </xf>
    <xf numFmtId="166" fontId="0" fillId="0" borderId="29" xfId="2" applyNumberFormat="1" applyFont="1" applyBorder="1" applyAlignment="1" applyProtection="1">
      <alignment vertical="center"/>
    </xf>
    <xf numFmtId="166" fontId="0" fillId="0" borderId="28" xfId="2" applyNumberFormat="1" applyFont="1" applyBorder="1" applyAlignment="1" applyProtection="1">
      <alignment vertical="center"/>
    </xf>
    <xf numFmtId="172" fontId="0" fillId="0" borderId="27" xfId="0" applyNumberFormat="1" applyFont="1" applyBorder="1" applyAlignment="1" applyProtection="1">
      <alignment horizontal="center" vertical="center"/>
    </xf>
    <xf numFmtId="172" fontId="0" fillId="0" borderId="29" xfId="0" applyNumberFormat="1" applyFont="1" applyBorder="1" applyAlignment="1" applyProtection="1">
      <alignment horizontal="center" vertical="center"/>
    </xf>
    <xf numFmtId="172" fontId="0" fillId="0" borderId="30" xfId="0" applyNumberFormat="1" applyFont="1" applyBorder="1" applyAlignment="1" applyProtection="1">
      <alignment horizontal="center" vertical="center"/>
    </xf>
    <xf numFmtId="177" fontId="0" fillId="0" borderId="59" xfId="2" applyNumberFormat="1" applyFont="1" applyBorder="1" applyAlignment="1" applyProtection="1">
      <alignment vertical="center"/>
    </xf>
    <xf numFmtId="166" fontId="0" fillId="20" borderId="37" xfId="2" applyNumberFormat="1" applyFont="1" applyFill="1" applyBorder="1" applyAlignment="1" applyProtection="1">
      <alignment vertical="center"/>
    </xf>
    <xf numFmtId="166" fontId="0" fillId="20" borderId="5" xfId="2" applyNumberFormat="1" applyFont="1" applyFill="1" applyBorder="1" applyAlignment="1" applyProtection="1">
      <alignment vertical="center"/>
    </xf>
    <xf numFmtId="166" fontId="0" fillId="20" borderId="18" xfId="2" applyNumberFormat="1" applyFont="1" applyFill="1" applyBorder="1" applyAlignment="1" applyProtection="1">
      <alignment vertical="center"/>
    </xf>
    <xf numFmtId="0" fontId="6" fillId="0" borderId="39" xfId="0" applyFont="1" applyBorder="1" applyAlignment="1" applyProtection="1">
      <alignment horizontal="left" vertical="center" wrapText="1"/>
    </xf>
    <xf numFmtId="177" fontId="0" fillId="0" borderId="62" xfId="2" applyNumberFormat="1" applyFont="1" applyBorder="1" applyAlignment="1" applyProtection="1">
      <alignment vertical="center"/>
    </xf>
    <xf numFmtId="172" fontId="0" fillId="0" borderId="24" xfId="0" applyNumberFormat="1" applyFont="1" applyBorder="1" applyAlignment="1" applyProtection="1">
      <alignment horizontal="center" vertical="center"/>
    </xf>
    <xf numFmtId="172" fontId="0" fillId="0" borderId="67" xfId="0" applyNumberFormat="1" applyFont="1" applyBorder="1" applyAlignment="1" applyProtection="1">
      <alignment horizontal="center" vertical="center"/>
    </xf>
    <xf numFmtId="166" fontId="0" fillId="20" borderId="71" xfId="2" applyNumberFormat="1" applyFont="1" applyFill="1" applyBorder="1" applyAlignment="1" applyProtection="1">
      <alignment vertical="center"/>
    </xf>
    <xf numFmtId="166" fontId="0" fillId="20" borderId="72" xfId="2" applyNumberFormat="1" applyFont="1" applyFill="1" applyBorder="1" applyAlignment="1" applyProtection="1">
      <alignment vertical="center"/>
    </xf>
    <xf numFmtId="166" fontId="0" fillId="20" borderId="69" xfId="2" applyNumberFormat="1" applyFont="1" applyFill="1" applyBorder="1" applyAlignment="1" applyProtection="1">
      <alignment vertical="center"/>
    </xf>
    <xf numFmtId="166" fontId="0" fillId="0" borderId="30" xfId="2" applyNumberFormat="1" applyFont="1" applyBorder="1" applyAlignment="1" applyProtection="1">
      <alignment vertical="center"/>
    </xf>
    <xf numFmtId="172" fontId="0" fillId="0" borderId="32" xfId="0" applyNumberFormat="1" applyFont="1" applyBorder="1" applyAlignment="1" applyProtection="1">
      <alignment horizontal="center" vertical="center"/>
    </xf>
    <xf numFmtId="172" fontId="0" fillId="0" borderId="71" xfId="0" applyNumberFormat="1" applyFont="1" applyBorder="1" applyAlignment="1" applyProtection="1">
      <alignment horizontal="center" vertical="center"/>
    </xf>
    <xf numFmtId="172" fontId="0" fillId="0" borderId="49" xfId="0" applyNumberFormat="1" applyFont="1" applyBorder="1" applyAlignment="1" applyProtection="1">
      <alignment horizontal="center" vertical="center"/>
    </xf>
    <xf numFmtId="166" fontId="0" fillId="8" borderId="34" xfId="2" applyNumberFormat="1" applyFont="1" applyFill="1" applyBorder="1" applyAlignment="1" applyProtection="1">
      <alignment vertical="center"/>
    </xf>
    <xf numFmtId="166" fontId="0" fillId="8" borderId="8" xfId="2" applyNumberFormat="1" applyFont="1" applyFill="1" applyBorder="1" applyAlignment="1" applyProtection="1">
      <alignment vertical="center"/>
    </xf>
    <xf numFmtId="166" fontId="0" fillId="8" borderId="35" xfId="2" applyNumberFormat="1" applyFont="1" applyFill="1" applyBorder="1" applyAlignment="1" applyProtection="1">
      <alignment vertical="center"/>
    </xf>
    <xf numFmtId="166" fontId="0" fillId="8" borderId="25" xfId="2" applyNumberFormat="1" applyFont="1" applyFill="1" applyBorder="1" applyAlignment="1" applyProtection="1">
      <alignment vertical="center"/>
    </xf>
    <xf numFmtId="166" fontId="0" fillId="20" borderId="36" xfId="2" applyNumberFormat="1" applyFont="1" applyFill="1" applyBorder="1" applyAlignment="1" applyProtection="1">
      <alignment vertical="center"/>
    </xf>
    <xf numFmtId="172" fontId="0" fillId="0" borderId="34" xfId="0" applyNumberFormat="1" applyFont="1" applyBorder="1" applyAlignment="1" applyProtection="1">
      <alignment horizontal="center" vertical="center"/>
    </xf>
    <xf numFmtId="177" fontId="0" fillId="0" borderId="57" xfId="2" applyNumberFormat="1" applyFont="1" applyBorder="1" applyAlignment="1" applyProtection="1">
      <alignment vertical="center"/>
    </xf>
    <xf numFmtId="0" fontId="0" fillId="3" borderId="0" xfId="0" applyFont="1" applyFill="1" applyProtection="1"/>
    <xf numFmtId="0" fontId="0" fillId="3" borderId="0" xfId="0" applyFont="1" applyFill="1" applyAlignment="1" applyProtection="1"/>
    <xf numFmtId="0" fontId="6" fillId="0" borderId="55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180" fontId="1" fillId="26" borderId="2" xfId="0" applyNumberFormat="1" applyFont="1" applyFill="1" applyBorder="1" applyAlignment="1" applyProtection="1">
      <alignment horizontal="center" vertical="center"/>
    </xf>
    <xf numFmtId="172" fontId="1" fillId="9" borderId="2" xfId="3" applyNumberFormat="1" applyFont="1" applyFill="1" applyBorder="1" applyAlignment="1" applyProtection="1">
      <alignment horizontal="center" vertical="center"/>
    </xf>
    <xf numFmtId="180" fontId="0" fillId="3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180" fontId="0" fillId="8" borderId="22" xfId="0" applyNumberFormat="1" applyFont="1" applyFill="1" applyBorder="1" applyAlignment="1" applyProtection="1">
      <alignment horizontal="right" vertical="center"/>
    </xf>
    <xf numFmtId="180" fontId="0" fillId="0" borderId="0" xfId="0" applyNumberFormat="1" applyFont="1" applyBorder="1" applyAlignment="1" applyProtection="1">
      <alignment horizontal="right" vertical="center"/>
    </xf>
    <xf numFmtId="180" fontId="1" fillId="0" borderId="0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17" fontId="7" fillId="0" borderId="0" xfId="0" applyNumberFormat="1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171" fontId="0" fillId="8" borderId="2" xfId="2" applyNumberFormat="1" applyFont="1" applyFill="1" applyBorder="1" applyAlignment="1" applyProtection="1">
      <alignment vertical="center"/>
    </xf>
    <xf numFmtId="180" fontId="0" fillId="8" borderId="4" xfId="0" applyNumberFormat="1" applyFont="1" applyFill="1" applyBorder="1" applyAlignment="1" applyProtection="1">
      <alignment horizontal="right" vertical="center"/>
    </xf>
    <xf numFmtId="0" fontId="8" fillId="4" borderId="2" xfId="0" applyFont="1" applyFill="1" applyBorder="1" applyAlignment="1" applyProtection="1">
      <alignment horizontal="left" vertical="center"/>
      <protection locked="0"/>
    </xf>
    <xf numFmtId="171" fontId="8" fillId="4" borderId="2" xfId="2" applyNumberFormat="1" applyFont="1" applyFill="1" applyBorder="1" applyAlignment="1" applyProtection="1">
      <alignment vertical="center"/>
      <protection locked="0"/>
    </xf>
    <xf numFmtId="171" fontId="8" fillId="8" borderId="2" xfId="2" applyNumberFormat="1" applyFont="1" applyFill="1" applyBorder="1" applyAlignment="1" applyProtection="1">
      <alignment vertical="center"/>
    </xf>
    <xf numFmtId="0" fontId="0" fillId="4" borderId="29" xfId="0" applyFont="1" applyFill="1" applyBorder="1" applyAlignment="1" applyProtection="1">
      <alignment horizontal="left" vertical="center"/>
      <protection locked="0"/>
    </xf>
    <xf numFmtId="180" fontId="0" fillId="8" borderId="28" xfId="0" applyNumberFormat="1" applyFont="1" applyFill="1" applyBorder="1" applyAlignment="1" applyProtection="1">
      <alignment horizontal="right" vertical="center"/>
    </xf>
    <xf numFmtId="165" fontId="0" fillId="0" borderId="0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Protection="1"/>
    <xf numFmtId="0" fontId="0" fillId="3" borderId="0" xfId="0" applyFont="1" applyFill="1" applyAlignment="1" applyProtection="1">
      <alignment vertical="center"/>
    </xf>
    <xf numFmtId="180" fontId="1" fillId="3" borderId="0" xfId="0" applyNumberFormat="1" applyFont="1" applyFill="1" applyBorder="1" applyAlignment="1" applyProtection="1">
      <alignment horizontal="right" vertical="center"/>
    </xf>
    <xf numFmtId="165" fontId="0" fillId="3" borderId="0" xfId="0" applyNumberFormat="1" applyFont="1" applyFill="1" applyBorder="1" applyAlignment="1" applyProtection="1">
      <alignment horizontal="center" vertical="center"/>
    </xf>
    <xf numFmtId="0" fontId="0" fillId="3" borderId="0" xfId="0" applyFont="1" applyFill="1" applyBorder="1" applyProtection="1"/>
    <xf numFmtId="180" fontId="0" fillId="8" borderId="2" xfId="0" applyNumberFormat="1" applyFont="1" applyFill="1" applyBorder="1" applyAlignment="1" applyProtection="1">
      <alignment horizontal="right" vertical="center"/>
    </xf>
    <xf numFmtId="171" fontId="0" fillId="25" borderId="8" xfId="2" applyNumberFormat="1" applyFont="1" applyFill="1" applyBorder="1" applyAlignment="1" applyProtection="1">
      <alignment vertical="center"/>
    </xf>
    <xf numFmtId="171" fontId="0" fillId="10" borderId="8" xfId="2" applyNumberFormat="1" applyFont="1" applyFill="1" applyBorder="1" applyAlignment="1" applyProtection="1">
      <alignment vertical="center"/>
    </xf>
    <xf numFmtId="180" fontId="0" fillId="24" borderId="33" xfId="0" applyNumberFormat="1" applyFont="1" applyFill="1" applyBorder="1" applyAlignment="1" applyProtection="1">
      <alignment horizontal="right" vertical="center"/>
    </xf>
    <xf numFmtId="0" fontId="0" fillId="25" borderId="2" xfId="0" applyFont="1" applyFill="1" applyBorder="1" applyAlignment="1" applyProtection="1">
      <alignment horizontal="left" vertical="center"/>
    </xf>
    <xf numFmtId="171" fontId="0" fillId="25" borderId="2" xfId="2" applyNumberFormat="1" applyFont="1" applyFill="1" applyBorder="1" applyAlignment="1" applyProtection="1">
      <alignment vertical="center"/>
    </xf>
    <xf numFmtId="171" fontId="0" fillId="10" borderId="2" xfId="2" applyNumberFormat="1" applyFont="1" applyFill="1" applyBorder="1" applyAlignment="1" applyProtection="1">
      <alignment vertical="center"/>
    </xf>
    <xf numFmtId="180" fontId="0" fillId="24" borderId="4" xfId="0" applyNumberFormat="1" applyFont="1" applyFill="1" applyBorder="1" applyAlignment="1" applyProtection="1">
      <alignment horizontal="right" vertical="center"/>
    </xf>
    <xf numFmtId="0" fontId="0" fillId="25" borderId="29" xfId="0" applyFont="1" applyFill="1" applyBorder="1" applyAlignment="1" applyProtection="1">
      <alignment horizontal="left" vertical="center"/>
    </xf>
    <xf numFmtId="171" fontId="0" fillId="25" borderId="29" xfId="2" applyNumberFormat="1" applyFont="1" applyFill="1" applyBorder="1" applyAlignment="1" applyProtection="1">
      <alignment vertical="center"/>
    </xf>
    <xf numFmtId="171" fontId="0" fillId="10" borderId="29" xfId="2" applyNumberFormat="1" applyFont="1" applyFill="1" applyBorder="1" applyAlignment="1" applyProtection="1">
      <alignment vertical="center"/>
    </xf>
    <xf numFmtId="180" fontId="0" fillId="24" borderId="28" xfId="0" applyNumberFormat="1" applyFont="1" applyFill="1" applyBorder="1" applyAlignment="1" applyProtection="1">
      <alignment horizontal="right" vertical="center"/>
    </xf>
    <xf numFmtId="0" fontId="0" fillId="25" borderId="21" xfId="0" applyFont="1" applyFill="1" applyBorder="1" applyAlignment="1" applyProtection="1">
      <alignment horizontal="left" vertical="center"/>
    </xf>
    <xf numFmtId="171" fontId="0" fillId="25" borderId="21" xfId="2" applyNumberFormat="1" applyFont="1" applyFill="1" applyBorder="1" applyAlignment="1" applyProtection="1">
      <alignment vertical="center"/>
    </xf>
    <xf numFmtId="171" fontId="0" fillId="24" borderId="21" xfId="2" applyNumberFormat="1" applyFont="1" applyFill="1" applyBorder="1" applyAlignment="1" applyProtection="1">
      <alignment vertical="center"/>
    </xf>
    <xf numFmtId="180" fontId="0" fillId="24" borderId="22" xfId="0" applyNumberFormat="1" applyFont="1" applyFill="1" applyBorder="1" applyAlignment="1" applyProtection="1">
      <alignment horizontal="right" vertical="center"/>
    </xf>
    <xf numFmtId="171" fontId="0" fillId="24" borderId="2" xfId="2" applyNumberFormat="1" applyFont="1" applyFill="1" applyBorder="1" applyAlignment="1" applyProtection="1">
      <alignment vertical="center"/>
    </xf>
    <xf numFmtId="171" fontId="0" fillId="24" borderId="29" xfId="2" applyNumberFormat="1" applyFont="1" applyFill="1" applyBorder="1" applyAlignment="1" applyProtection="1">
      <alignment vertical="center"/>
    </xf>
    <xf numFmtId="0" fontId="0" fillId="3" borderId="0" xfId="0" applyFont="1" applyFill="1" applyBorder="1" applyAlignment="1" applyProtection="1">
      <alignment horizontal="left" vertical="center"/>
    </xf>
    <xf numFmtId="0" fontId="1" fillId="0" borderId="0" xfId="0" applyFont="1" applyBorder="1" applyProtection="1"/>
    <xf numFmtId="180" fontId="9" fillId="28" borderId="48" xfId="0" applyNumberFormat="1" applyFont="1" applyFill="1" applyBorder="1" applyAlignment="1" applyProtection="1">
      <alignment horizontal="center" vertical="center"/>
    </xf>
    <xf numFmtId="180" fontId="6" fillId="28" borderId="48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left" vertical="center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30" xfId="0" applyFont="1" applyFill="1" applyBorder="1" applyAlignment="1" applyProtection="1">
      <alignment horizontal="center" vertical="center" wrapText="1"/>
    </xf>
    <xf numFmtId="0" fontId="1" fillId="5" borderId="37" xfId="0" applyFont="1" applyFill="1" applyBorder="1" applyAlignment="1" applyProtection="1">
      <alignment horizontal="center" vertical="center"/>
    </xf>
    <xf numFmtId="177" fontId="0" fillId="0" borderId="4" xfId="2" applyNumberFormat="1" applyFont="1" applyBorder="1" applyAlignment="1" applyProtection="1">
      <alignment vertical="center"/>
    </xf>
    <xf numFmtId="166" fontId="0" fillId="8" borderId="22" xfId="2" applyNumberFormat="1" applyFont="1" applyFill="1" applyBorder="1" applyAlignment="1" applyProtection="1">
      <alignment vertical="center"/>
    </xf>
    <xf numFmtId="181" fontId="33" fillId="20" borderId="20" xfId="3" applyNumberFormat="1" applyFill="1" applyBorder="1" applyAlignment="1" applyProtection="1">
      <alignment horizontal="center" vertical="center"/>
    </xf>
    <xf numFmtId="181" fontId="33" fillId="20" borderId="21" xfId="3" applyNumberFormat="1" applyFill="1" applyBorder="1" applyAlignment="1" applyProtection="1">
      <alignment horizontal="center" vertical="center"/>
    </xf>
    <xf numFmtId="181" fontId="33" fillId="20" borderId="23" xfId="3" applyNumberFormat="1" applyFill="1" applyBorder="1" applyAlignment="1" applyProtection="1">
      <alignment horizontal="center" vertical="center"/>
    </xf>
    <xf numFmtId="0" fontId="0" fillId="4" borderId="24" xfId="0" applyFont="1" applyFill="1" applyBorder="1" applyAlignment="1" applyProtection="1">
      <alignment horizontal="left" vertical="center"/>
      <protection locked="0"/>
    </xf>
    <xf numFmtId="166" fontId="0" fillId="4" borderId="23" xfId="2" applyNumberFormat="1" applyFont="1" applyFill="1" applyBorder="1" applyAlignment="1" applyProtection="1">
      <alignment vertical="center"/>
      <protection locked="0"/>
    </xf>
    <xf numFmtId="166" fontId="0" fillId="8" borderId="52" xfId="2" applyNumberFormat="1" applyFont="1" applyFill="1" applyBorder="1" applyAlignment="1" applyProtection="1">
      <alignment vertical="center"/>
    </xf>
    <xf numFmtId="167" fontId="0" fillId="0" borderId="0" xfId="2" applyFont="1" applyBorder="1" applyAlignment="1" applyProtection="1">
      <alignment vertical="center"/>
    </xf>
    <xf numFmtId="166" fontId="0" fillId="8" borderId="28" xfId="2" applyNumberFormat="1" applyFont="1" applyFill="1" applyBorder="1" applyAlignment="1" applyProtection="1">
      <alignment vertical="center"/>
    </xf>
    <xf numFmtId="181" fontId="33" fillId="20" borderId="27" xfId="3" applyNumberFormat="1" applyFill="1" applyBorder="1" applyAlignment="1" applyProtection="1">
      <alignment horizontal="center" vertical="center"/>
    </xf>
    <xf numFmtId="181" fontId="33" fillId="20" borderId="29" xfId="3" applyNumberFormat="1" applyFill="1" applyBorder="1" applyAlignment="1" applyProtection="1">
      <alignment horizontal="center" vertical="center"/>
    </xf>
    <xf numFmtId="181" fontId="33" fillId="20" borderId="30" xfId="3" applyNumberFormat="1" applyFill="1" applyBorder="1" applyAlignment="1" applyProtection="1">
      <alignment horizontal="center" vertical="center"/>
    </xf>
    <xf numFmtId="0" fontId="0" fillId="4" borderId="37" xfId="0" applyFont="1" applyFill="1" applyBorder="1" applyAlignment="1" applyProtection="1">
      <alignment horizontal="left" vertical="center"/>
      <protection locked="0"/>
    </xf>
    <xf numFmtId="166" fontId="0" fillId="4" borderId="19" xfId="2" applyNumberFormat="1" applyFont="1" applyFill="1" applyBorder="1" applyAlignment="1" applyProtection="1">
      <alignment vertical="center"/>
      <protection locked="0"/>
    </xf>
    <xf numFmtId="166" fontId="0" fillId="8" borderId="76" xfId="2" applyNumberFormat="1" applyFont="1" applyFill="1" applyBorder="1" applyAlignment="1" applyProtection="1">
      <alignment vertical="center"/>
    </xf>
    <xf numFmtId="0" fontId="9" fillId="0" borderId="20" xfId="0" applyFont="1" applyBorder="1" applyAlignment="1" applyProtection="1">
      <alignment horizontal="center" vertical="center" wrapText="1"/>
    </xf>
    <xf numFmtId="177" fontId="0" fillId="0" borderId="22" xfId="2" applyNumberFormat="1" applyFont="1" applyBorder="1" applyAlignment="1" applyProtection="1">
      <alignment vertical="center"/>
    </xf>
    <xf numFmtId="166" fontId="0" fillId="8" borderId="67" xfId="2" applyNumberFormat="1" applyFont="1" applyFill="1" applyBorder="1" applyAlignment="1" applyProtection="1">
      <alignment vertical="center"/>
    </xf>
    <xf numFmtId="166" fontId="0" fillId="8" borderId="77" xfId="2" applyNumberFormat="1" applyFont="1" applyFill="1" applyBorder="1" applyAlignment="1" applyProtection="1">
      <alignment vertical="center"/>
    </xf>
    <xf numFmtId="166" fontId="0" fillId="24" borderId="75" xfId="2" applyNumberFormat="1" applyFont="1" applyFill="1" applyBorder="1" applyAlignment="1" applyProtection="1">
      <alignment vertical="center"/>
    </xf>
    <xf numFmtId="177" fontId="0" fillId="0" borderId="28" xfId="2" applyNumberFormat="1" applyFont="1" applyBorder="1" applyAlignment="1" applyProtection="1">
      <alignment vertical="center"/>
    </xf>
    <xf numFmtId="166" fontId="1" fillId="5" borderId="25" xfId="0" applyNumberFormat="1" applyFont="1" applyFill="1" applyBorder="1" applyAlignment="1" applyProtection="1">
      <alignment horizontal="center" vertical="center" wrapText="1"/>
    </xf>
    <xf numFmtId="166" fontId="1" fillId="5" borderId="2" xfId="0" applyNumberFormat="1" applyFont="1" applyFill="1" applyBorder="1" applyAlignment="1" applyProtection="1">
      <alignment horizontal="center" vertical="center" wrapText="1"/>
    </xf>
    <xf numFmtId="166" fontId="1" fillId="5" borderId="4" xfId="0" applyNumberFormat="1" applyFont="1" applyFill="1" applyBorder="1" applyAlignment="1" applyProtection="1">
      <alignment horizontal="center" vertical="center" wrapText="1"/>
    </xf>
    <xf numFmtId="0" fontId="1" fillId="5" borderId="19" xfId="0" applyFont="1" applyFill="1" applyBorder="1" applyAlignment="1" applyProtection="1">
      <alignment horizontal="center" vertical="center" wrapText="1"/>
    </xf>
    <xf numFmtId="181" fontId="33" fillId="20" borderId="22" xfId="3" applyNumberFormat="1" applyFill="1" applyBorder="1" applyAlignment="1" applyProtection="1">
      <alignment horizontal="center" vertical="center"/>
    </xf>
    <xf numFmtId="0" fontId="0" fillId="4" borderId="20" xfId="0" applyFont="1" applyFill="1" applyBorder="1" applyAlignment="1" applyProtection="1">
      <alignment horizontal="left" vertical="center"/>
      <protection locked="0"/>
    </xf>
    <xf numFmtId="166" fontId="0" fillId="24" borderId="52" xfId="2" applyNumberFormat="1" applyFont="1" applyFill="1" applyBorder="1" applyAlignment="1" applyProtection="1">
      <alignment vertical="center"/>
    </xf>
    <xf numFmtId="177" fontId="0" fillId="0" borderId="18" xfId="2" applyNumberFormat="1" applyFont="1" applyBorder="1" applyAlignment="1" applyProtection="1">
      <alignment vertical="center"/>
    </xf>
    <xf numFmtId="166" fontId="0" fillId="8" borderId="17" xfId="2" applyNumberFormat="1" applyFont="1" applyFill="1" applyBorder="1" applyAlignment="1" applyProtection="1">
      <alignment vertical="center"/>
    </xf>
    <xf numFmtId="166" fontId="0" fillId="8" borderId="18" xfId="2" applyNumberFormat="1" applyFont="1" applyFill="1" applyBorder="1" applyAlignment="1" applyProtection="1">
      <alignment vertical="center"/>
    </xf>
    <xf numFmtId="181" fontId="33" fillId="20" borderId="28" xfId="3" applyNumberFormat="1" applyFill="1" applyBorder="1" applyAlignment="1" applyProtection="1">
      <alignment horizontal="center" vertical="center"/>
    </xf>
    <xf numFmtId="0" fontId="0" fillId="4" borderId="27" xfId="0" applyFont="1" applyFill="1" applyBorder="1" applyAlignment="1" applyProtection="1">
      <alignment horizontal="left" vertical="center"/>
      <protection locked="0"/>
    </xf>
    <xf numFmtId="166" fontId="0" fillId="4" borderId="30" xfId="2" applyNumberFormat="1" applyFont="1" applyFill="1" applyBorder="1" applyAlignment="1" applyProtection="1">
      <alignment vertical="center"/>
      <protection locked="0"/>
    </xf>
    <xf numFmtId="0" fontId="0" fillId="4" borderId="31" xfId="0" applyFont="1" applyFill="1" applyBorder="1" applyAlignment="1" applyProtection="1">
      <alignment horizontal="left" vertical="center"/>
      <protection locked="0"/>
    </xf>
    <xf numFmtId="0" fontId="0" fillId="4" borderId="34" xfId="0" applyFont="1" applyFill="1" applyBorder="1" applyAlignment="1" applyProtection="1">
      <alignment horizontal="left" vertical="center"/>
      <protection locked="0"/>
    </xf>
    <xf numFmtId="166" fontId="0" fillId="4" borderId="35" xfId="2" applyNumberFormat="1" applyFont="1" applyFill="1" applyBorder="1" applyAlignment="1" applyProtection="1">
      <alignment vertical="center"/>
      <protection locked="0"/>
    </xf>
    <xf numFmtId="0" fontId="0" fillId="4" borderId="36" xfId="0" applyFont="1" applyFill="1" applyBorder="1" applyAlignment="1" applyProtection="1">
      <alignment horizontal="left" vertical="center"/>
      <protection locked="0"/>
    </xf>
    <xf numFmtId="166" fontId="0" fillId="8" borderId="78" xfId="2" applyNumberFormat="1" applyFont="1" applyFill="1" applyBorder="1" applyAlignment="1" applyProtection="1">
      <alignment vertical="center"/>
    </xf>
    <xf numFmtId="181" fontId="33" fillId="20" borderId="25" xfId="3" applyNumberFormat="1" applyFill="1" applyBorder="1" applyAlignment="1" applyProtection="1">
      <alignment horizontal="center" vertical="center"/>
    </xf>
    <xf numFmtId="0" fontId="0" fillId="4" borderId="25" xfId="0" applyFont="1" applyFill="1" applyBorder="1" applyAlignment="1" applyProtection="1">
      <alignment horizontal="left" vertical="center"/>
      <protection locked="0"/>
    </xf>
    <xf numFmtId="166" fontId="0" fillId="4" borderId="26" xfId="2" applyNumberFormat="1" applyFont="1" applyFill="1" applyBorder="1" applyAlignme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19" fillId="0" borderId="0" xfId="0" applyFont="1"/>
    <xf numFmtId="0" fontId="20" fillId="15" borderId="2" xfId="0" applyFont="1" applyFill="1" applyBorder="1" applyAlignment="1">
      <alignment horizontal="center"/>
    </xf>
    <xf numFmtId="0" fontId="20" fillId="15" borderId="2" xfId="0" applyFont="1" applyFill="1" applyBorder="1" applyAlignment="1">
      <alignment horizontal="left" wrapText="1"/>
    </xf>
    <xf numFmtId="0" fontId="20" fillId="8" borderId="2" xfId="0" applyFont="1" applyFill="1" applyBorder="1" applyAlignment="1">
      <alignment horizontal="center"/>
    </xf>
    <xf numFmtId="0" fontId="20" fillId="57" borderId="2" xfId="0" applyFont="1" applyFill="1" applyBorder="1" applyAlignment="1">
      <alignment horizontal="center" vertical="center"/>
    </xf>
    <xf numFmtId="179" fontId="20" fillId="57" borderId="2" xfId="5" applyFont="1" applyFill="1" applyBorder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20" fillId="0" borderId="2" xfId="0" applyFont="1" applyBorder="1" applyAlignment="1">
      <alignment horizontal="left" vertical="center" wrapText="1"/>
    </xf>
    <xf numFmtId="182" fontId="21" fillId="0" borderId="2" xfId="0" applyNumberFormat="1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/>
    </xf>
    <xf numFmtId="179" fontId="22" fillId="0" borderId="2" xfId="5" applyFont="1" applyBorder="1" applyAlignment="1" applyProtection="1">
      <alignment horizontal="center" vertical="center"/>
    </xf>
    <xf numFmtId="183" fontId="22" fillId="0" borderId="2" xfId="2" applyNumberFormat="1" applyFont="1" applyBorder="1" applyAlignment="1">
      <alignment horizontal="center" vertical="center"/>
    </xf>
    <xf numFmtId="179" fontId="23" fillId="0" borderId="2" xfId="5" applyFont="1" applyBorder="1" applyAlignment="1" applyProtection="1">
      <alignment horizontal="center" vertical="center"/>
    </xf>
    <xf numFmtId="184" fontId="22" fillId="0" borderId="2" xfId="0" applyNumberFormat="1" applyFont="1" applyBorder="1" applyAlignment="1">
      <alignment horizontal="center" vertical="center"/>
    </xf>
    <xf numFmtId="0" fontId="24" fillId="58" borderId="45" xfId="0" applyFont="1" applyFill="1" applyBorder="1" applyAlignment="1">
      <alignment vertical="center" wrapText="1"/>
    </xf>
    <xf numFmtId="0" fontId="22" fillId="0" borderId="2" xfId="0" applyFont="1" applyBorder="1" applyAlignment="1">
      <alignment horizontal="center"/>
    </xf>
    <xf numFmtId="179" fontId="22" fillId="0" borderId="2" xfId="5" applyFont="1" applyBorder="1" applyAlignment="1" applyProtection="1">
      <alignment horizontal="center"/>
    </xf>
    <xf numFmtId="183" fontId="22" fillId="0" borderId="2" xfId="2" applyNumberFormat="1" applyFont="1" applyBorder="1" applyAlignment="1">
      <alignment horizontal="center"/>
    </xf>
    <xf numFmtId="179" fontId="23" fillId="0" borderId="2" xfId="5" applyFont="1" applyBorder="1" applyAlignment="1" applyProtection="1">
      <alignment horizontal="center"/>
    </xf>
    <xf numFmtId="0" fontId="24" fillId="58" borderId="79" xfId="0" applyFont="1" applyFill="1" applyBorder="1" applyAlignment="1">
      <alignment horizontal="center" vertical="center" wrapText="1"/>
    </xf>
    <xf numFmtId="0" fontId="24" fillId="58" borderId="48" xfId="0" applyFont="1" applyFill="1" applyBorder="1" applyAlignment="1">
      <alignment horizontal="center" vertical="center" wrapText="1"/>
    </xf>
    <xf numFmtId="0" fontId="25" fillId="58" borderId="79" xfId="0" applyFont="1" applyFill="1" applyBorder="1" applyAlignment="1">
      <alignment horizontal="center" vertical="center" wrapText="1"/>
    </xf>
    <xf numFmtId="0" fontId="25" fillId="58" borderId="66" xfId="0" applyFont="1" applyFill="1" applyBorder="1" applyAlignment="1">
      <alignment horizontal="center" vertical="center" wrapText="1"/>
    </xf>
    <xf numFmtId="0" fontId="25" fillId="58" borderId="48" xfId="0" applyFont="1" applyFill="1" applyBorder="1" applyAlignment="1">
      <alignment horizontal="center" vertical="center" wrapText="1"/>
    </xf>
    <xf numFmtId="0" fontId="26" fillId="58" borderId="49" xfId="0" applyFont="1" applyFill="1" applyBorder="1" applyAlignment="1">
      <alignment horizontal="center" vertical="center" wrapText="1"/>
    </xf>
    <xf numFmtId="0" fontId="26" fillId="3" borderId="66" xfId="0" applyFont="1" applyFill="1" applyBorder="1" applyAlignment="1">
      <alignment horizontal="center" vertical="center" wrapText="1"/>
    </xf>
    <xf numFmtId="0" fontId="26" fillId="3" borderId="49" xfId="0" applyFont="1" applyFill="1" applyBorder="1" applyAlignment="1">
      <alignment horizontal="center" vertical="center" wrapText="1"/>
    </xf>
    <xf numFmtId="182" fontId="21" fillId="0" borderId="2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182" fontId="21" fillId="4" borderId="2" xfId="0" applyNumberFormat="1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/>
    </xf>
    <xf numFmtId="179" fontId="22" fillId="4" borderId="2" xfId="5" applyFont="1" applyFill="1" applyBorder="1" applyAlignment="1" applyProtection="1">
      <alignment horizontal="center"/>
    </xf>
    <xf numFmtId="183" fontId="22" fillId="4" borderId="2" xfId="2" applyNumberFormat="1" applyFont="1" applyFill="1" applyBorder="1" applyAlignment="1">
      <alignment horizontal="center"/>
    </xf>
    <xf numFmtId="179" fontId="23" fillId="4" borderId="2" xfId="5" applyFont="1" applyFill="1" applyBorder="1" applyAlignment="1" applyProtection="1">
      <alignment horizontal="center"/>
    </xf>
    <xf numFmtId="184" fontId="22" fillId="4" borderId="2" xfId="0" applyNumberFormat="1" applyFont="1" applyFill="1" applyBorder="1" applyAlignment="1">
      <alignment horizontal="center" vertical="center"/>
    </xf>
    <xf numFmtId="184" fontId="0" fillId="0" borderId="0" xfId="0" applyNumberFormat="1"/>
    <xf numFmtId="179" fontId="0" fillId="0" borderId="0" xfId="5" applyFont="1" applyBorder="1" applyAlignment="1" applyProtection="1"/>
    <xf numFmtId="0" fontId="28" fillId="59" borderId="45" xfId="0" applyFont="1" applyFill="1" applyBorder="1" applyAlignment="1">
      <alignment vertical="center" wrapText="1"/>
    </xf>
    <xf numFmtId="0" fontId="24" fillId="59" borderId="79" xfId="0" applyFont="1" applyFill="1" applyBorder="1" applyAlignment="1">
      <alignment vertical="center" wrapText="1"/>
    </xf>
    <xf numFmtId="0" fontId="24" fillId="59" borderId="48" xfId="0" applyFont="1" applyFill="1" applyBorder="1" applyAlignment="1">
      <alignment vertical="center" wrapText="1"/>
    </xf>
    <xf numFmtId="0" fontId="25" fillId="59" borderId="79" xfId="0" applyFont="1" applyFill="1" applyBorder="1" applyAlignment="1">
      <alignment horizontal="center" vertical="center" wrapText="1"/>
    </xf>
    <xf numFmtId="0" fontId="25" fillId="59" borderId="66" xfId="0" applyFont="1" applyFill="1" applyBorder="1" applyAlignment="1">
      <alignment horizontal="center" vertical="center" wrapText="1"/>
    </xf>
    <xf numFmtId="0" fontId="25" fillId="59" borderId="48" xfId="0" applyFont="1" applyFill="1" applyBorder="1" applyAlignment="1">
      <alignment horizontal="center" vertical="center" wrapText="1"/>
    </xf>
    <xf numFmtId="0" fontId="26" fillId="59" borderId="49" xfId="0" applyFont="1" applyFill="1" applyBorder="1" applyAlignment="1">
      <alignment horizontal="center" vertical="center" wrapText="1"/>
    </xf>
    <xf numFmtId="182" fontId="21" fillId="4" borderId="2" xfId="0" applyNumberFormat="1" applyFont="1" applyFill="1" applyBorder="1" applyAlignment="1">
      <alignment horizontal="center" vertical="center" wrapText="1"/>
    </xf>
    <xf numFmtId="179" fontId="0" fillId="4" borderId="0" xfId="5" applyFont="1" applyFill="1" applyBorder="1" applyAlignment="1" applyProtection="1"/>
    <xf numFmtId="184" fontId="22" fillId="0" borderId="2" xfId="0" applyNumberFormat="1" applyFont="1" applyBorder="1" applyAlignment="1">
      <alignment horizontal="center"/>
    </xf>
    <xf numFmtId="3" fontId="22" fillId="0" borderId="2" xfId="0" applyNumberFormat="1" applyFont="1" applyBorder="1" applyAlignment="1">
      <alignment horizontal="center"/>
    </xf>
    <xf numFmtId="185" fontId="20" fillId="0" borderId="2" xfId="0" applyNumberFormat="1" applyFont="1" applyBorder="1" applyAlignment="1">
      <alignment horizontal="center"/>
    </xf>
    <xf numFmtId="0" fontId="22" fillId="0" borderId="0" xfId="0" applyFont="1"/>
    <xf numFmtId="183" fontId="20" fillId="0" borderId="2" xfId="2" applyNumberFormat="1" applyFont="1" applyBorder="1" applyAlignment="1">
      <alignment horizontal="center"/>
    </xf>
    <xf numFmtId="0" fontId="29" fillId="0" borderId="0" xfId="0" applyFont="1"/>
    <xf numFmtId="184" fontId="22" fillId="0" borderId="2" xfId="0" applyNumberFormat="1" applyFont="1" applyBorder="1" applyAlignment="1">
      <alignment horizontal="right"/>
    </xf>
    <xf numFmtId="183" fontId="20" fillId="0" borderId="2" xfId="2" applyNumberFormat="1" applyFont="1" applyBorder="1"/>
    <xf numFmtId="0" fontId="0" fillId="0" borderId="2" xfId="0" applyFont="1" applyBorder="1" applyAlignment="1">
      <alignment horizontal="center"/>
    </xf>
    <xf numFmtId="0" fontId="0" fillId="0" borderId="41" xfId="0" applyFont="1" applyBorder="1" applyAlignment="1">
      <alignment horizontal="center" wrapText="1"/>
    </xf>
    <xf numFmtId="0" fontId="0" fillId="0" borderId="41" xfId="0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0" fillId="0" borderId="2" xfId="0" applyFont="1" applyBorder="1"/>
    <xf numFmtId="0" fontId="25" fillId="4" borderId="8" xfId="0" applyFont="1" applyFill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/>
    <xf numFmtId="0" fontId="0" fillId="0" borderId="0" xfId="0" applyBorder="1"/>
    <xf numFmtId="0" fontId="25" fillId="4" borderId="2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49" fontId="13" fillId="0" borderId="21" xfId="0" applyNumberFormat="1" applyFont="1" applyBorder="1"/>
    <xf numFmtId="0" fontId="0" fillId="0" borderId="21" xfId="0" applyBorder="1"/>
    <xf numFmtId="0" fontId="0" fillId="0" borderId="23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13" fillId="0" borderId="0" xfId="0" applyNumberFormat="1" applyFont="1" applyBorder="1"/>
    <xf numFmtId="0" fontId="0" fillId="0" borderId="25" xfId="0" applyBorder="1" applyAlignment="1">
      <alignment horizontal="center"/>
    </xf>
    <xf numFmtId="49" fontId="13" fillId="0" borderId="2" xfId="0" applyNumberFormat="1" applyFont="1" applyBorder="1"/>
    <xf numFmtId="0" fontId="0" fillId="0" borderId="2" xfId="0" applyBorder="1"/>
    <xf numFmtId="0" fontId="0" fillId="0" borderId="26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13" fillId="4" borderId="2" xfId="0" applyNumberFormat="1" applyFont="1" applyFill="1" applyBorder="1"/>
    <xf numFmtId="0" fontId="0" fillId="4" borderId="2" xfId="0" applyFill="1" applyBorder="1"/>
    <xf numFmtId="0" fontId="25" fillId="4" borderId="54" xfId="0" applyFont="1" applyFill="1" applyBorder="1" applyAlignment="1">
      <alignment horizontal="center"/>
    </xf>
    <xf numFmtId="0" fontId="0" fillId="0" borderId="54" xfId="0" applyBorder="1"/>
    <xf numFmtId="0" fontId="0" fillId="0" borderId="54" xfId="0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49" fontId="13" fillId="4" borderId="8" xfId="0" applyNumberFormat="1" applyFont="1" applyFill="1" applyBorder="1"/>
    <xf numFmtId="0" fontId="0" fillId="4" borderId="8" xfId="0" applyFill="1" applyBorder="1"/>
    <xf numFmtId="0" fontId="25" fillId="0" borderId="2" xfId="0" applyFont="1" applyBorder="1" applyAlignment="1">
      <alignment horizontal="center"/>
    </xf>
    <xf numFmtId="0" fontId="0" fillId="0" borderId="27" xfId="0" applyBorder="1" applyAlignment="1">
      <alignment horizontal="center"/>
    </xf>
    <xf numFmtId="49" fontId="13" fillId="0" borderId="29" xfId="0" applyNumberFormat="1" applyFont="1" applyBorder="1"/>
    <xf numFmtId="0" fontId="0" fillId="0" borderId="29" xfId="0" applyBorder="1"/>
    <xf numFmtId="0" fontId="0" fillId="0" borderId="3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62" xfId="0" applyBorder="1" applyAlignment="1">
      <alignment horizontal="center"/>
    </xf>
    <xf numFmtId="49" fontId="13" fillId="0" borderId="61" xfId="0" applyNumberFormat="1" applyFont="1" applyBorder="1"/>
    <xf numFmtId="0" fontId="0" fillId="0" borderId="61" xfId="0" applyBorder="1"/>
    <xf numFmtId="0" fontId="25" fillId="0" borderId="39" xfId="0" applyFont="1" applyBorder="1" applyAlignment="1">
      <alignment horizontal="center"/>
    </xf>
    <xf numFmtId="0" fontId="25" fillId="0" borderId="3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26" xfId="0" applyBorder="1"/>
    <xf numFmtId="0" fontId="0" fillId="0" borderId="30" xfId="0" applyBorder="1"/>
    <xf numFmtId="0" fontId="0" fillId="0" borderId="62" xfId="0" applyBorder="1"/>
    <xf numFmtId="0" fontId="0" fillId="0" borderId="0" xfId="0" applyBorder="1" applyProtection="1">
      <protection locked="0"/>
    </xf>
    <xf numFmtId="0" fontId="0" fillId="0" borderId="46" xfId="0" applyFont="1" applyBorder="1" applyProtection="1">
      <protection locked="0"/>
    </xf>
    <xf numFmtId="0" fontId="0" fillId="0" borderId="53" xfId="0" applyBorder="1" applyProtection="1">
      <protection locked="0"/>
    </xf>
    <xf numFmtId="0" fontId="0" fillId="0" borderId="16" xfId="0" applyBorder="1" applyProtection="1">
      <protection locked="0"/>
    </xf>
    <xf numFmtId="175" fontId="13" fillId="0" borderId="0" xfId="0" applyNumberFormat="1" applyFont="1" applyBorder="1" applyAlignment="1">
      <alignment horizontal="left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65" xfId="0" applyFont="1" applyBorder="1" applyProtection="1">
      <protection locked="0"/>
    </xf>
    <xf numFmtId="0" fontId="0" fillId="0" borderId="66" xfId="0" applyBorder="1" applyProtection="1">
      <protection locked="0"/>
    </xf>
    <xf numFmtId="175" fontId="13" fillId="0" borderId="43" xfId="0" applyNumberFormat="1" applyFont="1" applyBorder="1" applyAlignment="1">
      <alignment horizontal="left"/>
    </xf>
    <xf numFmtId="0" fontId="0" fillId="0" borderId="41" xfId="0" applyBorder="1" applyProtection="1">
      <protection locked="0"/>
    </xf>
    <xf numFmtId="0" fontId="0" fillId="0" borderId="44" xfId="0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2" xfId="0" applyNumberFormat="1" applyBorder="1" applyProtection="1">
      <protection locked="0"/>
    </xf>
    <xf numFmtId="3" fontId="0" fillId="0" borderId="2" xfId="0" applyNumberFormat="1" applyBorder="1" applyAlignment="1" applyProtection="1">
      <alignment horizontal="right"/>
      <protection locked="0"/>
    </xf>
    <xf numFmtId="0" fontId="0" fillId="0" borderId="55" xfId="0" applyFont="1" applyBorder="1" applyAlignment="1">
      <alignment horizontal="center"/>
    </xf>
    <xf numFmtId="0" fontId="0" fillId="0" borderId="33" xfId="0" applyBorder="1" applyAlignment="1">
      <alignment horizontal="center"/>
    </xf>
    <xf numFmtId="186" fontId="0" fillId="0" borderId="2" xfId="0" applyNumberFormat="1" applyBorder="1"/>
    <xf numFmtId="175" fontId="13" fillId="0" borderId="6" xfId="0" applyNumberFormat="1" applyFont="1" applyBorder="1" applyAlignment="1">
      <alignment horizontal="left"/>
    </xf>
    <xf numFmtId="186" fontId="25" fillId="0" borderId="2" xfId="0" applyNumberFormat="1" applyFont="1" applyBorder="1"/>
    <xf numFmtId="0" fontId="1" fillId="0" borderId="4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25" fillId="0" borderId="2" xfId="0" applyFont="1" applyBorder="1"/>
    <xf numFmtId="0" fontId="0" fillId="0" borderId="61" xfId="0" applyBorder="1" applyProtection="1">
      <protection locked="0"/>
    </xf>
    <xf numFmtId="0" fontId="1" fillId="0" borderId="2" xfId="0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0" fillId="0" borderId="47" xfId="0" applyBorder="1" applyProtection="1">
      <protection locked="0"/>
    </xf>
    <xf numFmtId="0" fontId="0" fillId="0" borderId="68" xfId="0" applyBorder="1" applyProtection="1">
      <protection locked="0"/>
    </xf>
    <xf numFmtId="0" fontId="0" fillId="0" borderId="49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4" xfId="0" applyBorder="1" applyProtection="1">
      <protection locked="0"/>
    </xf>
    <xf numFmtId="0" fontId="25" fillId="60" borderId="80" xfId="0" applyFont="1" applyFill="1" applyBorder="1" applyAlignment="1">
      <alignment horizontal="center" vertical="center"/>
    </xf>
    <xf numFmtId="0" fontId="25" fillId="60" borderId="80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right"/>
    </xf>
    <xf numFmtId="1" fontId="32" fillId="3" borderId="80" xfId="0" applyNumberFormat="1" applyFont="1" applyFill="1" applyBorder="1" applyAlignment="1" applyProtection="1">
      <alignment horizontal="center" vertical="center"/>
    </xf>
    <xf numFmtId="1" fontId="32" fillId="3" borderId="0" xfId="0" applyNumberFormat="1" applyFont="1" applyFill="1" applyBorder="1" applyAlignment="1" applyProtection="1">
      <alignment horizontal="center" vertical="center"/>
    </xf>
    <xf numFmtId="0" fontId="25" fillId="52" borderId="0" xfId="0" applyFont="1" applyFill="1" applyAlignment="1">
      <alignment horizontal="left" vertical="center" indent="1"/>
    </xf>
    <xf numFmtId="0" fontId="26" fillId="3" borderId="0" xfId="0" applyFont="1" applyFill="1" applyAlignment="1">
      <alignment horizontal="left" indent="4"/>
    </xf>
    <xf numFmtId="183" fontId="0" fillId="3" borderId="0" xfId="0" applyNumberFormat="1" applyFill="1"/>
    <xf numFmtId="183" fontId="25" fillId="3" borderId="0" xfId="0" applyNumberFormat="1" applyFont="1" applyFill="1"/>
    <xf numFmtId="0" fontId="25" fillId="60" borderId="2" xfId="0" applyFont="1" applyFill="1" applyBorder="1" applyAlignment="1">
      <alignment horizontal="left" indent="4"/>
    </xf>
    <xf numFmtId="183" fontId="25" fillId="60" borderId="2" xfId="0" applyNumberFormat="1" applyFont="1" applyFill="1" applyBorder="1"/>
    <xf numFmtId="0" fontId="25" fillId="3" borderId="0" xfId="0" applyFont="1" applyFill="1" applyBorder="1" applyAlignment="1">
      <alignment horizontal="left" indent="4"/>
    </xf>
    <xf numFmtId="183" fontId="25" fillId="3" borderId="0" xfId="0" applyNumberFormat="1" applyFont="1" applyFill="1" applyBorder="1"/>
    <xf numFmtId="0" fontId="8" fillId="0" borderId="0" xfId="0" applyFont="1" applyProtection="1">
      <protection locked="0"/>
    </xf>
    <xf numFmtId="184" fontId="35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Protection="1">
      <protection locked="0"/>
    </xf>
    <xf numFmtId="184" fontId="35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/>
    <xf numFmtId="184" fontId="35" fillId="0" borderId="0" xfId="0" applyNumberFormat="1" applyFont="1" applyFill="1" applyBorder="1" applyAlignment="1">
      <alignment horizontal="center"/>
    </xf>
    <xf numFmtId="3" fontId="35" fillId="0" borderId="0" xfId="0" applyNumberFormat="1" applyFont="1" applyFill="1" applyBorder="1" applyAlignment="1">
      <alignment horizontal="center"/>
    </xf>
    <xf numFmtId="183" fontId="34" fillId="0" borderId="0" xfId="2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179" fontId="20" fillId="0" borderId="2" xfId="5" applyFont="1" applyFill="1" applyBorder="1" applyAlignment="1" applyProtection="1">
      <alignment horizontal="center" vertical="center"/>
    </xf>
    <xf numFmtId="164" fontId="0" fillId="0" borderId="2" xfId="6" applyFont="1" applyFill="1" applyBorder="1"/>
    <xf numFmtId="0" fontId="0" fillId="0" borderId="0" xfId="0" applyFill="1" applyBorder="1" applyProtection="1">
      <protection locked="0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center" vertical="center"/>
    </xf>
    <xf numFmtId="179" fontId="20" fillId="0" borderId="0" xfId="5" applyFont="1" applyFill="1" applyBorder="1" applyAlignment="1" applyProtection="1">
      <alignment horizontal="center" vertical="center"/>
    </xf>
    <xf numFmtId="184" fontId="22" fillId="0" borderId="2" xfId="0" applyNumberFormat="1" applyFont="1" applyFill="1" applyBorder="1" applyAlignment="1">
      <alignment horizontal="center" vertical="center"/>
    </xf>
    <xf numFmtId="179" fontId="23" fillId="0" borderId="2" xfId="5" applyFont="1" applyFill="1" applyBorder="1" applyAlignment="1" applyProtection="1">
      <alignment horizontal="center"/>
    </xf>
    <xf numFmtId="0" fontId="20" fillId="0" borderId="0" xfId="0" applyFont="1" applyFill="1" applyBorder="1" applyAlignment="1">
      <alignment horizontal="left" vertical="center" wrapText="1"/>
    </xf>
    <xf numFmtId="182" fontId="21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/>
    </xf>
    <xf numFmtId="179" fontId="22" fillId="0" borderId="0" xfId="5" applyFont="1" applyFill="1" applyBorder="1" applyAlignment="1" applyProtection="1">
      <alignment horizontal="center"/>
    </xf>
    <xf numFmtId="183" fontId="22" fillId="0" borderId="0" xfId="2" applyNumberFormat="1" applyFont="1" applyFill="1" applyBorder="1" applyAlignment="1">
      <alignment horizontal="center"/>
    </xf>
    <xf numFmtId="184" fontId="22" fillId="0" borderId="0" xfId="0" applyNumberFormat="1" applyFont="1" applyFill="1" applyBorder="1" applyAlignment="1">
      <alignment horizontal="center" vertical="center"/>
    </xf>
    <xf numFmtId="182" fontId="21" fillId="0" borderId="0" xfId="0" applyNumberFormat="1" applyFont="1" applyFill="1" applyBorder="1" applyAlignment="1">
      <alignment horizontal="center" vertical="center" wrapText="1"/>
    </xf>
    <xf numFmtId="179" fontId="23" fillId="0" borderId="0" xfId="5" applyFont="1" applyFill="1" applyBorder="1" applyAlignment="1" applyProtection="1">
      <alignment horizontal="center"/>
    </xf>
    <xf numFmtId="184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center"/>
    </xf>
    <xf numFmtId="183" fontId="20" fillId="0" borderId="0" xfId="2" applyNumberFormat="1" applyFont="1" applyFill="1" applyBorder="1" applyAlignment="1">
      <alignment horizontal="center"/>
    </xf>
    <xf numFmtId="0" fontId="0" fillId="0" borderId="2" xfId="0" applyBorder="1" applyProtection="1">
      <protection locked="0"/>
    </xf>
    <xf numFmtId="0" fontId="8" fillId="0" borderId="2" xfId="0" applyFont="1" applyFill="1" applyBorder="1" applyProtection="1">
      <protection locked="0"/>
    </xf>
    <xf numFmtId="0" fontId="0" fillId="0" borderId="2" xfId="0" applyFill="1" applyBorder="1" applyProtection="1">
      <protection locked="0"/>
    </xf>
    <xf numFmtId="186" fontId="8" fillId="0" borderId="2" xfId="0" applyNumberFormat="1" applyFont="1" applyBorder="1"/>
    <xf numFmtId="164" fontId="8" fillId="0" borderId="0" xfId="6" applyFont="1" applyProtection="1">
      <protection locked="0"/>
    </xf>
    <xf numFmtId="164" fontId="36" fillId="0" borderId="0" xfId="0" applyNumberFormat="1" applyFont="1" applyProtection="1">
      <protection locked="0"/>
    </xf>
    <xf numFmtId="166" fontId="0" fillId="0" borderId="24" xfId="2" applyNumberFormat="1" applyFont="1" applyBorder="1" applyAlignment="1" applyProtection="1">
      <alignment vertical="center"/>
    </xf>
    <xf numFmtId="170" fontId="0" fillId="0" borderId="6" xfId="1" applyNumberFormat="1" applyFont="1" applyBorder="1" applyAlignment="1" applyProtection="1">
      <alignment vertical="center"/>
    </xf>
    <xf numFmtId="166" fontId="1" fillId="15" borderId="6" xfId="2" applyNumberFormat="1" applyFont="1" applyFill="1" applyBorder="1" applyAlignment="1" applyProtection="1">
      <alignment vertical="center"/>
    </xf>
    <xf numFmtId="166" fontId="0" fillId="0" borderId="6" xfId="2" applyNumberFormat="1" applyFont="1" applyBorder="1" applyAlignment="1" applyProtection="1">
      <alignment vertical="center"/>
    </xf>
    <xf numFmtId="166" fontId="0" fillId="12" borderId="6" xfId="2" applyNumberFormat="1" applyFont="1" applyFill="1" applyBorder="1" applyAlignment="1" applyProtection="1">
      <alignment vertical="center"/>
    </xf>
    <xf numFmtId="170" fontId="0" fillId="12" borderId="6" xfId="1" applyNumberFormat="1" applyFont="1" applyFill="1" applyBorder="1" applyAlignment="1" applyProtection="1">
      <alignment vertical="center"/>
    </xf>
    <xf numFmtId="166" fontId="1" fillId="18" borderId="6" xfId="2" applyNumberFormat="1" applyFont="1" applyFill="1" applyBorder="1" applyAlignment="1" applyProtection="1">
      <alignment vertical="center"/>
    </xf>
    <xf numFmtId="0" fontId="8" fillId="4" borderId="25" xfId="0" applyFont="1" applyFill="1" applyBorder="1" applyAlignment="1" applyProtection="1">
      <alignment horizontal="left" vertical="center"/>
      <protection locked="0"/>
    </xf>
    <xf numFmtId="0" fontId="0" fillId="25" borderId="20" xfId="0" applyFont="1" applyFill="1" applyBorder="1" applyAlignment="1" applyProtection="1">
      <alignment horizontal="left" vertical="center"/>
    </xf>
    <xf numFmtId="0" fontId="0" fillId="25" borderId="25" xfId="0" applyFont="1" applyFill="1" applyBorder="1" applyAlignment="1" applyProtection="1">
      <alignment horizontal="left" vertical="center"/>
    </xf>
    <xf numFmtId="0" fontId="0" fillId="25" borderId="27" xfId="0" applyFont="1" applyFill="1" applyBorder="1" applyAlignment="1" applyProtection="1">
      <alignment horizontal="left" vertical="center"/>
    </xf>
    <xf numFmtId="180" fontId="0" fillId="8" borderId="23" xfId="0" applyNumberFormat="1" applyFont="1" applyFill="1" applyBorder="1" applyAlignment="1" applyProtection="1">
      <alignment horizontal="right" vertical="center"/>
    </xf>
    <xf numFmtId="180" fontId="0" fillId="8" borderId="26" xfId="0" applyNumberFormat="1" applyFont="1" applyFill="1" applyBorder="1" applyAlignment="1" applyProtection="1">
      <alignment horizontal="right" vertical="center"/>
    </xf>
    <xf numFmtId="180" fontId="0" fillId="8" borderId="30" xfId="0" applyNumberFormat="1" applyFont="1" applyFill="1" applyBorder="1" applyAlignment="1" applyProtection="1">
      <alignment horizontal="right" vertical="center"/>
    </xf>
    <xf numFmtId="180" fontId="0" fillId="8" borderId="35" xfId="0" applyNumberFormat="1" applyFont="1" applyFill="1" applyBorder="1" applyAlignment="1" applyProtection="1">
      <alignment horizontal="right" vertical="center"/>
    </xf>
    <xf numFmtId="0" fontId="0" fillId="61" borderId="0" xfId="0" applyFont="1" applyFill="1" applyBorder="1" applyProtection="1"/>
    <xf numFmtId="180" fontId="0" fillId="61" borderId="0" xfId="0" applyNumberFormat="1" applyFont="1" applyFill="1" applyBorder="1" applyAlignment="1" applyProtection="1">
      <alignment horizontal="right" vertical="center"/>
    </xf>
    <xf numFmtId="0" fontId="0" fillId="4" borderId="5" xfId="0" applyFont="1" applyFill="1" applyBorder="1" applyAlignment="1" applyProtection="1">
      <alignment horizontal="left" vertical="center"/>
      <protection locked="0"/>
    </xf>
    <xf numFmtId="171" fontId="0" fillId="4" borderId="5" xfId="2" applyNumberFormat="1" applyFont="1" applyFill="1" applyBorder="1" applyAlignment="1" applyProtection="1">
      <alignment vertical="center"/>
      <protection locked="0"/>
    </xf>
    <xf numFmtId="180" fontId="0" fillId="8" borderId="5" xfId="0" applyNumberFormat="1" applyFont="1" applyFill="1" applyBorder="1" applyAlignment="1" applyProtection="1">
      <alignment horizontal="right" vertical="center"/>
    </xf>
    <xf numFmtId="171" fontId="8" fillId="8" borderId="21" xfId="2" applyNumberFormat="1" applyFont="1" applyFill="1" applyBorder="1" applyAlignment="1" applyProtection="1">
      <alignment vertical="center"/>
    </xf>
    <xf numFmtId="171" fontId="8" fillId="4" borderId="21" xfId="2" applyNumberFormat="1" applyFont="1" applyFill="1" applyBorder="1" applyAlignment="1" applyProtection="1">
      <alignment vertical="center"/>
      <protection locked="0"/>
    </xf>
    <xf numFmtId="179" fontId="8" fillId="29" borderId="2" xfId="5" applyFont="1" applyFill="1" applyBorder="1" applyAlignment="1" applyProtection="1">
      <alignment horizontal="center" vertical="center"/>
      <protection locked="0"/>
    </xf>
    <xf numFmtId="171" fontId="8" fillId="52" borderId="2" xfId="2" applyNumberFormat="1" applyFont="1" applyFill="1" applyBorder="1" applyAlignment="1" applyProtection="1">
      <alignment vertical="center"/>
    </xf>
    <xf numFmtId="180" fontId="8" fillId="8" borderId="4" xfId="0" applyNumberFormat="1" applyFont="1" applyFill="1" applyBorder="1" applyAlignment="1" applyProtection="1">
      <alignment horizontal="right" vertical="center"/>
    </xf>
    <xf numFmtId="0" fontId="8" fillId="4" borderId="20" xfId="0" applyFont="1" applyFill="1" applyBorder="1" applyAlignment="1" applyProtection="1">
      <alignment horizontal="left" vertical="center"/>
      <protection locked="0"/>
    </xf>
    <xf numFmtId="0" fontId="8" fillId="4" borderId="21" xfId="0" applyFont="1" applyFill="1" applyBorder="1" applyAlignment="1" applyProtection="1">
      <alignment horizontal="left" vertical="center"/>
      <protection locked="0"/>
    </xf>
    <xf numFmtId="180" fontId="8" fillId="8" borderId="22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Protection="1"/>
    <xf numFmtId="180" fontId="0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right" vertical="center"/>
    </xf>
    <xf numFmtId="0" fontId="9" fillId="0" borderId="39" xfId="0" applyFont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left" vertical="center" indent="4"/>
    </xf>
    <xf numFmtId="0" fontId="9" fillId="15" borderId="43" xfId="0" applyFont="1" applyFill="1" applyBorder="1" applyAlignment="1" applyProtection="1">
      <alignment horizontal="center" vertical="center" wrapText="1"/>
    </xf>
    <xf numFmtId="166" fontId="1" fillId="5" borderId="46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/>
    </xf>
    <xf numFmtId="0" fontId="12" fillId="5" borderId="2" xfId="0" applyFont="1" applyFill="1" applyBorder="1" applyAlignment="1" applyProtection="1">
      <alignment horizontal="center" vertical="center"/>
    </xf>
    <xf numFmtId="0" fontId="12" fillId="49" borderId="2" xfId="0" applyFont="1" applyFill="1" applyBorder="1" applyAlignment="1" applyProtection="1">
      <alignment horizontal="center" vertical="center"/>
    </xf>
    <xf numFmtId="166" fontId="12" fillId="38" borderId="6" xfId="2" applyNumberFormat="1" applyFont="1" applyFill="1" applyBorder="1" applyAlignment="1" applyProtection="1">
      <alignment horizontal="center" vertical="center"/>
    </xf>
    <xf numFmtId="166" fontId="12" fillId="41" borderId="2" xfId="2" applyNumberFormat="1" applyFont="1" applyFill="1" applyBorder="1" applyAlignment="1" applyProtection="1">
      <alignment horizontal="center" vertical="center"/>
    </xf>
    <xf numFmtId="0" fontId="12" fillId="32" borderId="2" xfId="0" applyFont="1" applyFill="1" applyBorder="1" applyAlignment="1" applyProtection="1">
      <alignment horizontal="center" vertical="center"/>
    </xf>
    <xf numFmtId="0" fontId="1" fillId="5" borderId="45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170" fontId="0" fillId="4" borderId="2" xfId="1" applyNumberFormat="1" applyFont="1" applyFill="1" applyBorder="1" applyAlignment="1" applyProtection="1">
      <alignment vertical="center"/>
    </xf>
    <xf numFmtId="166" fontId="33" fillId="12" borderId="34" xfId="2" applyNumberFormat="1" applyFill="1" applyBorder="1" applyAlignment="1" applyProtection="1">
      <alignment vertical="center"/>
    </xf>
    <xf numFmtId="166" fontId="33" fillId="0" borderId="8" xfId="2" applyNumberFormat="1" applyBorder="1" applyAlignment="1" applyProtection="1">
      <alignment vertical="center"/>
    </xf>
    <xf numFmtId="166" fontId="33" fillId="0" borderId="35" xfId="2" applyNumberFormat="1" applyBorder="1" applyAlignment="1" applyProtection="1">
      <alignment vertical="center"/>
    </xf>
    <xf numFmtId="166" fontId="33" fillId="0" borderId="34" xfId="2" applyNumberFormat="1" applyBorder="1" applyAlignment="1" applyProtection="1">
      <alignment vertical="center"/>
    </xf>
    <xf numFmtId="166" fontId="33" fillId="12" borderId="25" xfId="2" applyNumberFormat="1" applyFill="1" applyBorder="1" applyAlignment="1" applyProtection="1">
      <alignment vertical="center"/>
    </xf>
    <xf numFmtId="166" fontId="33" fillId="12" borderId="2" xfId="2" applyNumberFormat="1" applyFill="1" applyBorder="1" applyAlignment="1" applyProtection="1">
      <alignment vertical="center"/>
    </xf>
    <xf numFmtId="166" fontId="33" fillId="12" borderId="26" xfId="2" applyNumberFormat="1" applyFill="1" applyBorder="1" applyAlignment="1" applyProtection="1">
      <alignment vertical="center"/>
    </xf>
    <xf numFmtId="166" fontId="33" fillId="0" borderId="2" xfId="2" applyNumberFormat="1" applyBorder="1" applyAlignment="1" applyProtection="1">
      <alignment vertical="center"/>
    </xf>
    <xf numFmtId="166" fontId="33" fillId="0" borderId="26" xfId="2" applyNumberFormat="1" applyBorder="1" applyAlignment="1" applyProtection="1">
      <alignment vertical="center"/>
    </xf>
    <xf numFmtId="166" fontId="33" fillId="0" borderId="25" xfId="2" applyNumberFormat="1" applyBorder="1" applyAlignment="1" applyProtection="1">
      <alignment vertical="center"/>
    </xf>
    <xf numFmtId="166" fontId="1" fillId="21" borderId="25" xfId="2" applyNumberFormat="1" applyFont="1" applyFill="1" applyBorder="1" applyAlignment="1" applyProtection="1">
      <alignment vertical="center"/>
    </xf>
    <xf numFmtId="171" fontId="0" fillId="15" borderId="34" xfId="2" applyNumberFormat="1" applyFont="1" applyFill="1" applyBorder="1" applyAlignment="1" applyProtection="1">
      <alignment vertical="center"/>
    </xf>
    <xf numFmtId="171" fontId="0" fillId="15" borderId="8" xfId="2" applyNumberFormat="1" applyFont="1" applyFill="1" applyBorder="1" applyAlignment="1" applyProtection="1">
      <alignment vertical="center"/>
    </xf>
    <xf numFmtId="171" fontId="0" fillId="15" borderId="33" xfId="2" applyNumberFormat="1" applyFont="1" applyFill="1" applyBorder="1" applyAlignment="1" applyProtection="1">
      <alignment vertical="center"/>
    </xf>
    <xf numFmtId="171" fontId="33" fillId="8" borderId="25" xfId="2" applyNumberFormat="1" applyFill="1" applyBorder="1" applyAlignment="1" applyProtection="1">
      <alignment vertical="center"/>
    </xf>
    <xf numFmtId="172" fontId="0" fillId="4" borderId="43" xfId="2" applyNumberFormat="1" applyFont="1" applyFill="1" applyBorder="1" applyAlignment="1" applyProtection="1">
      <alignment horizontal="center" vertical="center"/>
      <protection locked="0"/>
    </xf>
    <xf numFmtId="173" fontId="0" fillId="4" borderId="41" xfId="2" applyNumberFormat="1" applyFont="1" applyFill="1" applyBorder="1" applyAlignment="1" applyProtection="1">
      <alignment horizontal="center" vertical="center"/>
      <protection locked="0"/>
    </xf>
    <xf numFmtId="173" fontId="0" fillId="4" borderId="42" xfId="2" applyNumberFormat="1" applyFont="1" applyFill="1" applyBorder="1" applyAlignment="1" applyProtection="1">
      <alignment horizontal="center" vertical="center"/>
      <protection locked="0"/>
    </xf>
    <xf numFmtId="1" fontId="0" fillId="0" borderId="36" xfId="0" applyNumberFormat="1" applyBorder="1" applyAlignment="1" applyProtection="1">
      <alignment horizontal="center" vertical="center" wrapText="1"/>
    </xf>
    <xf numFmtId="175" fontId="13" fillId="0" borderId="4" xfId="0" applyNumberFormat="1" applyFont="1" applyBorder="1" applyAlignment="1" applyProtection="1">
      <alignment horizontal="left"/>
    </xf>
    <xf numFmtId="166" fontId="13" fillId="12" borderId="2" xfId="2" applyNumberFormat="1" applyFont="1" applyFill="1" applyBorder="1" applyAlignment="1" applyProtection="1">
      <alignment vertical="center"/>
    </xf>
    <xf numFmtId="176" fontId="13" fillId="12" borderId="2" xfId="1" applyNumberFormat="1" applyFont="1" applyFill="1" applyBorder="1" applyAlignment="1" applyProtection="1">
      <alignment vertical="center"/>
    </xf>
    <xf numFmtId="166" fontId="0" fillId="4" borderId="2" xfId="2" applyNumberFormat="1" applyFont="1" applyFill="1" applyBorder="1" applyAlignment="1" applyProtection="1">
      <alignment vertical="center"/>
    </xf>
    <xf numFmtId="1" fontId="0" fillId="0" borderId="6" xfId="0" applyNumberFormat="1" applyBorder="1" applyAlignment="1" applyProtection="1">
      <alignment horizontal="center"/>
    </xf>
    <xf numFmtId="1" fontId="0" fillId="0" borderId="4" xfId="0" applyNumberFormat="1" applyFont="1" applyBorder="1" applyProtection="1"/>
    <xf numFmtId="166" fontId="13" fillId="29" borderId="2" xfId="2" applyNumberFormat="1" applyFont="1" applyFill="1" applyBorder="1" applyAlignment="1" applyProtection="1">
      <alignment vertical="center"/>
    </xf>
    <xf numFmtId="1" fontId="0" fillId="3" borderId="36" xfId="0" applyNumberFormat="1" applyFill="1" applyBorder="1" applyAlignment="1" applyProtection="1">
      <alignment horizontal="center" vertical="center" wrapText="1"/>
    </xf>
    <xf numFmtId="1" fontId="0" fillId="0" borderId="1" xfId="0" applyNumberFormat="1" applyBorder="1" applyAlignment="1" applyProtection="1">
      <alignment horizontal="center" vertical="center" wrapText="1"/>
    </xf>
    <xf numFmtId="175" fontId="13" fillId="0" borderId="18" xfId="0" applyNumberFormat="1" applyFont="1" applyBorder="1" applyAlignment="1" applyProtection="1">
      <alignment horizontal="left"/>
    </xf>
    <xf numFmtId="0" fontId="1" fillId="14" borderId="6" xfId="0" applyFont="1" applyFill="1" applyBorder="1" applyAlignment="1" applyProtection="1">
      <alignment horizontal="center" vertical="center" wrapText="1"/>
    </xf>
    <xf numFmtId="176" fontId="13" fillId="8" borderId="2" xfId="1" applyNumberFormat="1" applyFont="1" applyFill="1" applyBorder="1" applyAlignment="1" applyProtection="1">
      <alignment vertical="center"/>
    </xf>
    <xf numFmtId="166" fontId="12" fillId="26" borderId="36" xfId="2" applyNumberFormat="1" applyFont="1" applyFill="1" applyBorder="1" applyAlignment="1" applyProtection="1">
      <alignment horizontal="center" vertical="center"/>
    </xf>
    <xf numFmtId="176" fontId="33" fillId="4" borderId="2" xfId="1" applyNumberFormat="1" applyFill="1" applyBorder="1" applyProtection="1"/>
    <xf numFmtId="175" fontId="13" fillId="0" borderId="4" xfId="0" applyNumberFormat="1" applyFont="1" applyBorder="1" applyAlignment="1" applyProtection="1">
      <alignment horizontal="left" wrapText="1"/>
    </xf>
    <xf numFmtId="176" fontId="0" fillId="8" borderId="2" xfId="1" applyNumberFormat="1" applyFont="1" applyFill="1" applyBorder="1" applyProtection="1"/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171" fontId="0" fillId="0" borderId="2" xfId="2" applyNumberFormat="1" applyFont="1" applyBorder="1" applyAlignment="1" applyProtection="1">
      <alignment horizontal="center"/>
    </xf>
    <xf numFmtId="0" fontId="0" fillId="3" borderId="0" xfId="0" applyFill="1" applyProtection="1"/>
    <xf numFmtId="165" fontId="4" fillId="0" borderId="0" xfId="3" applyFont="1" applyAlignment="1" applyProtection="1">
      <alignment vertical="center"/>
    </xf>
    <xf numFmtId="171" fontId="33" fillId="0" borderId="0" xfId="2" applyNumberFormat="1" applyProtection="1"/>
    <xf numFmtId="0" fontId="6" fillId="4" borderId="4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3" borderId="0" xfId="0" applyFill="1" applyAlignment="1" applyProtection="1">
      <alignment horizontal="left" vertical="center"/>
    </xf>
    <xf numFmtId="180" fontId="1" fillId="3" borderId="0" xfId="0" applyNumberFormat="1" applyFont="1" applyFill="1" applyAlignment="1" applyProtection="1">
      <alignment horizontal="right" vertical="center"/>
    </xf>
    <xf numFmtId="0" fontId="0" fillId="3" borderId="46" xfId="0" applyFill="1" applyBorder="1" applyProtection="1"/>
    <xf numFmtId="0" fontId="0" fillId="3" borderId="53" xfId="0" applyFill="1" applyBorder="1" applyProtection="1"/>
    <xf numFmtId="0" fontId="0" fillId="3" borderId="16" xfId="0" applyFill="1" applyBorder="1" applyProtection="1"/>
    <xf numFmtId="0" fontId="0" fillId="3" borderId="65" xfId="0" applyFill="1" applyBorder="1" applyProtection="1"/>
    <xf numFmtId="0" fontId="0" fillId="3" borderId="66" xfId="0" applyFill="1" applyBorder="1" applyProtection="1"/>
    <xf numFmtId="0" fontId="3" fillId="0" borderId="0" xfId="0" applyFont="1" applyAlignment="1" applyProtection="1">
      <alignment horizontal="left" vertical="center" indent="4"/>
    </xf>
    <xf numFmtId="0" fontId="3" fillId="0" borderId="0" xfId="0" applyFont="1" applyAlignment="1" applyProtection="1">
      <alignment vertical="center"/>
    </xf>
    <xf numFmtId="0" fontId="3" fillId="0" borderId="65" xfId="0" applyFont="1" applyBorder="1" applyAlignment="1" applyProtection="1">
      <alignment vertical="center"/>
    </xf>
    <xf numFmtId="180" fontId="0" fillId="26" borderId="2" xfId="0" applyNumberFormat="1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 wrapText="1"/>
    </xf>
    <xf numFmtId="0" fontId="1" fillId="5" borderId="29" xfId="0" applyFont="1" applyFill="1" applyBorder="1" applyAlignment="1" applyProtection="1">
      <alignment horizontal="center" vertical="center" wrapText="1"/>
    </xf>
    <xf numFmtId="0" fontId="7" fillId="14" borderId="27" xfId="0" applyFont="1" applyFill="1" applyBorder="1" applyAlignment="1" applyProtection="1">
      <alignment horizontal="center" vertical="center"/>
    </xf>
    <xf numFmtId="0" fontId="7" fillId="14" borderId="28" xfId="0" applyFont="1" applyFill="1" applyBorder="1" applyAlignment="1" applyProtection="1">
      <alignment horizontal="center" vertical="center"/>
    </xf>
    <xf numFmtId="0" fontId="7" fillId="53" borderId="27" xfId="0" applyFont="1" applyFill="1" applyBorder="1" applyAlignment="1" applyProtection="1">
      <alignment horizontal="center" vertical="center"/>
    </xf>
    <xf numFmtId="0" fontId="7" fillId="53" borderId="30" xfId="0" applyFont="1" applyFill="1" applyBorder="1" applyAlignment="1" applyProtection="1">
      <alignment horizontal="center" vertical="center"/>
    </xf>
    <xf numFmtId="0" fontId="7" fillId="52" borderId="31" xfId="0" applyFont="1" applyFill="1" applyBorder="1" applyAlignment="1" applyProtection="1">
      <alignment horizontal="center" vertical="center"/>
    </xf>
    <xf numFmtId="0" fontId="7" fillId="52" borderId="30" xfId="0" applyFont="1" applyFill="1" applyBorder="1" applyAlignment="1" applyProtection="1">
      <alignment horizontal="center" vertical="center"/>
    </xf>
    <xf numFmtId="0" fontId="7" fillId="14" borderId="17" xfId="0" applyFont="1" applyFill="1" applyBorder="1" applyAlignment="1" applyProtection="1">
      <alignment horizontal="center" vertical="center"/>
    </xf>
    <xf numFmtId="0" fontId="7" fillId="14" borderId="19" xfId="0" applyFont="1" applyFill="1" applyBorder="1" applyAlignment="1" applyProtection="1">
      <alignment horizontal="center" vertical="center"/>
    </xf>
    <xf numFmtId="0" fontId="7" fillId="53" borderId="17" xfId="0" applyFont="1" applyFill="1" applyBorder="1" applyAlignment="1" applyProtection="1">
      <alignment horizontal="center" vertical="center"/>
    </xf>
    <xf numFmtId="0" fontId="7" fillId="53" borderId="19" xfId="0" applyFont="1" applyFill="1" applyBorder="1" applyAlignment="1" applyProtection="1">
      <alignment horizontal="center" vertical="center"/>
    </xf>
    <xf numFmtId="0" fontId="7" fillId="52" borderId="17" xfId="0" applyFont="1" applyFill="1" applyBorder="1" applyAlignment="1" applyProtection="1">
      <alignment horizontal="center" vertical="center"/>
    </xf>
    <xf numFmtId="0" fontId="7" fillId="52" borderId="19" xfId="0" applyFont="1" applyFill="1" applyBorder="1" applyAlignment="1" applyProtection="1">
      <alignment horizontal="center" vertical="center"/>
    </xf>
    <xf numFmtId="0" fontId="0" fillId="4" borderId="21" xfId="0" applyFont="1" applyFill="1" applyBorder="1" applyAlignment="1" applyProtection="1">
      <alignment horizontal="left" vertical="center"/>
    </xf>
    <xf numFmtId="0" fontId="0" fillId="4" borderId="21" xfId="0" applyFont="1" applyFill="1" applyBorder="1" applyProtection="1"/>
    <xf numFmtId="171" fontId="0" fillId="4" borderId="21" xfId="2" applyNumberFormat="1" applyFont="1" applyFill="1" applyBorder="1" applyAlignment="1" applyProtection="1">
      <alignment vertical="center"/>
    </xf>
    <xf numFmtId="180" fontId="0" fillId="0" borderId="23" xfId="0" applyNumberFormat="1" applyBorder="1" applyAlignment="1" applyProtection="1">
      <alignment horizontal="right" vertical="center"/>
    </xf>
    <xf numFmtId="180" fontId="0" fillId="0" borderId="22" xfId="0" applyNumberFormat="1" applyBorder="1" applyAlignment="1" applyProtection="1">
      <alignment horizontal="right" vertical="center"/>
    </xf>
    <xf numFmtId="165" fontId="0" fillId="26" borderId="23" xfId="0" applyNumberFormat="1" applyFill="1" applyBorder="1" applyAlignment="1" applyProtection="1">
      <alignment horizontal="center" vertical="center"/>
    </xf>
    <xf numFmtId="0" fontId="1" fillId="26" borderId="2" xfId="0" applyFont="1" applyFill="1" applyBorder="1" applyAlignment="1" applyProtection="1">
      <alignment horizontal="center" vertical="center"/>
    </xf>
    <xf numFmtId="165" fontId="13" fillId="0" borderId="32" xfId="3" applyFont="1" applyBorder="1" applyAlignment="1" applyProtection="1">
      <alignment horizontal="center" vertical="center"/>
    </xf>
    <xf numFmtId="180" fontId="0" fillId="54" borderId="69" xfId="0" applyNumberFormat="1" applyFill="1" applyBorder="1" applyAlignment="1" applyProtection="1">
      <alignment horizontal="right" vertical="center"/>
    </xf>
    <xf numFmtId="180" fontId="0" fillId="54" borderId="70" xfId="0" applyNumberFormat="1" applyFill="1" applyBorder="1" applyAlignment="1" applyProtection="1">
      <alignment horizontal="right" vertical="center"/>
    </xf>
    <xf numFmtId="165" fontId="13" fillId="0" borderId="71" xfId="3" applyFont="1" applyBorder="1" applyAlignment="1" applyProtection="1">
      <alignment horizontal="center" vertical="center"/>
    </xf>
    <xf numFmtId="165" fontId="0" fillId="3" borderId="43" xfId="0" applyNumberFormat="1" applyFill="1" applyBorder="1" applyAlignment="1" applyProtection="1">
      <alignment horizontal="center" vertical="center"/>
    </xf>
    <xf numFmtId="180" fontId="0" fillId="26" borderId="41" xfId="0" applyNumberFormat="1" applyFill="1" applyBorder="1" applyAlignment="1" applyProtection="1">
      <alignment horizontal="right" vertical="center"/>
    </xf>
    <xf numFmtId="165" fontId="0" fillId="3" borderId="41" xfId="0" applyNumberFormat="1" applyFill="1" applyBorder="1" applyAlignment="1" applyProtection="1">
      <alignment horizontal="center" vertical="center"/>
    </xf>
    <xf numFmtId="165" fontId="0" fillId="3" borderId="41" xfId="3" applyFont="1" applyFill="1" applyBorder="1" applyAlignment="1" applyProtection="1">
      <alignment horizontal="center" vertical="center"/>
    </xf>
    <xf numFmtId="180" fontId="0" fillId="26" borderId="44" xfId="0" applyNumberFormat="1" applyFill="1" applyBorder="1" applyAlignment="1" applyProtection="1">
      <alignment horizontal="right" vertical="center"/>
    </xf>
    <xf numFmtId="0" fontId="0" fillId="4" borderId="2" xfId="0" applyFont="1" applyFill="1" applyBorder="1" applyProtection="1"/>
    <xf numFmtId="171" fontId="0" fillId="4" borderId="2" xfId="2" applyNumberFormat="1" applyFont="1" applyFill="1" applyBorder="1" applyAlignment="1" applyProtection="1">
      <alignment vertical="center"/>
    </xf>
    <xf numFmtId="171" fontId="0" fillId="4" borderId="8" xfId="2" applyNumberFormat="1" applyFont="1" applyFill="1" applyBorder="1" applyAlignment="1" applyProtection="1">
      <alignment vertical="center"/>
    </xf>
    <xf numFmtId="180" fontId="0" fillId="0" borderId="26" xfId="0" applyNumberFormat="1" applyBorder="1" applyAlignment="1" applyProtection="1">
      <alignment horizontal="right" vertical="center"/>
    </xf>
    <xf numFmtId="180" fontId="0" fillId="0" borderId="4" xfId="0" applyNumberFormat="1" applyBorder="1" applyAlignment="1" applyProtection="1">
      <alignment horizontal="right" vertical="center"/>
    </xf>
    <xf numFmtId="165" fontId="0" fillId="26" borderId="26" xfId="0" applyNumberFormat="1" applyFill="1" applyBorder="1" applyAlignment="1" applyProtection="1">
      <alignment horizontal="center" vertical="center"/>
    </xf>
    <xf numFmtId="0" fontId="1" fillId="9" borderId="2" xfId="0" applyFont="1" applyFill="1" applyBorder="1" applyAlignment="1" applyProtection="1">
      <alignment horizontal="center" vertical="center" wrapText="1"/>
    </xf>
    <xf numFmtId="1" fontId="0" fillId="0" borderId="2" xfId="0" applyNumberFormat="1" applyBorder="1" applyAlignment="1" applyProtection="1">
      <alignment horizontal="center" vertical="center" wrapText="1"/>
    </xf>
    <xf numFmtId="175" fontId="13" fillId="0" borderId="2" xfId="0" applyNumberFormat="1" applyFont="1" applyBorder="1" applyAlignment="1" applyProtection="1">
      <alignment horizontal="left"/>
    </xf>
    <xf numFmtId="0" fontId="0" fillId="3" borderId="47" xfId="0" applyFill="1" applyBorder="1" applyProtection="1"/>
    <xf numFmtId="0" fontId="0" fillId="3" borderId="68" xfId="0" applyFill="1" applyBorder="1" applyProtection="1"/>
    <xf numFmtId="0" fontId="0" fillId="3" borderId="49" xfId="0" applyFill="1" applyBorder="1" applyProtection="1"/>
    <xf numFmtId="0" fontId="0" fillId="4" borderId="2" xfId="0" applyFill="1" applyBorder="1" applyAlignment="1" applyProtection="1">
      <alignment horizontal="left" vertical="center"/>
    </xf>
    <xf numFmtId="0" fontId="0" fillId="4" borderId="2" xfId="0" applyFill="1" applyBorder="1" applyProtection="1"/>
    <xf numFmtId="0" fontId="0" fillId="4" borderId="29" xfId="0" applyFill="1" applyBorder="1" applyAlignment="1" applyProtection="1">
      <alignment horizontal="left" vertical="center"/>
    </xf>
    <xf numFmtId="0" fontId="0" fillId="4" borderId="29" xfId="0" applyFill="1" applyBorder="1" applyProtection="1"/>
    <xf numFmtId="171" fontId="0" fillId="4" borderId="29" xfId="2" applyNumberFormat="1" applyFont="1" applyFill="1" applyBorder="1" applyAlignment="1" applyProtection="1">
      <alignment vertical="center"/>
    </xf>
    <xf numFmtId="171" fontId="0" fillId="4" borderId="72" xfId="2" applyNumberFormat="1" applyFont="1" applyFill="1" applyBorder="1" applyAlignment="1" applyProtection="1">
      <alignment vertical="center"/>
    </xf>
    <xf numFmtId="180" fontId="0" fillId="0" borderId="30" xfId="0" applyNumberFormat="1" applyBorder="1" applyAlignment="1" applyProtection="1">
      <alignment horizontal="right" vertical="center"/>
    </xf>
    <xf numFmtId="180" fontId="0" fillId="0" borderId="28" xfId="0" applyNumberFormat="1" applyBorder="1" applyAlignment="1" applyProtection="1">
      <alignment horizontal="right" vertical="center"/>
    </xf>
    <xf numFmtId="165" fontId="0" fillId="26" borderId="30" xfId="0" applyNumberFormat="1" applyFill="1" applyBorder="1" applyAlignment="1" applyProtection="1">
      <alignment horizontal="center" vertical="center"/>
    </xf>
    <xf numFmtId="0" fontId="17" fillId="4" borderId="2" xfId="0" applyFont="1" applyFill="1" applyBorder="1" applyProtection="1"/>
    <xf numFmtId="180" fontId="6" fillId="26" borderId="70" xfId="0" applyNumberFormat="1" applyFont="1" applyFill="1" applyBorder="1" applyAlignment="1" applyProtection="1">
      <alignment horizontal="right" vertical="center"/>
    </xf>
    <xf numFmtId="165" fontId="12" fillId="9" borderId="43" xfId="3" applyFont="1" applyFill="1" applyBorder="1" applyAlignment="1" applyProtection="1">
      <alignment horizontal="center" vertical="center"/>
    </xf>
    <xf numFmtId="180" fontId="6" fillId="26" borderId="44" xfId="0" applyNumberFormat="1" applyFont="1" applyFill="1" applyBorder="1" applyAlignment="1" applyProtection="1">
      <alignment horizontal="right" vertical="center"/>
    </xf>
    <xf numFmtId="165" fontId="12" fillId="9" borderId="73" xfId="3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 applyProtection="1">
      <alignment horizontal="left" vertical="center"/>
    </xf>
    <xf numFmtId="0" fontId="1" fillId="4" borderId="2" xfId="0" applyFont="1" applyFill="1" applyBorder="1" applyProtection="1"/>
    <xf numFmtId="180" fontId="0" fillId="0" borderId="2" xfId="0" applyNumberFormat="1" applyBorder="1" applyAlignment="1" applyProtection="1">
      <alignment horizontal="right" vertical="center"/>
    </xf>
    <xf numFmtId="180" fontId="0" fillId="3" borderId="0" xfId="0" applyNumberFormat="1" applyFill="1" applyProtection="1"/>
    <xf numFmtId="180" fontId="6" fillId="26" borderId="48" xfId="0" applyNumberFormat="1" applyFont="1" applyFill="1" applyBorder="1" applyAlignment="1" applyProtection="1">
      <alignment horizontal="right" vertical="center"/>
    </xf>
    <xf numFmtId="0" fontId="0" fillId="3" borderId="0" xfId="0" applyFill="1" applyAlignment="1" applyProtection="1">
      <alignment horizontal="center" vertical="center"/>
    </xf>
    <xf numFmtId="0" fontId="1" fillId="4" borderId="21" xfId="0" applyFont="1" applyFill="1" applyBorder="1" applyAlignment="1" applyProtection="1">
      <alignment horizontal="left" vertical="center"/>
    </xf>
    <xf numFmtId="0" fontId="1" fillId="4" borderId="21" xfId="0" applyFont="1" applyFill="1" applyBorder="1" applyProtection="1"/>
    <xf numFmtId="165" fontId="12" fillId="9" borderId="74" xfId="3" applyFont="1" applyFill="1" applyBorder="1" applyAlignment="1" applyProtection="1">
      <alignment horizontal="center" vertical="center"/>
    </xf>
    <xf numFmtId="0" fontId="1" fillId="14" borderId="2" xfId="0" applyFont="1" applyFill="1" applyBorder="1" applyAlignment="1" applyProtection="1">
      <alignment horizontal="left" vertical="center"/>
    </xf>
    <xf numFmtId="166" fontId="1" fillId="14" borderId="2" xfId="0" applyNumberFormat="1" applyFont="1" applyFill="1" applyBorder="1" applyAlignment="1" applyProtection="1">
      <alignment horizontal="center" vertical="center" wrapText="1"/>
    </xf>
    <xf numFmtId="166" fontId="1" fillId="14" borderId="44" xfId="0" applyNumberFormat="1" applyFont="1" applyFill="1" applyBorder="1" applyAlignment="1" applyProtection="1">
      <alignment horizontal="center" vertical="center" wrapText="1"/>
    </xf>
    <xf numFmtId="171" fontId="0" fillId="3" borderId="0" xfId="0" applyNumberFormat="1" applyFill="1" applyProtection="1"/>
    <xf numFmtId="166" fontId="0" fillId="3" borderId="0" xfId="0" applyNumberFormat="1" applyFill="1" applyProtection="1"/>
    <xf numFmtId="171" fontId="0" fillId="0" borderId="0" xfId="2" applyNumberFormat="1" applyFont="1" applyFill="1" applyBorder="1" applyAlignment="1" applyProtection="1">
      <alignment vertical="center"/>
    </xf>
    <xf numFmtId="0" fontId="0" fillId="4" borderId="8" xfId="0" applyFont="1" applyFill="1" applyBorder="1" applyAlignment="1" applyProtection="1">
      <alignment horizontal="left" vertical="center"/>
      <protection locked="0"/>
    </xf>
    <xf numFmtId="0" fontId="0" fillId="25" borderId="8" xfId="0" applyFont="1" applyFill="1" applyBorder="1" applyAlignment="1" applyProtection="1">
      <alignment horizontal="left" vertical="center"/>
      <protection locked="0"/>
    </xf>
    <xf numFmtId="171" fontId="0" fillId="25" borderId="8" xfId="2" applyNumberFormat="1" applyFont="1" applyFill="1" applyBorder="1" applyAlignment="1" applyProtection="1">
      <alignment vertical="center"/>
      <protection locked="0"/>
    </xf>
    <xf numFmtId="0" fontId="0" fillId="25" borderId="2" xfId="0" applyFont="1" applyFill="1" applyBorder="1" applyAlignment="1" applyProtection="1">
      <alignment horizontal="left" vertical="center"/>
      <protection locked="0"/>
    </xf>
    <xf numFmtId="171" fontId="0" fillId="25" borderId="2" xfId="2" applyNumberFormat="1" applyFont="1" applyFill="1" applyBorder="1" applyAlignment="1" applyProtection="1">
      <alignment vertical="center"/>
      <protection locked="0"/>
    </xf>
    <xf numFmtId="0" fontId="0" fillId="25" borderId="29" xfId="0" applyFont="1" applyFill="1" applyBorder="1" applyAlignment="1" applyProtection="1">
      <alignment horizontal="left" vertical="center"/>
      <protection locked="0"/>
    </xf>
    <xf numFmtId="171" fontId="0" fillId="25" borderId="29" xfId="2" applyNumberFormat="1" applyFont="1" applyFill="1" applyBorder="1" applyAlignment="1" applyProtection="1">
      <alignment vertical="center"/>
      <protection locked="0"/>
    </xf>
    <xf numFmtId="0" fontId="2" fillId="0" borderId="0" xfId="4" applyFont="1" applyBorder="1" applyAlignment="1" applyProtection="1"/>
    <xf numFmtId="0" fontId="2" fillId="0" borderId="0" xfId="4" applyFont="1" applyBorder="1" applyAlignment="1" applyProtection="1">
      <alignment horizontal="left" vertical="center"/>
    </xf>
    <xf numFmtId="0" fontId="2" fillId="0" borderId="0" xfId="4" applyFont="1" applyBorder="1" applyAlignment="1" applyProtection="1">
      <alignment horizontal="left" vertical="center" wrapText="1"/>
    </xf>
    <xf numFmtId="0" fontId="0" fillId="0" borderId="0" xfId="0" applyFont="1" applyBorder="1"/>
    <xf numFmtId="0" fontId="2" fillId="0" borderId="0" xfId="4" applyFont="1" applyBorder="1" applyAlignment="1" applyProtection="1">
      <alignment horizontal="left" vertical="center" indent="4"/>
    </xf>
    <xf numFmtId="166" fontId="9" fillId="14" borderId="39" xfId="0" applyNumberFormat="1" applyFont="1" applyFill="1" applyBorder="1" applyAlignment="1" applyProtection="1">
      <alignment horizontal="center" vertical="center"/>
    </xf>
    <xf numFmtId="0" fontId="6" fillId="20" borderId="38" xfId="0" applyFont="1" applyFill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</xf>
    <xf numFmtId="166" fontId="0" fillId="3" borderId="23" xfId="2" applyNumberFormat="1" applyFont="1" applyFill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166" fontId="0" fillId="3" borderId="26" xfId="2" applyNumberFormat="1" applyFont="1" applyFill="1" applyBorder="1" applyAlignment="1" applyProtection="1">
      <alignment horizontal="right" vertical="center"/>
    </xf>
    <xf numFmtId="166" fontId="9" fillId="14" borderId="18" xfId="0" applyNumberFormat="1" applyFont="1" applyFill="1" applyBorder="1" applyAlignment="1" applyProtection="1">
      <alignment horizontal="center" vertical="center"/>
    </xf>
    <xf numFmtId="0" fontId="6" fillId="20" borderId="32" xfId="0" applyFont="1" applyFill="1" applyBorder="1" applyAlignment="1" applyProtection="1">
      <alignment horizontal="center" vertical="center" wrapText="1"/>
    </xf>
    <xf numFmtId="166" fontId="0" fillId="3" borderId="35" xfId="2" applyNumberFormat="1" applyFont="1" applyFill="1" applyBorder="1" applyAlignment="1" applyProtection="1">
      <alignment horizontal="right" vertical="center"/>
    </xf>
    <xf numFmtId="166" fontId="9" fillId="14" borderId="28" xfId="0" applyNumberFormat="1" applyFont="1" applyFill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 wrapText="1"/>
    </xf>
    <xf numFmtId="166" fontId="9" fillId="14" borderId="4" xfId="0" applyNumberFormat="1" applyFont="1" applyFill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 wrapText="1"/>
    </xf>
    <xf numFmtId="166" fontId="0" fillId="16" borderId="26" xfId="2" applyNumberFormat="1" applyFont="1" applyFill="1" applyBorder="1" applyAlignment="1" applyProtection="1">
      <alignment horizontal="right" vertical="center"/>
    </xf>
    <xf numFmtId="0" fontId="6" fillId="0" borderId="2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166" fontId="10" fillId="6" borderId="13" xfId="0" applyNumberFormat="1" applyFont="1" applyFill="1" applyBorder="1" applyAlignment="1" applyProtection="1">
      <alignment horizontal="center" vertical="center" wrapText="1"/>
    </xf>
    <xf numFmtId="166" fontId="7" fillId="6" borderId="14" xfId="0" applyNumberFormat="1" applyFont="1" applyFill="1" applyBorder="1" applyAlignment="1" applyProtection="1">
      <alignment horizontal="center" vertical="center" wrapText="1"/>
    </xf>
    <xf numFmtId="166" fontId="7" fillId="6" borderId="10" xfId="0" applyNumberFormat="1" applyFont="1" applyFill="1" applyBorder="1" applyAlignment="1" applyProtection="1">
      <alignment horizontal="center" vertical="center" wrapText="1"/>
    </xf>
    <xf numFmtId="166" fontId="11" fillId="4" borderId="15" xfId="0" applyNumberFormat="1" applyFont="1" applyFill="1" applyBorder="1" applyAlignment="1" applyProtection="1">
      <alignment horizontal="center" vertical="center" wrapText="1"/>
    </xf>
    <xf numFmtId="166" fontId="7" fillId="6" borderId="16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right" vertical="center"/>
    </xf>
    <xf numFmtId="0" fontId="6" fillId="4" borderId="2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 indent="4"/>
    </xf>
    <xf numFmtId="0" fontId="1" fillId="5" borderId="9" xfId="0" applyFont="1" applyFill="1" applyBorder="1" applyAlignment="1" applyProtection="1">
      <alignment horizontal="center" vertical="center" wrapText="1"/>
    </xf>
    <xf numFmtId="0" fontId="1" fillId="5" borderId="10" xfId="0" applyFont="1" applyFill="1" applyBorder="1" applyAlignment="1" applyProtection="1">
      <alignment horizontal="center" vertical="center" wrapText="1"/>
    </xf>
    <xf numFmtId="166" fontId="1" fillId="5" borderId="11" xfId="0" applyNumberFormat="1" applyFont="1" applyFill="1" applyBorder="1" applyAlignment="1" applyProtection="1">
      <alignment horizontal="center" vertical="center"/>
    </xf>
    <xf numFmtId="166" fontId="6" fillId="13" borderId="12" xfId="0" applyNumberFormat="1" applyFont="1" applyFill="1" applyBorder="1" applyAlignment="1" applyProtection="1">
      <alignment horizontal="center" vertical="center" wrapText="1"/>
    </xf>
    <xf numFmtId="0" fontId="9" fillId="0" borderId="62" xfId="0" applyFont="1" applyBorder="1" applyAlignment="1" applyProtection="1">
      <alignment horizontal="center" vertical="center" wrapText="1"/>
    </xf>
    <xf numFmtId="173" fontId="0" fillId="17" borderId="51" xfId="2" applyNumberFormat="1" applyFont="1" applyFill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 wrapText="1"/>
    </xf>
    <xf numFmtId="0" fontId="9" fillId="0" borderId="45" xfId="0" applyFont="1" applyBorder="1" applyAlignment="1" applyProtection="1">
      <alignment horizontal="center" vertical="center" wrapText="1"/>
    </xf>
    <xf numFmtId="0" fontId="9" fillId="0" borderId="48" xfId="0" applyFont="1" applyBorder="1" applyAlignment="1" applyProtection="1">
      <alignment horizontal="center" vertical="center" wrapText="1"/>
    </xf>
    <xf numFmtId="173" fontId="0" fillId="62" borderId="47" xfId="2" applyNumberFormat="1" applyFont="1" applyFill="1" applyBorder="1" applyAlignment="1" applyProtection="1">
      <alignment horizontal="center" vertical="center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 wrapText="1"/>
    </xf>
    <xf numFmtId="166" fontId="10" fillId="6" borderId="39" xfId="0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left" vertical="center" indent="4"/>
    </xf>
    <xf numFmtId="0" fontId="6" fillId="5" borderId="45" xfId="0" applyFont="1" applyFill="1" applyBorder="1" applyAlignment="1" applyProtection="1">
      <alignment horizontal="center" vertical="center" wrapText="1"/>
    </xf>
    <xf numFmtId="0" fontId="6" fillId="5" borderId="53" xfId="0" applyFont="1" applyFill="1" applyBorder="1" applyAlignment="1" applyProtection="1">
      <alignment horizontal="center" vertical="center" wrapText="1"/>
    </xf>
    <xf numFmtId="0" fontId="9" fillId="15" borderId="43" xfId="0" applyFont="1" applyFill="1" applyBorder="1" applyAlignment="1" applyProtection="1">
      <alignment horizontal="center" vertical="center" wrapText="1"/>
    </xf>
    <xf numFmtId="171" fontId="33" fillId="24" borderId="50" xfId="2" applyNumberFormat="1" applyFill="1" applyBorder="1" applyAlignment="1" applyProtection="1">
      <alignment horizontal="center" vertical="center"/>
    </xf>
    <xf numFmtId="172" fontId="0" fillId="17" borderId="51" xfId="2" applyNumberFormat="1" applyFont="1" applyFill="1" applyBorder="1" applyAlignment="1" applyProtection="1">
      <alignment horizontal="center" vertical="center"/>
      <protection locked="0"/>
    </xf>
    <xf numFmtId="171" fontId="0" fillId="10" borderId="52" xfId="2" applyNumberFormat="1" applyFont="1" applyFill="1" applyBorder="1" applyAlignment="1" applyProtection="1">
      <alignment horizontal="center" vertical="center"/>
    </xf>
    <xf numFmtId="0" fontId="9" fillId="15" borderId="32" xfId="0" applyFont="1" applyFill="1" applyBorder="1" applyAlignment="1" applyProtection="1">
      <alignment horizontal="center" vertical="center" wrapText="1"/>
    </xf>
    <xf numFmtId="172" fontId="0" fillId="23" borderId="26" xfId="2" applyNumberFormat="1" applyFont="1" applyFill="1" applyBorder="1" applyAlignment="1" applyProtection="1">
      <alignment horizontal="center" vertical="center"/>
    </xf>
    <xf numFmtId="171" fontId="0" fillId="10" borderId="26" xfId="2" applyNumberFormat="1" applyFont="1" applyFill="1" applyBorder="1" applyAlignment="1" applyProtection="1">
      <alignment horizontal="center" vertical="center"/>
    </xf>
    <xf numFmtId="0" fontId="6" fillId="5" borderId="15" xfId="0" applyFont="1" applyFill="1" applyBorder="1" applyAlignment="1" applyProtection="1">
      <alignment horizontal="center" vertical="center" wrapText="1"/>
    </xf>
    <xf numFmtId="166" fontId="1" fillId="5" borderId="46" xfId="0" applyNumberFormat="1" applyFont="1" applyFill="1" applyBorder="1" applyAlignment="1" applyProtection="1">
      <alignment horizontal="center" vertical="center" wrapText="1"/>
    </xf>
    <xf numFmtId="166" fontId="1" fillId="5" borderId="45" xfId="0" applyNumberFormat="1" applyFont="1" applyFill="1" applyBorder="1" applyAlignment="1" applyProtection="1">
      <alignment horizontal="center" vertical="center" wrapText="1"/>
    </xf>
    <xf numFmtId="171" fontId="0" fillId="23" borderId="47" xfId="2" applyNumberFormat="1" applyFont="1" applyFill="1" applyBorder="1" applyAlignment="1" applyProtection="1">
      <alignment horizontal="center" vertical="center"/>
    </xf>
    <xf numFmtId="172" fontId="0" fillId="17" borderId="48" xfId="2" applyNumberFormat="1" applyFont="1" applyFill="1" applyBorder="1" applyAlignment="1" applyProtection="1">
      <alignment horizontal="center" vertical="center"/>
      <protection locked="0"/>
    </xf>
    <xf numFmtId="171" fontId="0" fillId="10" borderId="49" xfId="2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6" fillId="4" borderId="39" xfId="0" applyFont="1" applyFill="1" applyBorder="1" applyAlignment="1" applyProtection="1">
      <alignment horizontal="center" vertical="center"/>
    </xf>
    <xf numFmtId="167" fontId="1" fillId="5" borderId="37" xfId="2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top" wrapText="1"/>
    </xf>
    <xf numFmtId="174" fontId="10" fillId="6" borderId="37" xfId="1" applyNumberFormat="1" applyFont="1" applyFill="1" applyBorder="1" applyAlignment="1" applyProtection="1">
      <alignment horizontal="right" vertical="center" wrapText="1"/>
    </xf>
    <xf numFmtId="0" fontId="12" fillId="5" borderId="5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/>
    </xf>
    <xf numFmtId="0" fontId="12" fillId="5" borderId="2" xfId="0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/>
    </xf>
    <xf numFmtId="0" fontId="15" fillId="20" borderId="2" xfId="0" applyFont="1" applyFill="1" applyBorder="1" applyAlignment="1" applyProtection="1">
      <alignment horizontal="center" vertical="center"/>
    </xf>
    <xf numFmtId="0" fontId="12" fillId="26" borderId="55" xfId="0" applyFont="1" applyFill="1" applyBorder="1" applyAlignment="1" applyProtection="1">
      <alignment horizontal="left" vertical="center"/>
    </xf>
    <xf numFmtId="166" fontId="12" fillId="9" borderId="2" xfId="2" applyNumberFormat="1" applyFont="1" applyFill="1" applyBorder="1" applyAlignment="1" applyProtection="1">
      <alignment horizontal="center" vertical="center"/>
    </xf>
    <xf numFmtId="166" fontId="12" fillId="26" borderId="2" xfId="2" applyNumberFormat="1" applyFont="1" applyFill="1" applyBorder="1" applyAlignment="1" applyProtection="1">
      <alignment horizontal="center" vertical="center"/>
    </xf>
    <xf numFmtId="0" fontId="14" fillId="34" borderId="6" xfId="0" applyFont="1" applyFill="1" applyBorder="1" applyAlignment="1" applyProtection="1">
      <alignment horizontal="center" vertical="center" wrapText="1"/>
    </xf>
    <xf numFmtId="167" fontId="1" fillId="50" borderId="37" xfId="2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49" borderId="2" xfId="0" applyFont="1" applyFill="1" applyBorder="1" applyAlignment="1" applyProtection="1">
      <alignment horizontal="center" vertical="center"/>
    </xf>
    <xf numFmtId="166" fontId="12" fillId="38" borderId="6" xfId="2" applyNumberFormat="1" applyFont="1" applyFill="1" applyBorder="1" applyAlignment="1" applyProtection="1">
      <alignment horizontal="center" vertical="center"/>
    </xf>
    <xf numFmtId="166" fontId="12" fillId="41" borderId="2" xfId="2" applyNumberFormat="1" applyFont="1" applyFill="1" applyBorder="1" applyAlignment="1" applyProtection="1">
      <alignment horizontal="center" vertical="center"/>
    </xf>
    <xf numFmtId="0" fontId="15" fillId="35" borderId="2" xfId="0" applyFont="1" applyFill="1" applyBorder="1" applyAlignment="1" applyProtection="1">
      <alignment horizontal="center" vertical="center"/>
    </xf>
    <xf numFmtId="167" fontId="1" fillId="5" borderId="5" xfId="2" applyFont="1" applyFill="1" applyBorder="1" applyAlignment="1" applyProtection="1">
      <alignment horizontal="center" vertical="center" wrapText="1"/>
    </xf>
    <xf numFmtId="0" fontId="12" fillId="31" borderId="2" xfId="0" applyFont="1" applyFill="1" applyBorder="1" applyAlignment="1" applyProtection="1">
      <alignment horizontal="center" vertical="center" wrapText="1"/>
    </xf>
    <xf numFmtId="0" fontId="12" fillId="32" borderId="2" xfId="0" applyFont="1" applyFill="1" applyBorder="1" applyAlignment="1" applyProtection="1">
      <alignment horizontal="center" vertical="center"/>
    </xf>
    <xf numFmtId="167" fontId="1" fillId="33" borderId="37" xfId="2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167" fontId="1" fillId="5" borderId="2" xfId="2" applyFont="1" applyFill="1" applyBorder="1" applyAlignment="1" applyProtection="1">
      <alignment horizontal="center" vertical="center" wrapText="1"/>
    </xf>
    <xf numFmtId="0" fontId="6" fillId="52" borderId="62" xfId="0" applyFont="1" applyFill="1" applyBorder="1" applyAlignment="1" applyProtection="1">
      <alignment horizontal="center" vertical="center" textRotation="90" wrapText="1"/>
    </xf>
    <xf numFmtId="0" fontId="6" fillId="52" borderId="43" xfId="0" applyFont="1" applyFill="1" applyBorder="1" applyAlignment="1" applyProtection="1">
      <alignment horizontal="left" vertical="center" wrapText="1"/>
    </xf>
    <xf numFmtId="0" fontId="7" fillId="14" borderId="58" xfId="0" applyFont="1" applyFill="1" applyBorder="1" applyAlignment="1" applyProtection="1">
      <alignment horizontal="center" vertical="center"/>
    </xf>
    <xf numFmtId="0" fontId="7" fillId="53" borderId="58" xfId="0" applyFont="1" applyFill="1" applyBorder="1" applyAlignment="1" applyProtection="1">
      <alignment horizontal="center" vertical="center"/>
    </xf>
    <xf numFmtId="0" fontId="7" fillId="52" borderId="58" xfId="0" applyFont="1" applyFill="1" applyBorder="1" applyAlignment="1" applyProtection="1">
      <alignment horizontal="center" vertical="center"/>
    </xf>
    <xf numFmtId="0" fontId="16" fillId="52" borderId="68" xfId="0" applyFont="1" applyFill="1" applyBorder="1" applyAlignment="1" applyProtection="1">
      <alignment horizontal="center" vertical="center" textRotation="90" wrapText="1"/>
    </xf>
    <xf numFmtId="0" fontId="6" fillId="4" borderId="43" xfId="0" applyFont="1" applyFill="1" applyBorder="1" applyAlignment="1" applyProtection="1">
      <alignment horizontal="left" vertical="center" wrapText="1"/>
      <protection locked="0"/>
    </xf>
    <xf numFmtId="180" fontId="0" fillId="26" borderId="39" xfId="0" applyNumberFormat="1" applyFill="1" applyBorder="1" applyAlignment="1" applyProtection="1">
      <alignment horizontal="center" vertical="center"/>
    </xf>
    <xf numFmtId="0" fontId="7" fillId="14" borderId="12" xfId="0" applyFont="1" applyFill="1" applyBorder="1" applyAlignment="1" applyProtection="1">
      <alignment horizontal="center" vertical="center"/>
    </xf>
    <xf numFmtId="0" fontId="7" fillId="53" borderId="13" xfId="0" applyFont="1" applyFill="1" applyBorder="1" applyAlignment="1" applyProtection="1">
      <alignment horizontal="center" vertical="center"/>
    </xf>
    <xf numFmtId="0" fontId="7" fillId="52" borderId="67" xfId="0" applyFont="1" applyFill="1" applyBorder="1" applyAlignment="1" applyProtection="1">
      <alignment horizontal="center" vertical="center"/>
    </xf>
    <xf numFmtId="0" fontId="7" fillId="14" borderId="13" xfId="0" applyFont="1" applyFill="1" applyBorder="1" applyAlignment="1" applyProtection="1">
      <alignment horizontal="center" vertical="center"/>
    </xf>
    <xf numFmtId="0" fontId="7" fillId="52" borderId="13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1" fillId="5" borderId="43" xfId="0" applyFont="1" applyFill="1" applyBorder="1" applyAlignment="1" applyProtection="1">
      <alignment horizontal="center" vertical="center" wrapText="1"/>
    </xf>
    <xf numFmtId="0" fontId="1" fillId="5" borderId="41" xfId="0" applyFont="1" applyFill="1" applyBorder="1" applyAlignment="1" applyProtection="1">
      <alignment horizontal="center" vertical="center"/>
    </xf>
    <xf numFmtId="0" fontId="1" fillId="5" borderId="41" xfId="0" applyFont="1" applyFill="1" applyBorder="1" applyAlignment="1" applyProtection="1">
      <alignment horizontal="center" vertical="center" wrapText="1"/>
    </xf>
    <xf numFmtId="0" fontId="9" fillId="5" borderId="21" xfId="0" applyFont="1" applyFill="1" applyBorder="1" applyAlignment="1" applyProtection="1">
      <alignment horizontal="center" vertical="center" wrapText="1"/>
    </xf>
    <xf numFmtId="0" fontId="1" fillId="26" borderId="44" xfId="0" applyFont="1" applyFill="1" applyBorder="1" applyAlignment="1" applyProtection="1">
      <alignment horizontal="center" vertical="center" wrapText="1"/>
    </xf>
    <xf numFmtId="0" fontId="1" fillId="5" borderId="39" xfId="0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left" vertical="center" wrapText="1"/>
    </xf>
    <xf numFmtId="166" fontId="0" fillId="10" borderId="26" xfId="2" applyNumberFormat="1" applyFont="1" applyFill="1" applyBorder="1" applyAlignment="1" applyProtection="1">
      <alignment horizontal="center" vertical="center"/>
    </xf>
    <xf numFmtId="166" fontId="0" fillId="35" borderId="26" xfId="2" applyNumberFormat="1" applyFont="1" applyFill="1" applyBorder="1" applyAlignment="1" applyProtection="1">
      <alignment horizontal="center" vertical="center"/>
    </xf>
    <xf numFmtId="166" fontId="0" fillId="12" borderId="26" xfId="2" applyNumberFormat="1" applyFont="1" applyFill="1" applyBorder="1" applyAlignment="1" applyProtection="1">
      <alignment horizontal="center" vertical="center"/>
    </xf>
    <xf numFmtId="172" fontId="0" fillId="12" borderId="26" xfId="0" applyNumberFormat="1" applyFont="1" applyFill="1" applyBorder="1" applyAlignment="1" applyProtection="1">
      <alignment horizontal="center" vertical="center"/>
    </xf>
    <xf numFmtId="0" fontId="6" fillId="0" borderId="45" xfId="0" applyFont="1" applyBorder="1" applyAlignment="1" applyProtection="1">
      <alignment horizontal="left" vertical="center" wrapText="1"/>
    </xf>
    <xf numFmtId="166" fontId="0" fillId="10" borderId="51" xfId="2" applyNumberFormat="1" applyFont="1" applyFill="1" applyBorder="1" applyAlignment="1" applyProtection="1">
      <alignment horizontal="center" vertical="center"/>
    </xf>
    <xf numFmtId="166" fontId="0" fillId="35" borderId="51" xfId="2" applyNumberFormat="1" applyFont="1" applyFill="1" applyBorder="1" applyAlignment="1" applyProtection="1">
      <alignment horizontal="center" vertical="center"/>
    </xf>
    <xf numFmtId="166" fontId="0" fillId="12" borderId="51" xfId="2" applyNumberFormat="1" applyFont="1" applyFill="1" applyBorder="1" applyAlignment="1" applyProtection="1">
      <alignment horizontal="center" vertical="center"/>
    </xf>
    <xf numFmtId="172" fontId="0" fillId="12" borderId="51" xfId="0" applyNumberFormat="1" applyFont="1" applyFill="1" applyBorder="1" applyAlignment="1" applyProtection="1">
      <alignment horizontal="center" vertical="center"/>
    </xf>
    <xf numFmtId="166" fontId="0" fillId="10" borderId="39" xfId="2" applyNumberFormat="1" applyFont="1" applyFill="1" applyBorder="1" applyAlignment="1" applyProtection="1">
      <alignment horizontal="center" vertical="center"/>
    </xf>
    <xf numFmtId="166" fontId="0" fillId="35" borderId="39" xfId="2" applyNumberFormat="1" applyFont="1" applyFill="1" applyBorder="1" applyAlignment="1" applyProtection="1">
      <alignment horizontal="center" vertical="center"/>
    </xf>
    <xf numFmtId="166" fontId="0" fillId="12" borderId="39" xfId="2" applyNumberFormat="1" applyFont="1" applyFill="1" applyBorder="1" applyAlignment="1" applyProtection="1">
      <alignment horizontal="center" vertical="center"/>
    </xf>
    <xf numFmtId="172" fontId="0" fillId="12" borderId="39" xfId="0" applyNumberFormat="1" applyFont="1" applyFill="1" applyBorder="1" applyAlignment="1" applyProtection="1">
      <alignment horizontal="center" vertical="center"/>
    </xf>
    <xf numFmtId="0" fontId="6" fillId="5" borderId="67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1" fillId="5" borderId="45" xfId="0" applyFont="1" applyFill="1" applyBorder="1" applyAlignment="1" applyProtection="1">
      <alignment horizontal="center" vertical="center" wrapText="1"/>
    </xf>
    <xf numFmtId="0" fontId="1" fillId="5" borderId="16" xfId="0" applyFont="1" applyFill="1" applyBorder="1" applyAlignment="1" applyProtection="1">
      <alignment horizontal="center" vertical="center" wrapText="1"/>
    </xf>
    <xf numFmtId="166" fontId="6" fillId="5" borderId="13" xfId="0" applyNumberFormat="1" applyFont="1" applyFill="1" applyBorder="1" applyAlignment="1" applyProtection="1">
      <alignment horizontal="center" vertical="center" wrapText="1"/>
    </xf>
    <xf numFmtId="0" fontId="6" fillId="3" borderId="62" xfId="0" applyFont="1" applyFill="1" applyBorder="1" applyAlignment="1" applyProtection="1">
      <alignment horizontal="center" vertical="center" wrapText="1"/>
    </xf>
    <xf numFmtId="180" fontId="6" fillId="8" borderId="39" xfId="0" applyNumberFormat="1" applyFont="1" applyFill="1" applyBorder="1" applyAlignment="1" applyProtection="1">
      <alignment horizontal="right" vertical="center"/>
    </xf>
    <xf numFmtId="180" fontId="6" fillId="8" borderId="13" xfId="0" applyNumberFormat="1" applyFont="1" applyFill="1" applyBorder="1" applyAlignment="1" applyProtection="1">
      <alignment horizontal="right" vertical="center"/>
    </xf>
    <xf numFmtId="180" fontId="6" fillId="8" borderId="51" xfId="0" applyNumberFormat="1" applyFont="1" applyFill="1" applyBorder="1" applyAlignment="1" applyProtection="1">
      <alignment horizontal="right" vertical="center"/>
    </xf>
    <xf numFmtId="180" fontId="6" fillId="8" borderId="58" xfId="0" applyNumberFormat="1" applyFont="1" applyFill="1" applyBorder="1" applyAlignment="1" applyProtection="1">
      <alignment horizontal="right" vertical="center"/>
    </xf>
    <xf numFmtId="0" fontId="1" fillId="54" borderId="39" xfId="0" applyFont="1" applyFill="1" applyBorder="1" applyAlignment="1" applyProtection="1">
      <alignment horizontal="center" vertical="center" wrapText="1"/>
    </xf>
    <xf numFmtId="0" fontId="1" fillId="54" borderId="45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180" fontId="6" fillId="10" borderId="39" xfId="0" applyNumberFormat="1" applyFont="1" applyFill="1" applyBorder="1" applyAlignment="1" applyProtection="1">
      <alignment horizontal="right" vertical="center"/>
    </xf>
    <xf numFmtId="0" fontId="1" fillId="5" borderId="41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1" fillId="54" borderId="42" xfId="0" applyFont="1" applyFill="1" applyBorder="1" applyAlignment="1" applyProtection="1">
      <alignment horizontal="center" vertical="center" wrapText="1"/>
    </xf>
    <xf numFmtId="0" fontId="1" fillId="54" borderId="11" xfId="0" applyFont="1" applyFill="1" applyBorder="1" applyAlignment="1" applyProtection="1">
      <alignment horizontal="center" vertical="center" wrapText="1"/>
    </xf>
    <xf numFmtId="0" fontId="1" fillId="5" borderId="41" xfId="0" applyFont="1" applyFill="1" applyBorder="1" applyAlignment="1" applyProtection="1">
      <alignment horizontal="center" vertical="center"/>
      <protection locked="0"/>
    </xf>
    <xf numFmtId="0" fontId="1" fillId="5" borderId="10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50" xfId="0" applyFont="1" applyFill="1" applyBorder="1" applyAlignment="1" applyProtection="1">
      <alignment horizontal="center" vertical="center" wrapText="1"/>
    </xf>
    <xf numFmtId="0" fontId="6" fillId="3" borderId="63" xfId="0" applyFont="1" applyFill="1" applyBorder="1" applyAlignment="1" applyProtection="1">
      <alignment horizontal="center" vertical="center" wrapText="1"/>
    </xf>
    <xf numFmtId="180" fontId="6" fillId="8" borderId="67" xfId="0" applyNumberFormat="1" applyFont="1" applyFill="1" applyBorder="1" applyAlignment="1" applyProtection="1">
      <alignment horizontal="right" vertical="center"/>
    </xf>
    <xf numFmtId="180" fontId="6" fillId="8" borderId="52" xfId="0" applyNumberFormat="1" applyFont="1" applyFill="1" applyBorder="1" applyAlignment="1" applyProtection="1">
      <alignment horizontal="right" vertical="center"/>
    </xf>
    <xf numFmtId="180" fontId="6" fillId="8" borderId="77" xfId="0" applyNumberFormat="1" applyFont="1" applyFill="1" applyBorder="1" applyAlignment="1" applyProtection="1">
      <alignment horizontal="right" vertical="center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180" fontId="6" fillId="10" borderId="48" xfId="0" applyNumberFormat="1" applyFont="1" applyFill="1" applyBorder="1" applyAlignment="1" applyProtection="1">
      <alignment horizontal="right" vertical="center"/>
    </xf>
    <xf numFmtId="0" fontId="1" fillId="54" borderId="53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180" fontId="6" fillId="8" borderId="75" xfId="0" applyNumberFormat="1" applyFont="1" applyFill="1" applyBorder="1" applyAlignment="1" applyProtection="1">
      <alignment horizontal="right" vertical="center"/>
    </xf>
    <xf numFmtId="180" fontId="6" fillId="8" borderId="16" xfId="0" applyNumberFormat="1" applyFont="1" applyFill="1" applyBorder="1" applyAlignment="1" applyProtection="1">
      <alignment horizontal="right" vertical="center"/>
    </xf>
    <xf numFmtId="0" fontId="1" fillId="5" borderId="11" xfId="0" applyFont="1" applyFill="1" applyBorder="1" applyAlignment="1" applyProtection="1">
      <alignment horizontal="center" vertical="center" wrapText="1"/>
    </xf>
    <xf numFmtId="0" fontId="1" fillId="0" borderId="5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5" borderId="10" xfId="0" applyFont="1" applyFill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center" vertical="center" wrapText="1"/>
    </xf>
    <xf numFmtId="181" fontId="33" fillId="35" borderId="26" xfId="3" applyNumberFormat="1" applyFill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</xf>
    <xf numFmtId="166" fontId="0" fillId="24" borderId="51" xfId="2" applyNumberFormat="1" applyFont="1" applyFill="1" applyBorder="1" applyAlignment="1" applyProtection="1">
      <alignment horizontal="center" vertical="center"/>
    </xf>
    <xf numFmtId="181" fontId="33" fillId="56" borderId="51" xfId="3" applyNumberFormat="1" applyFill="1" applyBorder="1" applyAlignment="1" applyProtection="1">
      <alignment horizontal="center" vertical="center"/>
    </xf>
    <xf numFmtId="0" fontId="0" fillId="25" borderId="51" xfId="0" applyFont="1" applyFill="1" applyBorder="1" applyAlignment="1" applyProtection="1">
      <alignment horizontal="center" vertical="center"/>
      <protection locked="0"/>
    </xf>
    <xf numFmtId="166" fontId="0" fillId="24" borderId="39" xfId="2" applyNumberFormat="1" applyFont="1" applyFill="1" applyBorder="1" applyAlignment="1" applyProtection="1">
      <alignment horizontal="center" vertical="center"/>
    </xf>
    <xf numFmtId="0" fontId="6" fillId="5" borderId="20" xfId="0" applyFont="1" applyFill="1" applyBorder="1" applyAlignment="1" applyProtection="1">
      <alignment horizontal="center" vertical="center" wrapText="1"/>
    </xf>
    <xf numFmtId="0" fontId="6" fillId="5" borderId="23" xfId="0" applyFont="1" applyFill="1" applyBorder="1" applyAlignment="1" applyProtection="1">
      <alignment horizontal="center" vertical="center" wrapText="1"/>
    </xf>
    <xf numFmtId="166" fontId="1" fillId="5" borderId="12" xfId="0" applyNumberFormat="1" applyFont="1" applyFill="1" applyBorder="1" applyAlignment="1" applyProtection="1">
      <alignment horizontal="center" vertical="center" wrapText="1"/>
    </xf>
    <xf numFmtId="0" fontId="1" fillId="5" borderId="13" xfId="0" applyFont="1" applyFill="1" applyBorder="1" applyAlignment="1" applyProtection="1">
      <alignment horizontal="center" vertical="center"/>
    </xf>
    <xf numFmtId="0" fontId="1" fillId="5" borderId="67" xfId="0" applyFont="1" applyFill="1" applyBorder="1" applyAlignment="1" applyProtection="1">
      <alignment horizontal="center" vertical="center"/>
    </xf>
    <xf numFmtId="181" fontId="33" fillId="56" borderId="39" xfId="3" applyNumberFormat="1" applyFill="1" applyBorder="1" applyAlignment="1" applyProtection="1">
      <alignment horizontal="center" vertical="center"/>
    </xf>
    <xf numFmtId="0" fontId="0" fillId="25" borderId="39" xfId="0" applyFont="1" applyFill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0" fillId="55" borderId="2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center"/>
      <protection locked="0"/>
    </xf>
    <xf numFmtId="3" fontId="0" fillId="0" borderId="2" xfId="0" applyNumberFormat="1" applyBorder="1" applyAlignment="1" applyProtection="1">
      <alignment horizontal="right"/>
      <protection locked="0"/>
    </xf>
    <xf numFmtId="0" fontId="20" fillId="0" borderId="2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/>
    </xf>
    <xf numFmtId="0" fontId="0" fillId="0" borderId="39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13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6" fillId="3" borderId="39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26" fillId="3" borderId="39" xfId="0" applyFont="1" applyFill="1" applyBorder="1" applyAlignment="1">
      <alignment horizontal="justify" vertical="center" wrapText="1"/>
    </xf>
    <xf numFmtId="0" fontId="24" fillId="0" borderId="39" xfId="0" applyFont="1" applyBorder="1" applyAlignment="1">
      <alignment vertical="center" wrapText="1"/>
    </xf>
    <xf numFmtId="0" fontId="25" fillId="59" borderId="39" xfId="0" applyFont="1" applyFill="1" applyBorder="1" applyAlignment="1">
      <alignment horizontal="center" vertical="center" wrapText="1"/>
    </xf>
    <xf numFmtId="0" fontId="25" fillId="58" borderId="3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indent="4"/>
    </xf>
  </cellXfs>
  <cellStyles count="7">
    <cellStyle name="Hipervínculo" xfId="4" builtinId="8"/>
    <cellStyle name="Millares" xfId="1" builtinId="3"/>
    <cellStyle name="Moneda" xfId="2" builtinId="4"/>
    <cellStyle name="Moneda [0]" xfId="6" builtinId="7"/>
    <cellStyle name="Normal" xfId="0" builtinId="0"/>
    <cellStyle name="Porcentaje" xfId="3" builtinId="5"/>
    <cellStyle name="Texto explicativo" xfId="5" builtinId="53" customBuiltin="1"/>
  </cellStyles>
  <dxfs count="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A1B3C9"/>
      <rgbColor rgb="FF0000FF"/>
      <rgbColor rgb="FFFFFF00"/>
      <rgbColor rgb="FFD3C0C0"/>
      <rgbColor rgb="FF8EB7E5"/>
      <rgbColor rgb="FFC00000"/>
      <rgbColor rgb="FF94A2B5"/>
      <rgbColor rgb="FFDBCBE4"/>
      <rgbColor rgb="FFB97035"/>
      <rgbColor rgb="FFBABAC7"/>
      <rgbColor rgb="FF578FD5"/>
      <rgbColor rgb="FFBFBFC0"/>
      <rgbColor rgb="FFA0816E"/>
      <rgbColor rgb="FF95B3D7"/>
      <rgbColor rgb="FFB48384"/>
      <rgbColor rgb="FFFFFFF2"/>
      <rgbColor rgb="FFE4E6EC"/>
      <rgbColor rgb="FFBFBFBF"/>
      <rgbColor rgb="FFD99694"/>
      <rgbColor rgb="FF799CC6"/>
      <rgbColor rgb="FFC6D9F1"/>
      <rgbColor rgb="FFE6D3DF"/>
      <rgbColor rgb="FFBDBDBE"/>
      <rgbColor rgb="FFDFDF00"/>
      <rgbColor rgb="FFA8D08D"/>
      <rgbColor rgb="FFADBDD3"/>
      <rgbColor rgb="FFB5C6E8"/>
      <rgbColor rgb="FF5C95D6"/>
      <rgbColor rgb="FFB9CDE5"/>
      <rgbColor rgb="FF00B7F7"/>
      <rgbColor rgb="FFD9D9D9"/>
      <rgbColor rgb="FFDFDFE0"/>
      <rgbColor rgb="FFF3DCDB"/>
      <rgbColor rgb="FFB1C0EB"/>
      <rgbColor rgb="FFE6B9B8"/>
      <rgbColor rgb="FFB5B5CF"/>
      <rgbColor rgb="FFFFD966"/>
      <rgbColor rgb="FF2B79BB"/>
      <rgbColor rgb="FF649DD7"/>
      <rgbColor rgb="FFBFBF00"/>
      <rgbColor rgb="FFFFC000"/>
      <rgbColor rgb="FFF79646"/>
      <rgbColor rgb="FFD8833E"/>
      <rgbColor rgb="FF3D81C5"/>
      <rgbColor rgb="FF9E9E9F"/>
      <rgbColor rgb="FF0B2B4B"/>
      <rgbColor rgb="FF568ED4"/>
      <rgbColor rgb="FFB8C1C4"/>
      <rgbColor rgb="FFB5A5A5"/>
      <rgbColor rgb="FFA2A3AE"/>
      <rgbColor rgb="FFBD9CA1"/>
      <rgbColor rgb="FF849DBF"/>
      <rgbColor rgb="FFA6A6A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205;ndice Tablas '.A1"/><Relationship Id="rId1" Type="http://schemas.openxmlformats.org/officeDocument/2006/relationships/hyperlink" Target="#'D) Costos Indirectos '.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285840</xdr:colOff>
      <xdr:row>3</xdr:row>
      <xdr:rowOff>119160</xdr:rowOff>
    </xdr:from>
    <xdr:to>
      <xdr:col>8</xdr:col>
      <xdr:colOff>285120</xdr:colOff>
      <xdr:row>5</xdr:row>
      <xdr:rowOff>70920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5840" y="604800"/>
          <a:ext cx="6582960" cy="275400"/>
        </a:xfrm>
        <a:prstGeom prst="rect">
          <a:avLst/>
        </a:prstGeom>
        <a:solidFill>
          <a:srgbClr val="FFFF00"/>
        </a:solidFill>
        <a:ln w="28440">
          <a:solidFill>
            <a:srgbClr val="C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/>
        <a:lstStyle/>
        <a:p>
          <a:pPr algn="ctr">
            <a:lnSpc>
              <a:spcPct val="100000"/>
            </a:lnSpc>
          </a:pPr>
          <a:r>
            <a:rPr lang="es-CL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INGRESE LOS DATOS EN LAS CELDAS DESTACADAS EN COLOR AMARILLO Y NARANJO</a:t>
          </a:r>
          <a:endParaRPr lang="es-CL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17</xdr:col>
      <xdr:colOff>296280</xdr:colOff>
      <xdr:row>56</xdr:row>
      <xdr:rowOff>41760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22960" y="1133280"/>
          <a:ext cx="13463640" cy="7976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57</xdr:row>
      <xdr:rowOff>54000</xdr:rowOff>
    </xdr:from>
    <xdr:to>
      <xdr:col>17</xdr:col>
      <xdr:colOff>306360</xdr:colOff>
      <xdr:row>108</xdr:row>
      <xdr:rowOff>25920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22960" y="9283680"/>
          <a:ext cx="13473720" cy="8229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17</xdr:col>
      <xdr:colOff>306000</xdr:colOff>
      <xdr:row>158</xdr:row>
      <xdr:rowOff>41760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822960" y="17649720"/>
          <a:ext cx="13473360" cy="7976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159</xdr:row>
      <xdr:rowOff>100800</xdr:rowOff>
    </xdr:from>
    <xdr:to>
      <xdr:col>9</xdr:col>
      <xdr:colOff>20520</xdr:colOff>
      <xdr:row>206</xdr:row>
      <xdr:rowOff>121320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822960" y="25846560"/>
          <a:ext cx="6604200" cy="7631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369000</xdr:colOff>
      <xdr:row>1</xdr:row>
      <xdr:rowOff>71280</xdr:rowOff>
    </xdr:from>
    <xdr:to>
      <xdr:col>0</xdr:col>
      <xdr:colOff>1118520</xdr:colOff>
      <xdr:row>5</xdr:row>
      <xdr:rowOff>225360</xdr:rowOff>
    </xdr:to>
    <xdr:sp macro="" textlink="">
      <xdr:nvSpPr>
        <xdr:cNvPr id="5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69000" y="232920"/>
          <a:ext cx="749520" cy="878040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es-CL" sz="1200" b="1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Calibri"/>
            </a:rPr>
            <a:t>Ir a </a:t>
          </a:r>
          <a:endParaRPr lang="es-CL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CL" sz="1200" b="1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Calibri"/>
            </a:rPr>
            <a:t>TABLA 4</a:t>
          </a:r>
          <a:endParaRPr lang="es-CL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333360</xdr:colOff>
      <xdr:row>2</xdr:row>
      <xdr:rowOff>47520</xdr:rowOff>
    </xdr:from>
    <xdr:to>
      <xdr:col>33</xdr:col>
      <xdr:colOff>749520</xdr:colOff>
      <xdr:row>3</xdr:row>
      <xdr:rowOff>177840</xdr:rowOff>
    </xdr:to>
    <xdr:sp macro="" textlink="">
      <xdr:nvSpPr>
        <xdr:cNvPr id="6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43424280" y="371160"/>
          <a:ext cx="416160" cy="292320"/>
        </a:xfrm>
        <a:prstGeom prst="rightArrow">
          <a:avLst>
            <a:gd name="adj1" fmla="val 50000"/>
            <a:gd name="adj2" fmla="val 50000"/>
          </a:avLst>
        </a:prstGeom>
        <a:solidFill>
          <a:srgbClr val="0000CC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25</xdr:col>
      <xdr:colOff>0</xdr:colOff>
      <xdr:row>3</xdr:row>
      <xdr:rowOff>0</xdr:rowOff>
    </xdr:from>
    <xdr:to>
      <xdr:col>25</xdr:col>
      <xdr:colOff>416160</xdr:colOff>
      <xdr:row>4</xdr:row>
      <xdr:rowOff>58680</xdr:rowOff>
    </xdr:to>
    <xdr:sp macro="" textlink="">
      <xdr:nvSpPr>
        <xdr:cNvPr id="7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5188920" y="485640"/>
          <a:ext cx="416160" cy="296640"/>
        </a:xfrm>
        <a:prstGeom prst="rightArrow">
          <a:avLst>
            <a:gd name="adj1" fmla="val 50000"/>
            <a:gd name="adj2" fmla="val 50000"/>
          </a:avLst>
        </a:prstGeom>
        <a:solidFill>
          <a:srgbClr val="0000CC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21</xdr:col>
      <xdr:colOff>0</xdr:colOff>
      <xdr:row>3</xdr:row>
      <xdr:rowOff>0</xdr:rowOff>
    </xdr:from>
    <xdr:to>
      <xdr:col>21</xdr:col>
      <xdr:colOff>416160</xdr:colOff>
      <xdr:row>4</xdr:row>
      <xdr:rowOff>58680</xdr:rowOff>
    </xdr:to>
    <xdr:sp macro="" textlink="">
      <xdr:nvSpPr>
        <xdr:cNvPr id="8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27645120" y="485640"/>
          <a:ext cx="416160" cy="296640"/>
        </a:xfrm>
        <a:prstGeom prst="rightArrow">
          <a:avLst>
            <a:gd name="adj1" fmla="val 50000"/>
            <a:gd name="adj2" fmla="val 50000"/>
          </a:avLst>
        </a:prstGeom>
        <a:solidFill>
          <a:srgbClr val="0000CC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13</xdr:col>
      <xdr:colOff>369000</xdr:colOff>
      <xdr:row>3</xdr:row>
      <xdr:rowOff>23760</xdr:rowOff>
    </xdr:from>
    <xdr:to>
      <xdr:col>13</xdr:col>
      <xdr:colOff>785160</xdr:colOff>
      <xdr:row>4</xdr:row>
      <xdr:rowOff>82440</xdr:rowOff>
    </xdr:to>
    <xdr:sp macro="" textlink="">
      <xdr:nvSpPr>
        <xdr:cNvPr id="9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18977040" y="509400"/>
          <a:ext cx="416160" cy="296640"/>
        </a:xfrm>
        <a:prstGeom prst="rightArrow">
          <a:avLst>
            <a:gd name="adj1" fmla="val 50000"/>
            <a:gd name="adj2" fmla="val 50000"/>
          </a:avLst>
        </a:prstGeom>
        <a:solidFill>
          <a:srgbClr val="0000CC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40</xdr:col>
      <xdr:colOff>0</xdr:colOff>
      <xdr:row>3</xdr:row>
      <xdr:rowOff>0</xdr:rowOff>
    </xdr:from>
    <xdr:to>
      <xdr:col>40</xdr:col>
      <xdr:colOff>416160</xdr:colOff>
      <xdr:row>4</xdr:row>
      <xdr:rowOff>58680</xdr:rowOff>
    </xdr:to>
    <xdr:sp macro="" textlink="">
      <xdr:nvSpPr>
        <xdr:cNvPr id="10" name="Custom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50177520" y="485640"/>
          <a:ext cx="416160" cy="296640"/>
        </a:xfrm>
        <a:prstGeom prst="rightArrow">
          <a:avLst>
            <a:gd name="adj1" fmla="val 50000"/>
            <a:gd name="adj2" fmla="val 50000"/>
          </a:avLst>
        </a:prstGeom>
        <a:solidFill>
          <a:srgbClr val="0000CC"/>
        </a:solidFill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897480</xdr:colOff>
      <xdr:row>2</xdr:row>
      <xdr:rowOff>0</xdr:rowOff>
    </xdr:from>
    <xdr:to>
      <xdr:col>1</xdr:col>
      <xdr:colOff>1307520</xdr:colOff>
      <xdr:row>5</xdr:row>
      <xdr:rowOff>142200</xdr:rowOff>
    </xdr:to>
    <xdr:sp macro="" textlink="">
      <xdr:nvSpPr>
        <xdr:cNvPr id="11" name="CustomShap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 flipH="1">
          <a:off x="897480" y="323640"/>
          <a:ext cx="1324440" cy="704160"/>
        </a:xfrm>
        <a:prstGeom prst="rightArrow">
          <a:avLst>
            <a:gd name="adj1" fmla="val 68919"/>
            <a:gd name="adj2" fmla="val 37302"/>
          </a:avLst>
        </a:prstGeom>
        <a:solidFill>
          <a:srgbClr val="00B0F0"/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/>
      </xdr:style>
      <xdr:txBody>
        <a:bodyPr lIns="18360" tIns="0" rIns="0" bIns="0" anchor="ctr"/>
        <a:lstStyle/>
        <a:p>
          <a:pPr algn="ctr">
            <a:lnSpc>
              <a:spcPct val="100000"/>
            </a:lnSpc>
          </a:pPr>
          <a:r>
            <a:rPr lang="es-CL" sz="1200" b="1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Calibri"/>
            </a:rPr>
            <a:t>Regresar</a:t>
          </a:r>
          <a:endParaRPr lang="es-CL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CL" sz="1200" b="1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Calibri"/>
            </a:rPr>
            <a:t>Indice Tablas</a:t>
          </a:r>
          <a:endParaRPr lang="es-CL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 algn="ctr">
            <a:lnSpc>
              <a:spcPct val="100000"/>
            </a:lnSpc>
          </a:pPr>
          <a:endParaRPr lang="es-CL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790575</xdr:colOff>
      <xdr:row>29</xdr:row>
      <xdr:rowOff>66675</xdr:rowOff>
    </xdr:to>
    <xdr:sp macro="" textlink="">
      <xdr:nvSpPr>
        <xdr:cNvPr id="4112" name="shapetype_202" hidden="1">
          <a:extLst>
            <a:ext uri="{FF2B5EF4-FFF2-40B4-BE49-F238E27FC236}">
              <a16:creationId xmlns:a16="http://schemas.microsoft.com/office/drawing/2014/main" id="{00000000-0008-0000-0900-000010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790575</xdr:colOff>
      <xdr:row>29</xdr:row>
      <xdr:rowOff>66675</xdr:rowOff>
    </xdr:to>
    <xdr:sp macro="" textlink="">
      <xdr:nvSpPr>
        <xdr:cNvPr id="4110" name="shapetype_202" hidden="1">
          <a:extLst>
            <a:ext uri="{FF2B5EF4-FFF2-40B4-BE49-F238E27FC236}">
              <a16:creationId xmlns:a16="http://schemas.microsoft.com/office/drawing/2014/main" id="{00000000-0008-0000-0900-00000E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790575</xdr:colOff>
      <xdr:row>29</xdr:row>
      <xdr:rowOff>66675</xdr:rowOff>
    </xdr:to>
    <xdr:sp macro="" textlink="">
      <xdr:nvSpPr>
        <xdr:cNvPr id="4108" name="shapetype_202" hidden="1">
          <a:extLst>
            <a:ext uri="{FF2B5EF4-FFF2-40B4-BE49-F238E27FC236}">
              <a16:creationId xmlns:a16="http://schemas.microsoft.com/office/drawing/2014/main" id="{00000000-0008-0000-0900-00000C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790575</xdr:colOff>
      <xdr:row>29</xdr:row>
      <xdr:rowOff>66675</xdr:rowOff>
    </xdr:to>
    <xdr:sp macro="" textlink="">
      <xdr:nvSpPr>
        <xdr:cNvPr id="4106" name="shapetype_202" hidden="1">
          <a:extLst>
            <a:ext uri="{FF2B5EF4-FFF2-40B4-BE49-F238E27FC236}">
              <a16:creationId xmlns:a16="http://schemas.microsoft.com/office/drawing/2014/main" id="{00000000-0008-0000-0900-00000A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790575</xdr:colOff>
      <xdr:row>29</xdr:row>
      <xdr:rowOff>66675</xdr:rowOff>
    </xdr:to>
    <xdr:sp macro="" textlink="">
      <xdr:nvSpPr>
        <xdr:cNvPr id="4104" name="shapetype_202" hidden="1">
          <a:extLst>
            <a:ext uri="{FF2B5EF4-FFF2-40B4-BE49-F238E27FC236}">
              <a16:creationId xmlns:a16="http://schemas.microsoft.com/office/drawing/2014/main" id="{00000000-0008-0000-0900-000008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790575</xdr:colOff>
      <xdr:row>29</xdr:row>
      <xdr:rowOff>66675</xdr:rowOff>
    </xdr:to>
    <xdr:sp macro="" textlink="">
      <xdr:nvSpPr>
        <xdr:cNvPr id="4102" name="shapetype_202" hidden="1">
          <a:extLst>
            <a:ext uri="{FF2B5EF4-FFF2-40B4-BE49-F238E27FC236}">
              <a16:creationId xmlns:a16="http://schemas.microsoft.com/office/drawing/2014/main" id="{00000000-0008-0000-0900-000006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790575</xdr:colOff>
      <xdr:row>29</xdr:row>
      <xdr:rowOff>66675</xdr:rowOff>
    </xdr:to>
    <xdr:sp macro="" textlink="">
      <xdr:nvSpPr>
        <xdr:cNvPr id="4100" name="shapetype_202" hidden="1">
          <a:extLst>
            <a:ext uri="{FF2B5EF4-FFF2-40B4-BE49-F238E27FC236}">
              <a16:creationId xmlns:a16="http://schemas.microsoft.com/office/drawing/2014/main" id="{00000000-0008-0000-0900-000004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790575</xdr:colOff>
      <xdr:row>29</xdr:row>
      <xdr:rowOff>66675</xdr:rowOff>
    </xdr:to>
    <xdr:sp macro="" textlink="">
      <xdr:nvSpPr>
        <xdr:cNvPr id="4098" name="shapetype_202" hidden="1">
          <a:extLst>
            <a:ext uri="{FF2B5EF4-FFF2-40B4-BE49-F238E27FC236}">
              <a16:creationId xmlns:a16="http://schemas.microsoft.com/office/drawing/2014/main" id="{00000000-0008-0000-09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84590886\AppData\Local\Microsoft\Windows\Temporary%20Internet%20Files\Content.Outlook\UCTDKSZC\13426884\Desktop\PLANILLAS%20TARIFAS%202020%20(A.%20EDUCACIONAL)\PLANILLA%20TARIFAS%20A.%20EDUCACIONAL%202020%20(BIENTAL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://Documentos/2021/TARIFAS%202022/ANALISIS%20COSTOS%20INDIRECTOS/3000%20C.I.%20BIENVAL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C6056A\EDU%20PLAN%20DE%20MANTENIMIENTO%20R2%20Cmdte%20Zanet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Índice Tablas"/>
      <sheetName val="A) Resumen Ingresos y Egresos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/>
      <sheetData sheetId="1"/>
      <sheetData sheetId="2"/>
      <sheetData sheetId="3">
        <row r="5">
          <cell r="F5" t="str">
            <v>(DEPTO./DELEG.)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COMERCIAL"/>
      <sheetName val="A. EDUCACIONAL"/>
      <sheetName val="A. RECREATIVA"/>
      <sheetName val="CONSOLIDADO"/>
      <sheetName val="$$"/>
      <sheetName val="REMUNERACIONES"/>
    </sheetNames>
    <sheetDataSet>
      <sheetData sheetId="0"/>
      <sheetData sheetId="1"/>
      <sheetData sheetId="2"/>
      <sheetData sheetId="3"/>
      <sheetData sheetId="4">
        <row r="70">
          <cell r="L70">
            <v>224139234.66666701</v>
          </cell>
        </row>
      </sheetData>
      <sheetData sheetId="5">
        <row r="3">
          <cell r="Z3">
            <v>10802448</v>
          </cell>
        </row>
        <row r="4">
          <cell r="Z4">
            <v>10603116</v>
          </cell>
        </row>
        <row r="5">
          <cell r="Z5">
            <v>20846028</v>
          </cell>
        </row>
        <row r="6">
          <cell r="Z6">
            <v>5542356</v>
          </cell>
        </row>
        <row r="7">
          <cell r="Z7">
            <v>13099512</v>
          </cell>
        </row>
        <row r="8">
          <cell r="Z8">
            <v>8744748</v>
          </cell>
        </row>
        <row r="9">
          <cell r="Z9">
            <v>12966276</v>
          </cell>
        </row>
        <row r="10">
          <cell r="Z10">
            <v>12453480</v>
          </cell>
        </row>
        <row r="11">
          <cell r="Z11">
            <v>8448252</v>
          </cell>
        </row>
        <row r="12">
          <cell r="Z12">
            <v>10134540</v>
          </cell>
        </row>
        <row r="14">
          <cell r="Z14">
            <v>9311964</v>
          </cell>
        </row>
        <row r="16">
          <cell r="Z16">
            <v>6261228</v>
          </cell>
        </row>
        <row r="17">
          <cell r="Z17">
            <v>7976232</v>
          </cell>
        </row>
        <row r="18">
          <cell r="Z18">
            <v>23353848</v>
          </cell>
        </row>
        <row r="20">
          <cell r="Z20">
            <v>5905464</v>
          </cell>
        </row>
        <row r="21">
          <cell r="Z21">
            <v>9949068</v>
          </cell>
        </row>
        <row r="23">
          <cell r="Z23">
            <v>8293500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ECECITOS DE COLORES"/>
      <sheetName val="LOBITO MARINO "/>
      <sheetName val="LOS DELFINES "/>
      <sheetName val="S.C MAR AZUL"/>
      <sheetName val="CARACOLITO"/>
      <sheetName val="FICHAS MANTENIMIENTO JJIISSCC"/>
    </sheetNames>
    <sheetDataSet>
      <sheetData sheetId="0" refreshError="1"/>
      <sheetData sheetId="1" refreshError="1">
        <row r="5">
          <cell r="J5">
            <v>28680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"/>
  <sheetViews>
    <sheetView showGridLines="0" topLeftCell="A34" zoomScale="90" zoomScaleNormal="90" workbookViewId="0">
      <selection activeCell="E32" sqref="E32"/>
    </sheetView>
  </sheetViews>
  <sheetFormatPr baseColWidth="10" defaultColWidth="9.140625" defaultRowHeight="12.75" x14ac:dyDescent="0.2"/>
  <cols>
    <col min="1" max="1025" width="11.7109375" style="1"/>
  </cols>
  <sheetData>
    <row r="1" spans="10:10" x14ac:dyDescent="0.2">
      <c r="J1" s="2"/>
    </row>
    <row r="2" spans="10:10" x14ac:dyDescent="0.2">
      <c r="J2" s="2" t="s">
        <v>0</v>
      </c>
    </row>
  </sheetData>
  <sheetProtection sheet="1" objects="1" scenarios="1"/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48A54"/>
  </sheetPr>
  <dimension ref="A1:AMK241"/>
  <sheetViews>
    <sheetView showGridLines="0" topLeftCell="A188" zoomScale="87" zoomScaleNormal="87" workbookViewId="0">
      <selection activeCell="E222" sqref="E222"/>
    </sheetView>
  </sheetViews>
  <sheetFormatPr baseColWidth="10" defaultColWidth="9.140625" defaultRowHeight="12.75" x14ac:dyDescent="0.2"/>
  <cols>
    <col min="1" max="1" width="22" style="561" customWidth="1"/>
    <col min="2" max="2" width="15.85546875" style="561" customWidth="1"/>
    <col min="3" max="3" width="17.42578125" style="561"/>
    <col min="4" max="5" width="11.7109375" style="561"/>
    <col min="6" max="6" width="15.42578125" style="561"/>
    <col min="7" max="10" width="11.7109375" style="561"/>
    <col min="11" max="11" width="16.85546875" style="561"/>
    <col min="12" max="12" width="13.5703125" style="561"/>
    <col min="13" max="14" width="11.7109375" style="561"/>
    <col min="15" max="15" width="19.42578125" style="561"/>
    <col min="16" max="16" width="11.7109375" style="561"/>
    <col min="17" max="17" width="16.85546875" style="561" bestFit="1" customWidth="1"/>
    <col min="18" max="20" width="11.7109375" style="561"/>
    <col min="21" max="21" width="15.7109375" style="561"/>
    <col min="22" max="22" width="13.7109375" style="561"/>
    <col min="23" max="23" width="11.7109375" style="561"/>
    <col min="24" max="24" width="36.140625" style="561"/>
    <col min="25" max="25" width="25.28515625" style="561"/>
    <col min="26" max="26" width="19.7109375" style="561"/>
    <col min="27" max="27" width="17.85546875" style="561"/>
    <col min="28" max="28" width="16.28515625" style="561"/>
    <col min="29" max="29" width="11.7109375" style="561"/>
    <col min="30" max="30" width="10.28515625" style="561" customWidth="1"/>
    <col min="31" max="32" width="21.7109375" style="561" customWidth="1"/>
    <col min="33" max="36" width="11.7109375" style="561"/>
    <col min="37" max="38" width="11.7109375" style="561" customWidth="1"/>
    <col min="39" max="1025" width="11.7109375" style="561"/>
  </cols>
  <sheetData>
    <row r="1" spans="1:42" x14ac:dyDescent="0.2">
      <c r="K1" s="562"/>
      <c r="L1" s="563"/>
    </row>
    <row r="2" spans="1:42" x14ac:dyDescent="0.2">
      <c r="K2" s="562" t="s">
        <v>494</v>
      </c>
      <c r="L2" s="563"/>
    </row>
    <row r="4" spans="1:42" ht="19.5" customHeight="1" x14ac:dyDescent="0.2">
      <c r="J4" s="564" t="s">
        <v>27</v>
      </c>
      <c r="K4" s="1055" t="str">
        <f>+'B) Reajuste Tarifas y Ocupación'!F5</f>
        <v>BIENVALP</v>
      </c>
      <c r="L4" s="1055"/>
    </row>
    <row r="6" spans="1:42" ht="12.75" customHeight="1" x14ac:dyDescent="0.2">
      <c r="A6" s="565" t="s">
        <v>495</v>
      </c>
      <c r="B6" s="565"/>
      <c r="C6" s="565"/>
      <c r="D6" s="565"/>
      <c r="E6" s="565"/>
      <c r="F6" s="565"/>
      <c r="G6" s="565"/>
      <c r="H6" s="565"/>
      <c r="I6" s="565"/>
      <c r="J6" s="565"/>
      <c r="K6" s="565"/>
      <c r="L6" s="565"/>
      <c r="M6" s="565"/>
      <c r="N6" s="565"/>
      <c r="O6" s="565"/>
      <c r="P6" s="565"/>
      <c r="Q6" s="565"/>
    </row>
    <row r="7" spans="1:42" x14ac:dyDescent="0.2">
      <c r="A7" s="565"/>
      <c r="B7" s="565"/>
      <c r="C7" s="565"/>
      <c r="D7" s="565"/>
      <c r="E7" s="565"/>
      <c r="F7" s="565"/>
      <c r="G7" s="565"/>
      <c r="H7" s="565"/>
      <c r="I7" s="565"/>
      <c r="J7" s="565"/>
      <c r="K7" s="565"/>
      <c r="L7" s="565"/>
      <c r="M7" s="565"/>
      <c r="N7" s="565"/>
      <c r="O7" s="565"/>
      <c r="P7" s="565"/>
      <c r="Q7" s="565"/>
    </row>
    <row r="8" spans="1:42" x14ac:dyDescent="0.2">
      <c r="A8" s="565"/>
      <c r="B8" s="565"/>
      <c r="C8" s="565"/>
      <c r="D8" s="565"/>
      <c r="E8" s="565"/>
      <c r="F8" s="565"/>
      <c r="G8" s="565"/>
      <c r="H8" s="565"/>
      <c r="I8" s="565"/>
      <c r="J8" s="565"/>
      <c r="K8" s="565"/>
      <c r="L8" s="565"/>
      <c r="M8" s="565"/>
      <c r="N8" s="565"/>
      <c r="O8" s="565"/>
      <c r="P8" s="565"/>
      <c r="Q8" s="565"/>
    </row>
    <row r="9" spans="1:42" ht="15.75" x14ac:dyDescent="0.25">
      <c r="D9" s="1119" t="s">
        <v>496</v>
      </c>
      <c r="E9" s="1119"/>
      <c r="F9" s="1119"/>
      <c r="G9" s="1119"/>
      <c r="H9" s="1119"/>
      <c r="I9" s="1119"/>
      <c r="J9" s="1119"/>
      <c r="K9" s="1119"/>
    </row>
    <row r="10" spans="1:42" ht="15.75" x14ac:dyDescent="0.25">
      <c r="A10" s="566" t="s">
        <v>497</v>
      </c>
      <c r="B10" s="566"/>
      <c r="M10" s="566" t="s">
        <v>498</v>
      </c>
      <c r="N10" s="566"/>
    </row>
    <row r="11" spans="1:42" x14ac:dyDescent="0.2">
      <c r="AE11" s="717" t="s">
        <v>806</v>
      </c>
      <c r="AF11" s="717"/>
      <c r="AG11" s="717"/>
    </row>
    <row r="12" spans="1:42" ht="22.5" x14ac:dyDescent="0.2">
      <c r="B12" s="567" t="s">
        <v>499</v>
      </c>
      <c r="C12" s="568" t="s">
        <v>500</v>
      </c>
      <c r="D12" s="567" t="s">
        <v>501</v>
      </c>
      <c r="E12" s="569" t="s">
        <v>502</v>
      </c>
      <c r="F12" s="570" t="s">
        <v>503</v>
      </c>
      <c r="G12" s="570" t="s">
        <v>504</v>
      </c>
      <c r="H12" s="570"/>
      <c r="I12" s="571" t="s">
        <v>505</v>
      </c>
      <c r="J12" s="571" t="s">
        <v>506</v>
      </c>
      <c r="K12" s="570" t="s">
        <v>507</v>
      </c>
      <c r="M12" s="567" t="s">
        <v>499</v>
      </c>
      <c r="N12" s="568" t="s">
        <v>500</v>
      </c>
      <c r="O12" s="567" t="s">
        <v>501</v>
      </c>
      <c r="P12" s="569" t="s">
        <v>502</v>
      </c>
      <c r="Q12" s="570" t="s">
        <v>503</v>
      </c>
      <c r="R12" s="570" t="s">
        <v>504</v>
      </c>
      <c r="S12" s="571" t="s">
        <v>505</v>
      </c>
      <c r="T12" s="571" t="s">
        <v>506</v>
      </c>
      <c r="U12" s="570" t="s">
        <v>507</v>
      </c>
      <c r="X12" s="572" t="s">
        <v>508</v>
      </c>
      <c r="AE12" s="746" t="s">
        <v>499</v>
      </c>
      <c r="AF12" s="746" t="s">
        <v>500</v>
      </c>
      <c r="AG12" s="746" t="s">
        <v>501</v>
      </c>
      <c r="AH12" s="746" t="s">
        <v>502</v>
      </c>
      <c r="AI12" s="746" t="s">
        <v>503</v>
      </c>
      <c r="AJ12" s="746" t="s">
        <v>504</v>
      </c>
      <c r="AK12" s="746" t="s">
        <v>505</v>
      </c>
      <c r="AL12" s="746" t="s">
        <v>506</v>
      </c>
      <c r="AM12" s="746" t="s">
        <v>801</v>
      </c>
      <c r="AN12" s="746">
        <v>2020</v>
      </c>
      <c r="AO12" s="746">
        <v>2021</v>
      </c>
      <c r="AP12" s="746">
        <v>2022</v>
      </c>
    </row>
    <row r="13" spans="1:42" ht="45" customHeight="1" x14ac:dyDescent="0.2">
      <c r="B13" s="1110" t="s">
        <v>509</v>
      </c>
      <c r="C13" s="573" t="s">
        <v>510</v>
      </c>
      <c r="D13" s="574" t="s">
        <v>511</v>
      </c>
      <c r="E13" s="575" t="s">
        <v>512</v>
      </c>
      <c r="F13" s="575">
        <v>55</v>
      </c>
      <c r="G13" s="576" t="s">
        <v>513</v>
      </c>
      <c r="H13" s="576"/>
      <c r="I13" s="577">
        <v>1400</v>
      </c>
      <c r="J13" s="578">
        <f t="shared" ref="J13:J44" si="0">+I13*F13</f>
        <v>77000</v>
      </c>
      <c r="K13" s="579">
        <f>+J13/('[3]PECECITOS DE COLORES'!$J$5)</f>
        <v>2.6847977684797768</v>
      </c>
      <c r="M13" s="1110" t="s">
        <v>509</v>
      </c>
      <c r="N13" s="573" t="s">
        <v>510</v>
      </c>
      <c r="O13" s="574" t="s">
        <v>511</v>
      </c>
      <c r="P13" s="575" t="s">
        <v>512</v>
      </c>
      <c r="Q13" s="575">
        <v>26</v>
      </c>
      <c r="R13" s="576" t="s">
        <v>513</v>
      </c>
      <c r="S13" s="577">
        <v>1400</v>
      </c>
      <c r="T13" s="578">
        <f t="shared" ref="T13:T39" si="1">+S13*Q13</f>
        <v>36400</v>
      </c>
      <c r="U13" s="579">
        <f>+T13/('[3]PECECITOS DE COLORES'!$J$5)</f>
        <v>1.2691771269177128</v>
      </c>
      <c r="X13" s="580"/>
      <c r="Y13" s="1121" t="s">
        <v>514</v>
      </c>
      <c r="Z13" s="1121"/>
      <c r="AA13" s="1121"/>
      <c r="AB13" s="1121"/>
      <c r="AE13" s="746" t="s">
        <v>509</v>
      </c>
      <c r="AF13" s="746" t="s">
        <v>510</v>
      </c>
      <c r="AG13" s="746" t="s">
        <v>787</v>
      </c>
      <c r="AH13" s="746" t="s">
        <v>512</v>
      </c>
      <c r="AI13" s="746">
        <v>32</v>
      </c>
      <c r="AJ13" s="746" t="s">
        <v>513</v>
      </c>
      <c r="AK13" s="746">
        <v>1400</v>
      </c>
      <c r="AL13" s="746">
        <v>44800</v>
      </c>
      <c r="AM13" s="746">
        <v>1.5620641562064157</v>
      </c>
      <c r="AN13" s="746">
        <v>1.5620641562064157</v>
      </c>
      <c r="AO13" s="746">
        <v>1.5620641562064157</v>
      </c>
      <c r="AP13" s="746">
        <v>1.5620641562064157</v>
      </c>
    </row>
    <row r="14" spans="1:42" ht="33.75" customHeight="1" x14ac:dyDescent="0.2">
      <c r="B14" s="1110"/>
      <c r="C14" s="1117" t="s">
        <v>515</v>
      </c>
      <c r="D14" s="574" t="s">
        <v>516</v>
      </c>
      <c r="E14" s="581" t="s">
        <v>512</v>
      </c>
      <c r="F14" s="581">
        <v>31</v>
      </c>
      <c r="G14" s="582" t="s">
        <v>517</v>
      </c>
      <c r="H14" s="582"/>
      <c r="I14" s="583">
        <v>3500</v>
      </c>
      <c r="J14" s="584">
        <f t="shared" si="0"/>
        <v>108500</v>
      </c>
      <c r="K14" s="579">
        <f>+J14/('[3]PECECITOS DE COLORES'!$J$5)</f>
        <v>3.7831241283124126</v>
      </c>
      <c r="M14" s="1110"/>
      <c r="N14" s="1117" t="s">
        <v>515</v>
      </c>
      <c r="O14" s="574" t="s">
        <v>516</v>
      </c>
      <c r="P14" s="581" t="s">
        <v>512</v>
      </c>
      <c r="Q14" s="581">
        <v>18</v>
      </c>
      <c r="R14" s="582" t="s">
        <v>517</v>
      </c>
      <c r="S14" s="583">
        <v>3500</v>
      </c>
      <c r="T14" s="584">
        <f t="shared" si="1"/>
        <v>63000</v>
      </c>
      <c r="U14" s="579">
        <f>+T14/('[3]PECECITOS DE COLORES'!$J$5)</f>
        <v>2.1966527196652721</v>
      </c>
      <c r="X14" s="585"/>
      <c r="Y14" s="1121"/>
      <c r="Z14" s="1121"/>
      <c r="AA14" s="1121"/>
      <c r="AB14" s="1121"/>
      <c r="AE14" s="746"/>
      <c r="AF14" s="746" t="s">
        <v>515</v>
      </c>
      <c r="AG14" s="746" t="s">
        <v>516</v>
      </c>
      <c r="AH14" s="746" t="s">
        <v>512</v>
      </c>
      <c r="AI14" s="746">
        <v>5</v>
      </c>
      <c r="AJ14" s="746" t="s">
        <v>517</v>
      </c>
      <c r="AK14" s="746">
        <v>3500</v>
      </c>
      <c r="AL14" s="746">
        <v>17500</v>
      </c>
      <c r="AM14" s="746">
        <v>0.61018131101813111</v>
      </c>
      <c r="AN14" s="746">
        <v>0.61018131101813111</v>
      </c>
      <c r="AO14" s="746">
        <v>0.61018131101813111</v>
      </c>
      <c r="AP14" s="746">
        <v>0.61018131101813111</v>
      </c>
    </row>
    <row r="15" spans="1:42" ht="67.5" x14ac:dyDescent="0.2">
      <c r="B15" s="1110"/>
      <c r="C15" s="1117"/>
      <c r="D15" s="574" t="s">
        <v>518</v>
      </c>
      <c r="E15" s="581" t="s">
        <v>512</v>
      </c>
      <c r="F15" s="581">
        <v>31</v>
      </c>
      <c r="G15" s="582" t="s">
        <v>517</v>
      </c>
      <c r="H15" s="582"/>
      <c r="I15" s="583">
        <v>3500</v>
      </c>
      <c r="J15" s="584">
        <f t="shared" si="0"/>
        <v>108500</v>
      </c>
      <c r="K15" s="579">
        <f>+J15/('[3]PECECITOS DE COLORES'!$J$5)</f>
        <v>3.7831241283124126</v>
      </c>
      <c r="M15" s="1110"/>
      <c r="N15" s="1117"/>
      <c r="O15" s="574" t="s">
        <v>518</v>
      </c>
      <c r="P15" s="581" t="s">
        <v>512</v>
      </c>
      <c r="Q15" s="581">
        <v>14</v>
      </c>
      <c r="R15" s="582" t="s">
        <v>517</v>
      </c>
      <c r="S15" s="583">
        <v>3500</v>
      </c>
      <c r="T15" s="584">
        <f t="shared" si="1"/>
        <v>49000</v>
      </c>
      <c r="U15" s="579">
        <f>+T15/('[3]PECECITOS DE COLORES'!$J$5)</f>
        <v>1.7085076708507672</v>
      </c>
      <c r="X15" s="586" t="s">
        <v>519</v>
      </c>
      <c r="Y15" s="1121"/>
      <c r="Z15" s="1121"/>
      <c r="AA15" s="1121"/>
      <c r="AB15" s="1121"/>
      <c r="AE15" s="746"/>
      <c r="AF15" s="746"/>
      <c r="AG15" s="746" t="s">
        <v>788</v>
      </c>
      <c r="AH15" s="746" t="s">
        <v>512</v>
      </c>
      <c r="AI15" s="746">
        <v>7</v>
      </c>
      <c r="AJ15" s="746" t="s">
        <v>517</v>
      </c>
      <c r="AK15" s="746">
        <v>3500</v>
      </c>
      <c r="AL15" s="746">
        <v>24500</v>
      </c>
      <c r="AM15" s="746">
        <v>0.85425383542538358</v>
      </c>
      <c r="AN15" s="746">
        <v>0.85425383542538358</v>
      </c>
      <c r="AO15" s="746">
        <v>0.85425383542538358</v>
      </c>
      <c r="AP15" s="746">
        <v>0.85425383542538358</v>
      </c>
    </row>
    <row r="16" spans="1:42" ht="30" customHeight="1" x14ac:dyDescent="0.2">
      <c r="B16" s="1110"/>
      <c r="C16" s="1117"/>
      <c r="D16" s="574" t="s">
        <v>520</v>
      </c>
      <c r="E16" s="581" t="s">
        <v>512</v>
      </c>
      <c r="F16" s="581">
        <v>1</v>
      </c>
      <c r="G16" s="582" t="s">
        <v>521</v>
      </c>
      <c r="H16" s="582"/>
      <c r="I16" s="583">
        <v>10000</v>
      </c>
      <c r="J16" s="584">
        <f t="shared" si="0"/>
        <v>10000</v>
      </c>
      <c r="K16" s="579">
        <f>+J16/('[3]PECECITOS DE COLORES'!$J$5)</f>
        <v>0.34867503486750351</v>
      </c>
      <c r="M16" s="1110"/>
      <c r="N16" s="1117"/>
      <c r="O16" s="574" t="s">
        <v>520</v>
      </c>
      <c r="P16" s="581" t="s">
        <v>512</v>
      </c>
      <c r="Q16" s="581">
        <v>1</v>
      </c>
      <c r="R16" s="582" t="s">
        <v>521</v>
      </c>
      <c r="S16" s="583">
        <v>10000</v>
      </c>
      <c r="T16" s="584">
        <f t="shared" si="1"/>
        <v>10000</v>
      </c>
      <c r="U16" s="579">
        <f>+T16/('[3]PECECITOS DE COLORES'!$J$5)</f>
        <v>0.34867503486750351</v>
      </c>
      <c r="X16" s="587" t="s">
        <v>522</v>
      </c>
      <c r="Y16" s="1123" t="s">
        <v>523</v>
      </c>
      <c r="Z16" s="588" t="s">
        <v>524</v>
      </c>
      <c r="AA16" s="1123" t="s">
        <v>525</v>
      </c>
      <c r="AB16" s="1123" t="s">
        <v>526</v>
      </c>
      <c r="AE16" s="746"/>
      <c r="AF16" s="746"/>
      <c r="AG16" s="746" t="s">
        <v>789</v>
      </c>
      <c r="AH16" s="746" t="s">
        <v>512</v>
      </c>
      <c r="AI16" s="746">
        <v>1</v>
      </c>
      <c r="AJ16" s="746" t="s">
        <v>521</v>
      </c>
      <c r="AK16" s="746">
        <v>12000</v>
      </c>
      <c r="AL16" s="746">
        <v>12000</v>
      </c>
      <c r="AM16" s="746">
        <v>0.41841004184100417</v>
      </c>
      <c r="AN16" s="746">
        <v>0.41841004184100417</v>
      </c>
      <c r="AO16" s="746">
        <v>0.41841004184100417</v>
      </c>
      <c r="AP16" s="746">
        <v>0.41841004184100417</v>
      </c>
    </row>
    <row r="17" spans="2:42" ht="45.75" customHeight="1" x14ac:dyDescent="0.2">
      <c r="B17" s="1110"/>
      <c r="C17" s="1117" t="s">
        <v>527</v>
      </c>
      <c r="D17" s="574" t="s">
        <v>528</v>
      </c>
      <c r="E17" s="581" t="s">
        <v>512</v>
      </c>
      <c r="F17" s="581">
        <v>1</v>
      </c>
      <c r="G17" s="582" t="s">
        <v>521</v>
      </c>
      <c r="H17" s="582"/>
      <c r="I17" s="583">
        <v>25000</v>
      </c>
      <c r="J17" s="584">
        <f t="shared" si="0"/>
        <v>25000</v>
      </c>
      <c r="K17" s="579">
        <f>+J17/('[3]PECECITOS DE COLORES'!$J$5)</f>
        <v>0.87168758716875872</v>
      </c>
      <c r="M17" s="1110"/>
      <c r="N17" s="1117" t="s">
        <v>527</v>
      </c>
      <c r="O17" s="574" t="s">
        <v>528</v>
      </c>
      <c r="P17" s="581" t="s">
        <v>512</v>
      </c>
      <c r="Q17" s="581">
        <v>3</v>
      </c>
      <c r="R17" s="582" t="s">
        <v>521</v>
      </c>
      <c r="S17" s="583">
        <v>25000</v>
      </c>
      <c r="T17" s="584">
        <f t="shared" si="1"/>
        <v>75000</v>
      </c>
      <c r="U17" s="579">
        <f>+T17/('[3]PECECITOS DE COLORES'!$J$5)</f>
        <v>2.6150627615062763</v>
      </c>
      <c r="X17" s="589" t="s">
        <v>529</v>
      </c>
      <c r="Y17" s="1123"/>
      <c r="Z17" s="590" t="s">
        <v>530</v>
      </c>
      <c r="AA17" s="1123"/>
      <c r="AB17" s="1123"/>
      <c r="AE17" s="746"/>
      <c r="AF17" s="746" t="s">
        <v>527</v>
      </c>
      <c r="AG17" s="746" t="s">
        <v>790</v>
      </c>
      <c r="AH17" s="746" t="s">
        <v>512</v>
      </c>
      <c r="AI17" s="746">
        <v>1</v>
      </c>
      <c r="AJ17" s="746" t="s">
        <v>521</v>
      </c>
      <c r="AK17" s="746">
        <v>25000</v>
      </c>
      <c r="AL17" s="746">
        <v>25000</v>
      </c>
      <c r="AM17" s="746">
        <v>0.87168758716875872</v>
      </c>
      <c r="AN17" s="746">
        <v>0.87168758716875872</v>
      </c>
      <c r="AO17" s="746">
        <v>0.87168758716875872</v>
      </c>
      <c r="AP17" s="746">
        <v>0.87168758716875872</v>
      </c>
    </row>
    <row r="18" spans="2:42" ht="33.75" customHeight="1" x14ac:dyDescent="0.2">
      <c r="B18" s="1110"/>
      <c r="C18" s="1117"/>
      <c r="D18" s="574" t="s">
        <v>531</v>
      </c>
      <c r="E18" s="581" t="s">
        <v>512</v>
      </c>
      <c r="F18" s="581">
        <v>2</v>
      </c>
      <c r="G18" s="582" t="s">
        <v>532</v>
      </c>
      <c r="H18" s="582"/>
      <c r="I18" s="583">
        <v>45000</v>
      </c>
      <c r="J18" s="584">
        <f t="shared" si="0"/>
        <v>90000</v>
      </c>
      <c r="K18" s="579">
        <f>+J18/('[3]PECECITOS DE COLORES'!$J$5)</f>
        <v>3.1380753138075312</v>
      </c>
      <c r="M18" s="1110"/>
      <c r="N18" s="1117"/>
      <c r="O18" s="574" t="s">
        <v>531</v>
      </c>
      <c r="P18" s="581" t="s">
        <v>512</v>
      </c>
      <c r="Q18" s="581">
        <v>2</v>
      </c>
      <c r="R18" s="582" t="s">
        <v>521</v>
      </c>
      <c r="S18" s="583">
        <v>45000</v>
      </c>
      <c r="T18" s="584">
        <f t="shared" si="1"/>
        <v>90000</v>
      </c>
      <c r="U18" s="579">
        <f>+T18/('[3]PECECITOS DE COLORES'!$J$5)</f>
        <v>3.1380753138075312</v>
      </c>
      <c r="X18" s="1120" t="s">
        <v>533</v>
      </c>
      <c r="Y18" s="1118" t="s">
        <v>534</v>
      </c>
      <c r="Z18" s="1118" t="s">
        <v>535</v>
      </c>
      <c r="AA18" s="591" t="s">
        <v>536</v>
      </c>
      <c r="AB18" s="1118" t="s">
        <v>537</v>
      </c>
      <c r="AE18" s="746"/>
      <c r="AF18" s="746"/>
      <c r="AG18" s="746" t="s">
        <v>791</v>
      </c>
      <c r="AH18" s="746" t="s">
        <v>512</v>
      </c>
      <c r="AI18" s="746">
        <v>1</v>
      </c>
      <c r="AJ18" s="746" t="s">
        <v>521</v>
      </c>
      <c r="AK18" s="746">
        <v>35000</v>
      </c>
      <c r="AL18" s="746">
        <v>35000</v>
      </c>
      <c r="AM18" s="746">
        <v>1.2203626220362622</v>
      </c>
      <c r="AN18" s="746">
        <v>1.2203626220362622</v>
      </c>
      <c r="AO18" s="746">
        <v>1.2203626220362622</v>
      </c>
      <c r="AP18" s="746">
        <v>1.2203626220362622</v>
      </c>
    </row>
    <row r="19" spans="2:42" ht="22.5" x14ac:dyDescent="0.2">
      <c r="B19" s="1110"/>
      <c r="C19" s="573" t="s">
        <v>538</v>
      </c>
      <c r="D19" s="574" t="s">
        <v>539</v>
      </c>
      <c r="E19" s="581" t="s">
        <v>512</v>
      </c>
      <c r="F19" s="581">
        <v>1</v>
      </c>
      <c r="G19" s="582" t="s">
        <v>521</v>
      </c>
      <c r="H19" s="582"/>
      <c r="I19" s="583">
        <v>65000</v>
      </c>
      <c r="J19" s="584">
        <f t="shared" si="0"/>
        <v>65000</v>
      </c>
      <c r="K19" s="579">
        <f>+J19/('[3]PECECITOS DE COLORES'!$J$5)</f>
        <v>2.2663877266387726</v>
      </c>
      <c r="M19" s="1110"/>
      <c r="N19" s="573" t="s">
        <v>538</v>
      </c>
      <c r="O19" s="574" t="s">
        <v>539</v>
      </c>
      <c r="P19" s="581" t="s">
        <v>512</v>
      </c>
      <c r="Q19" s="581">
        <v>1</v>
      </c>
      <c r="R19" s="582" t="s">
        <v>521</v>
      </c>
      <c r="S19" s="583">
        <v>55000</v>
      </c>
      <c r="T19" s="584">
        <f t="shared" si="1"/>
        <v>55000</v>
      </c>
      <c r="U19" s="579">
        <f>+T19/('[3]PECECITOS DE COLORES'!$J$5)</f>
        <v>1.9177126917712692</v>
      </c>
      <c r="X19" s="1120"/>
      <c r="Y19" s="1118"/>
      <c r="Z19" s="1118"/>
      <c r="AA19" s="592" t="s">
        <v>540</v>
      </c>
      <c r="AB19" s="1118"/>
      <c r="AE19" s="746"/>
      <c r="AF19" s="746" t="s">
        <v>538</v>
      </c>
      <c r="AG19" s="746" t="s">
        <v>539</v>
      </c>
      <c r="AH19" s="746" t="s">
        <v>512</v>
      </c>
      <c r="AI19" s="746">
        <v>1</v>
      </c>
      <c r="AJ19" s="746" t="s">
        <v>521</v>
      </c>
      <c r="AK19" s="746">
        <v>75000</v>
      </c>
      <c r="AL19" s="746">
        <v>75000</v>
      </c>
      <c r="AM19" s="746">
        <v>2.6150627615062763</v>
      </c>
      <c r="AN19" s="746">
        <v>2.6150627615062763</v>
      </c>
      <c r="AO19" s="746">
        <v>2.6150627615062763</v>
      </c>
      <c r="AP19" s="746">
        <v>2.6150627615062763</v>
      </c>
    </row>
    <row r="20" spans="2:42" ht="33.75" customHeight="1" x14ac:dyDescent="0.2">
      <c r="B20" s="1110" t="s">
        <v>541</v>
      </c>
      <c r="C20" s="1117" t="s">
        <v>542</v>
      </c>
      <c r="D20" s="574" t="s">
        <v>543</v>
      </c>
      <c r="E20" s="593">
        <v>5</v>
      </c>
      <c r="F20" s="581">
        <v>140</v>
      </c>
      <c r="G20" s="582" t="s">
        <v>544</v>
      </c>
      <c r="H20" s="582"/>
      <c r="I20" s="583">
        <v>5328.4</v>
      </c>
      <c r="J20" s="584">
        <f t="shared" si="0"/>
        <v>745976</v>
      </c>
      <c r="K20" s="579"/>
      <c r="M20" s="1116" t="s">
        <v>541</v>
      </c>
      <c r="N20" s="1117"/>
      <c r="O20" s="574" t="s">
        <v>545</v>
      </c>
      <c r="P20" s="593">
        <v>5</v>
      </c>
      <c r="Q20" s="581">
        <v>1</v>
      </c>
      <c r="R20" s="582" t="s">
        <v>521</v>
      </c>
      <c r="S20" s="583">
        <v>450000</v>
      </c>
      <c r="T20" s="584">
        <f t="shared" si="1"/>
        <v>450000</v>
      </c>
      <c r="U20" s="579"/>
      <c r="X20" s="1120" t="s">
        <v>546</v>
      </c>
      <c r="Y20" s="1118" t="s">
        <v>534</v>
      </c>
      <c r="Z20" s="1118" t="s">
        <v>547</v>
      </c>
      <c r="AA20" s="591" t="s">
        <v>548</v>
      </c>
      <c r="AB20" s="1118" t="s">
        <v>537</v>
      </c>
      <c r="AE20" s="746" t="s">
        <v>541</v>
      </c>
      <c r="AF20" s="746" t="s">
        <v>542</v>
      </c>
      <c r="AG20" s="746" t="s">
        <v>792</v>
      </c>
      <c r="AH20" s="746">
        <v>5</v>
      </c>
      <c r="AI20" s="746">
        <v>90</v>
      </c>
      <c r="AJ20" s="746" t="s">
        <v>619</v>
      </c>
      <c r="AK20" s="746">
        <v>6600</v>
      </c>
      <c r="AL20" s="746">
        <v>594000</v>
      </c>
      <c r="AM20" s="746">
        <v>20.711297071129707</v>
      </c>
      <c r="AN20" s="746">
        <v>20.711297071129707</v>
      </c>
      <c r="AO20" s="746"/>
      <c r="AP20" s="746"/>
    </row>
    <row r="21" spans="2:42" ht="33.75" x14ac:dyDescent="0.2">
      <c r="B21" s="1110"/>
      <c r="C21" s="1117"/>
      <c r="D21" s="574" t="s">
        <v>549</v>
      </c>
      <c r="E21" s="593">
        <v>5</v>
      </c>
      <c r="F21" s="581">
        <v>90</v>
      </c>
      <c r="G21" s="582" t="s">
        <v>544</v>
      </c>
      <c r="H21" s="582"/>
      <c r="I21" s="583">
        <v>14736</v>
      </c>
      <c r="J21" s="584">
        <f t="shared" si="0"/>
        <v>1326240</v>
      </c>
      <c r="K21" s="579"/>
      <c r="M21" s="1116"/>
      <c r="N21" s="1117"/>
      <c r="O21" s="574" t="s">
        <v>550</v>
      </c>
      <c r="P21" s="593">
        <v>5</v>
      </c>
      <c r="Q21" s="581">
        <v>1</v>
      </c>
      <c r="R21" s="582" t="s">
        <v>544</v>
      </c>
      <c r="S21" s="583">
        <v>20120</v>
      </c>
      <c r="T21" s="584">
        <f t="shared" si="1"/>
        <v>20120</v>
      </c>
      <c r="U21" s="579"/>
      <c r="X21" s="1120"/>
      <c r="Y21" s="1118"/>
      <c r="Z21" s="1118"/>
      <c r="AA21" s="592" t="s">
        <v>551</v>
      </c>
      <c r="AB21" s="1118"/>
      <c r="AE21" s="746"/>
      <c r="AF21" s="746"/>
      <c r="AG21" s="746" t="s">
        <v>550</v>
      </c>
      <c r="AH21" s="746">
        <v>5</v>
      </c>
      <c r="AI21" s="746">
        <v>1</v>
      </c>
      <c r="AJ21" s="746" t="s">
        <v>521</v>
      </c>
      <c r="AK21" s="746">
        <v>20120</v>
      </c>
      <c r="AL21" s="746">
        <v>20120</v>
      </c>
      <c r="AM21" s="746">
        <v>0.70153417015341701</v>
      </c>
      <c r="AN21" s="746">
        <v>0.70153417015341701</v>
      </c>
      <c r="AO21" s="746"/>
      <c r="AP21" s="746"/>
    </row>
    <row r="22" spans="2:42" ht="22.5" x14ac:dyDescent="0.2">
      <c r="B22" s="1110"/>
      <c r="C22" s="1117"/>
      <c r="D22" s="574" t="s">
        <v>550</v>
      </c>
      <c r="E22" s="593">
        <v>5</v>
      </c>
      <c r="F22" s="581">
        <v>150</v>
      </c>
      <c r="G22" s="582" t="s">
        <v>544</v>
      </c>
      <c r="H22" s="582"/>
      <c r="I22" s="583">
        <v>9820</v>
      </c>
      <c r="J22" s="584">
        <f t="shared" si="0"/>
        <v>1473000</v>
      </c>
      <c r="K22" s="579"/>
      <c r="M22" s="1116"/>
      <c r="N22" s="1117"/>
      <c r="O22" s="574" t="s">
        <v>552</v>
      </c>
      <c r="P22" s="593">
        <v>5</v>
      </c>
      <c r="Q22" s="581">
        <v>13</v>
      </c>
      <c r="R22" s="582" t="s">
        <v>553</v>
      </c>
      <c r="S22" s="583">
        <v>35000</v>
      </c>
      <c r="T22" s="584">
        <f t="shared" si="1"/>
        <v>455000</v>
      </c>
      <c r="U22" s="579"/>
      <c r="X22" s="594"/>
      <c r="AE22" s="746"/>
      <c r="AF22" s="746"/>
      <c r="AG22" s="746" t="s">
        <v>552</v>
      </c>
      <c r="AH22" s="746">
        <v>5</v>
      </c>
      <c r="AI22" s="746">
        <v>1</v>
      </c>
      <c r="AJ22" s="746" t="s">
        <v>521</v>
      </c>
      <c r="AK22" s="746">
        <v>62478</v>
      </c>
      <c r="AL22" s="746">
        <v>62478</v>
      </c>
      <c r="AM22" s="746">
        <v>2.1784518828451884</v>
      </c>
      <c r="AN22" s="746">
        <v>2.1784518828451884</v>
      </c>
      <c r="AO22" s="746"/>
      <c r="AP22" s="746"/>
    </row>
    <row r="23" spans="2:42" ht="23.25" customHeight="1" x14ac:dyDescent="0.2">
      <c r="B23" s="1110"/>
      <c r="C23" s="1117"/>
      <c r="D23" s="574" t="s">
        <v>554</v>
      </c>
      <c r="E23" s="593" t="s">
        <v>555</v>
      </c>
      <c r="F23" s="581">
        <v>1</v>
      </c>
      <c r="G23" s="582" t="s">
        <v>521</v>
      </c>
      <c r="H23" s="582"/>
      <c r="I23" s="583">
        <v>589490</v>
      </c>
      <c r="J23" s="584">
        <f t="shared" si="0"/>
        <v>589490</v>
      </c>
      <c r="K23" s="579"/>
      <c r="M23" s="1116"/>
      <c r="N23" s="1117" t="s">
        <v>510</v>
      </c>
      <c r="O23" s="595" t="s">
        <v>556</v>
      </c>
      <c r="P23" s="596" t="s">
        <v>512</v>
      </c>
      <c r="Q23" s="596">
        <v>5</v>
      </c>
      <c r="R23" s="597" t="s">
        <v>521</v>
      </c>
      <c r="S23" s="598">
        <v>27000</v>
      </c>
      <c r="T23" s="599">
        <f t="shared" si="1"/>
        <v>135000</v>
      </c>
      <c r="U23" s="600">
        <f>+T23/('[3]PECECITOS DE COLORES'!$J$5)</f>
        <v>4.7071129707112966</v>
      </c>
      <c r="V23" s="601">
        <f>SUM(U23:U25)</f>
        <v>33.961645746164578</v>
      </c>
      <c r="X23" s="594"/>
      <c r="AE23" s="746"/>
      <c r="AF23" s="746"/>
      <c r="AG23" s="746" t="s">
        <v>557</v>
      </c>
      <c r="AH23" s="746" t="s">
        <v>512</v>
      </c>
      <c r="AI23" s="746">
        <v>1</v>
      </c>
      <c r="AJ23" s="746" t="s">
        <v>619</v>
      </c>
      <c r="AK23" s="746">
        <v>4854</v>
      </c>
      <c r="AL23" s="746">
        <v>4854</v>
      </c>
      <c r="AM23" s="746">
        <v>0.16924686192468619</v>
      </c>
      <c r="AN23" s="746">
        <v>0.16924686192468619</v>
      </c>
      <c r="AO23" s="746">
        <v>0.16924686192468619</v>
      </c>
      <c r="AP23" s="746">
        <v>0.16924686192468619</v>
      </c>
    </row>
    <row r="24" spans="2:42" ht="22.5" customHeight="1" x14ac:dyDescent="0.2">
      <c r="B24" s="1110"/>
      <c r="C24" s="1117"/>
      <c r="D24" s="574" t="s">
        <v>552</v>
      </c>
      <c r="E24" s="593">
        <v>5</v>
      </c>
      <c r="F24" s="581">
        <v>45</v>
      </c>
      <c r="G24" s="582" t="s">
        <v>553</v>
      </c>
      <c r="H24" s="582"/>
      <c r="I24" s="583">
        <v>62478</v>
      </c>
      <c r="J24" s="584">
        <f t="shared" si="0"/>
        <v>2811510</v>
      </c>
      <c r="K24" s="579"/>
      <c r="M24" s="1116"/>
      <c r="N24" s="1117"/>
      <c r="O24" s="595" t="s">
        <v>557</v>
      </c>
      <c r="P24" s="596" t="s">
        <v>512</v>
      </c>
      <c r="Q24" s="596">
        <v>611</v>
      </c>
      <c r="R24" s="597" t="s">
        <v>521</v>
      </c>
      <c r="S24" s="598">
        <v>1020</v>
      </c>
      <c r="T24" s="599">
        <f t="shared" si="1"/>
        <v>623220</v>
      </c>
      <c r="U24" s="600">
        <f>+T24/('[3]PECECITOS DE COLORES'!$J$5)</f>
        <v>21.730125523012553</v>
      </c>
      <c r="V24" s="602">
        <f>V23*30000</f>
        <v>1018849.3723849374</v>
      </c>
      <c r="X24" s="603"/>
      <c r="Y24" s="1121" t="s">
        <v>558</v>
      </c>
      <c r="Z24" s="1121"/>
      <c r="AA24" s="1121"/>
      <c r="AB24" s="1121"/>
      <c r="AE24" s="746"/>
      <c r="AF24" s="746"/>
      <c r="AG24" s="746" t="s">
        <v>559</v>
      </c>
      <c r="AH24" s="746" t="s">
        <v>512</v>
      </c>
      <c r="AI24" s="746">
        <v>1</v>
      </c>
      <c r="AJ24" s="746" t="s">
        <v>521</v>
      </c>
      <c r="AK24" s="746">
        <v>12250</v>
      </c>
      <c r="AL24" s="746">
        <v>12250</v>
      </c>
      <c r="AM24" s="746">
        <v>0.42712691771269179</v>
      </c>
      <c r="AN24" s="746">
        <v>0.42712691771269179</v>
      </c>
      <c r="AO24" s="746">
        <v>0.42712691771269179</v>
      </c>
      <c r="AP24" s="746">
        <v>0.42712691771269179</v>
      </c>
    </row>
    <row r="25" spans="2:42" ht="22.5" customHeight="1" x14ac:dyDescent="0.2">
      <c r="B25" s="1110"/>
      <c r="C25" s="1117" t="s">
        <v>510</v>
      </c>
      <c r="D25" s="574" t="s">
        <v>556</v>
      </c>
      <c r="E25" s="581" t="s">
        <v>512</v>
      </c>
      <c r="F25" s="581">
        <v>125</v>
      </c>
      <c r="G25" s="582" t="s">
        <v>521</v>
      </c>
      <c r="H25" s="582"/>
      <c r="I25" s="583">
        <v>3500</v>
      </c>
      <c r="J25" s="584">
        <f t="shared" si="0"/>
        <v>437500</v>
      </c>
      <c r="K25" s="579">
        <f>+J25/('[3]PECECITOS DE COLORES'!$J$5)</f>
        <v>15.254532775453278</v>
      </c>
      <c r="M25" s="1116"/>
      <c r="N25" s="1117"/>
      <c r="O25" s="595" t="s">
        <v>559</v>
      </c>
      <c r="P25" s="596" t="s">
        <v>512</v>
      </c>
      <c r="Q25" s="596">
        <v>26</v>
      </c>
      <c r="R25" s="597" t="s">
        <v>553</v>
      </c>
      <c r="S25" s="598">
        <v>8300</v>
      </c>
      <c r="T25" s="599">
        <f t="shared" si="1"/>
        <v>215800</v>
      </c>
      <c r="U25" s="600">
        <f>+T25/('[3]PECECITOS DE COLORES'!$J$5)</f>
        <v>7.5244072524407253</v>
      </c>
      <c r="X25" s="604"/>
      <c r="Y25" s="1121"/>
      <c r="Z25" s="1121"/>
      <c r="AA25" s="1121"/>
      <c r="AB25" s="1121"/>
      <c r="AE25" s="746"/>
      <c r="AF25" s="746" t="s">
        <v>786</v>
      </c>
      <c r="AG25" s="746" t="s">
        <v>793</v>
      </c>
      <c r="AH25" s="746">
        <v>3</v>
      </c>
      <c r="AI25" s="746">
        <v>1</v>
      </c>
      <c r="AJ25" s="746" t="s">
        <v>619</v>
      </c>
      <c r="AK25" s="746">
        <v>2800</v>
      </c>
      <c r="AL25" s="746">
        <v>2800</v>
      </c>
      <c r="AM25" s="746">
        <v>9.7629009762900981E-2</v>
      </c>
      <c r="AN25" s="746"/>
      <c r="AO25" s="746">
        <v>9.7629009762900981E-2</v>
      </c>
      <c r="AP25" s="746"/>
    </row>
    <row r="26" spans="2:42" ht="23.25" customHeight="1" x14ac:dyDescent="0.2">
      <c r="B26" s="1110"/>
      <c r="C26" s="1117"/>
      <c r="D26" s="574" t="s">
        <v>557</v>
      </c>
      <c r="E26" s="581" t="s">
        <v>560</v>
      </c>
      <c r="F26" s="581">
        <v>610</v>
      </c>
      <c r="G26" s="582" t="s">
        <v>521</v>
      </c>
      <c r="H26" s="582"/>
      <c r="I26" s="583">
        <v>4864</v>
      </c>
      <c r="J26" s="584">
        <f t="shared" si="0"/>
        <v>2967040</v>
      </c>
      <c r="K26" s="579"/>
      <c r="M26" s="1116"/>
      <c r="N26" s="1117" t="s">
        <v>561</v>
      </c>
      <c r="O26" s="574" t="s">
        <v>562</v>
      </c>
      <c r="P26" s="593">
        <v>3</v>
      </c>
      <c r="Q26" s="581">
        <v>1266</v>
      </c>
      <c r="R26" s="582" t="s">
        <v>544</v>
      </c>
      <c r="S26" s="583">
        <v>2500</v>
      </c>
      <c r="T26" s="584">
        <f t="shared" si="1"/>
        <v>3165000</v>
      </c>
      <c r="U26" s="579"/>
      <c r="X26" s="605" t="s">
        <v>563</v>
      </c>
      <c r="Y26" s="1121"/>
      <c r="Z26" s="1121"/>
      <c r="AA26" s="1121"/>
      <c r="AB26" s="1121"/>
      <c r="AE26" s="746"/>
      <c r="AF26" s="746"/>
      <c r="AG26" s="746" t="s">
        <v>794</v>
      </c>
      <c r="AH26" s="746">
        <v>3</v>
      </c>
      <c r="AI26" s="746">
        <v>1</v>
      </c>
      <c r="AJ26" s="746" t="s">
        <v>619</v>
      </c>
      <c r="AK26" s="746">
        <v>2800</v>
      </c>
      <c r="AL26" s="746">
        <v>2800</v>
      </c>
      <c r="AM26" s="746">
        <v>9.7629009762900981E-2</v>
      </c>
      <c r="AN26" s="746"/>
      <c r="AO26" s="746">
        <v>9.7629009762900981E-2</v>
      </c>
      <c r="AP26" s="746"/>
    </row>
    <row r="27" spans="2:42" ht="30" customHeight="1" x14ac:dyDescent="0.2">
      <c r="B27" s="1110"/>
      <c r="C27" s="1117"/>
      <c r="D27" s="574" t="s">
        <v>559</v>
      </c>
      <c r="E27" s="581" t="s">
        <v>560</v>
      </c>
      <c r="F27" s="581">
        <v>56</v>
      </c>
      <c r="G27" s="582" t="s">
        <v>553</v>
      </c>
      <c r="H27" s="582"/>
      <c r="I27" s="583">
        <v>8500</v>
      </c>
      <c r="J27" s="584">
        <f t="shared" si="0"/>
        <v>476000</v>
      </c>
      <c r="K27" s="579"/>
      <c r="M27" s="1116"/>
      <c r="N27" s="1117"/>
      <c r="O27" s="574" t="s">
        <v>564</v>
      </c>
      <c r="P27" s="593">
        <v>3</v>
      </c>
      <c r="Q27" s="581">
        <v>210</v>
      </c>
      <c r="R27" s="582" t="s">
        <v>544</v>
      </c>
      <c r="S27" s="583">
        <v>2500</v>
      </c>
      <c r="T27" s="584">
        <f t="shared" si="1"/>
        <v>525000</v>
      </c>
      <c r="U27" s="579"/>
      <c r="X27" s="606" t="s">
        <v>565</v>
      </c>
      <c r="Y27" s="1122" t="s">
        <v>523</v>
      </c>
      <c r="Z27" s="607" t="s">
        <v>524</v>
      </c>
      <c r="AA27" s="1122" t="s">
        <v>525</v>
      </c>
      <c r="AB27" s="1122" t="s">
        <v>526</v>
      </c>
      <c r="AE27" s="746"/>
      <c r="AF27" s="746"/>
      <c r="AG27" s="746" t="s">
        <v>795</v>
      </c>
      <c r="AH27" s="746">
        <v>3</v>
      </c>
      <c r="AI27" s="746">
        <v>1</v>
      </c>
      <c r="AJ27" s="746" t="s">
        <v>619</v>
      </c>
      <c r="AK27" s="746">
        <v>2800</v>
      </c>
      <c r="AL27" s="746">
        <v>2800</v>
      </c>
      <c r="AM27" s="746">
        <v>9.7629009762900981E-2</v>
      </c>
      <c r="AN27" s="746"/>
      <c r="AO27" s="746">
        <v>9.7629009762900981E-2</v>
      </c>
      <c r="AP27" s="746"/>
    </row>
    <row r="28" spans="2:42" ht="45.75" customHeight="1" x14ac:dyDescent="0.2">
      <c r="B28" s="1110"/>
      <c r="C28" s="1117" t="s">
        <v>561</v>
      </c>
      <c r="D28" s="574" t="s">
        <v>562</v>
      </c>
      <c r="E28" s="593">
        <v>3</v>
      </c>
      <c r="F28" s="581">
        <v>228</v>
      </c>
      <c r="G28" s="582" t="s">
        <v>544</v>
      </c>
      <c r="H28" s="582"/>
      <c r="I28" s="583">
        <v>3900</v>
      </c>
      <c r="J28" s="584">
        <f t="shared" si="0"/>
        <v>889200</v>
      </c>
      <c r="K28" s="579">
        <f>+J28/('[3]PECECITOS DE COLORES'!$J$5)</f>
        <v>31.00418410041841</v>
      </c>
      <c r="M28" s="1116"/>
      <c r="N28" s="1117"/>
      <c r="O28" s="574" t="s">
        <v>566</v>
      </c>
      <c r="P28" s="593">
        <v>3</v>
      </c>
      <c r="Q28" s="581">
        <v>288</v>
      </c>
      <c r="R28" s="582" t="s">
        <v>544</v>
      </c>
      <c r="S28" s="583">
        <v>2500</v>
      </c>
      <c r="T28" s="584">
        <f t="shared" si="1"/>
        <v>720000</v>
      </c>
      <c r="U28" s="579"/>
      <c r="X28" s="608" t="s">
        <v>567</v>
      </c>
      <c r="Y28" s="1122"/>
      <c r="Z28" s="609" t="s">
        <v>530</v>
      </c>
      <c r="AA28" s="1122"/>
      <c r="AB28" s="1122"/>
      <c r="AE28" s="746"/>
      <c r="AF28" s="746"/>
      <c r="AG28" s="746" t="s">
        <v>566</v>
      </c>
      <c r="AH28" s="746">
        <v>3</v>
      </c>
      <c r="AI28" s="746">
        <v>1</v>
      </c>
      <c r="AJ28" s="746" t="s">
        <v>619</v>
      </c>
      <c r="AK28" s="746">
        <v>2800</v>
      </c>
      <c r="AL28" s="746">
        <v>2800</v>
      </c>
      <c r="AM28" s="746">
        <v>9.7629009762900981E-2</v>
      </c>
      <c r="AN28" s="746"/>
      <c r="AO28" s="746">
        <v>9.7629009762900981E-2</v>
      </c>
      <c r="AP28" s="746"/>
    </row>
    <row r="29" spans="2:42" ht="33.75" customHeight="1" x14ac:dyDescent="0.2">
      <c r="B29" s="1110"/>
      <c r="C29" s="1117"/>
      <c r="D29" s="574" t="s">
        <v>564</v>
      </c>
      <c r="E29" s="593">
        <v>3</v>
      </c>
      <c r="F29" s="581">
        <v>228</v>
      </c>
      <c r="G29" s="582" t="s">
        <v>544</v>
      </c>
      <c r="H29" s="582"/>
      <c r="I29" s="583">
        <v>3900</v>
      </c>
      <c r="J29" s="584">
        <f t="shared" si="0"/>
        <v>889200</v>
      </c>
      <c r="K29" s="579">
        <f>+J29/('[3]PECECITOS DE COLORES'!$J$5)</f>
        <v>31.00418410041841</v>
      </c>
      <c r="M29" s="1116"/>
      <c r="N29" s="1117"/>
      <c r="O29" s="574" t="s">
        <v>568</v>
      </c>
      <c r="P29" s="593">
        <v>3</v>
      </c>
      <c r="Q29" s="581">
        <v>80</v>
      </c>
      <c r="R29" s="582" t="s">
        <v>544</v>
      </c>
      <c r="S29" s="583">
        <v>2500</v>
      </c>
      <c r="T29" s="584">
        <f t="shared" si="1"/>
        <v>200000</v>
      </c>
      <c r="U29" s="579"/>
      <c r="X29" s="1118" t="s">
        <v>569</v>
      </c>
      <c r="Y29" s="1118" t="s">
        <v>534</v>
      </c>
      <c r="Z29" s="1118" t="s">
        <v>535</v>
      </c>
      <c r="AA29" s="591" t="s">
        <v>570</v>
      </c>
      <c r="AB29" s="1118" t="s">
        <v>537</v>
      </c>
      <c r="AE29" s="746"/>
      <c r="AF29" s="746"/>
      <c r="AG29" s="746" t="s">
        <v>568</v>
      </c>
      <c r="AH29" s="746">
        <v>3</v>
      </c>
      <c r="AI29" s="746">
        <v>1</v>
      </c>
      <c r="AJ29" s="746" t="s">
        <v>619</v>
      </c>
      <c r="AK29" s="746">
        <v>2800</v>
      </c>
      <c r="AL29" s="746">
        <v>2800</v>
      </c>
      <c r="AM29" s="746">
        <v>9.7629009762900981E-2</v>
      </c>
      <c r="AN29" s="746"/>
      <c r="AO29" s="746">
        <v>9.7629009762900981E-2</v>
      </c>
      <c r="AP29" s="746"/>
    </row>
    <row r="30" spans="2:42" ht="34.5" customHeight="1" x14ac:dyDescent="0.2">
      <c r="B30" s="1110"/>
      <c r="C30" s="1117"/>
      <c r="D30" s="574" t="s">
        <v>566</v>
      </c>
      <c r="E30" s="593">
        <v>3</v>
      </c>
      <c r="F30" s="581">
        <v>228</v>
      </c>
      <c r="G30" s="582" t="s">
        <v>544</v>
      </c>
      <c r="H30" s="582"/>
      <c r="I30" s="583">
        <v>3900</v>
      </c>
      <c r="J30" s="584">
        <f t="shared" si="0"/>
        <v>889200</v>
      </c>
      <c r="K30" s="579">
        <f>+J30/('[3]PECECITOS DE COLORES'!$J$5)</f>
        <v>31.00418410041841</v>
      </c>
      <c r="M30" s="1116"/>
      <c r="N30" s="1117" t="s">
        <v>571</v>
      </c>
      <c r="O30" s="574" t="s">
        <v>572</v>
      </c>
      <c r="P30" s="593">
        <v>5</v>
      </c>
      <c r="Q30" s="581">
        <v>190</v>
      </c>
      <c r="R30" s="582" t="s">
        <v>544</v>
      </c>
      <c r="S30" s="583">
        <v>3991</v>
      </c>
      <c r="T30" s="584">
        <f t="shared" si="1"/>
        <v>758290</v>
      </c>
      <c r="U30" s="579"/>
      <c r="X30" s="1118"/>
      <c r="Y30" s="1118"/>
      <c r="Z30" s="1118"/>
      <c r="AA30" s="592" t="s">
        <v>573</v>
      </c>
      <c r="AB30" s="1118"/>
      <c r="AE30" s="746"/>
      <c r="AF30" s="746" t="s">
        <v>786</v>
      </c>
      <c r="AG30" s="746" t="s">
        <v>572</v>
      </c>
      <c r="AH30" s="746">
        <v>5</v>
      </c>
      <c r="AI30" s="746">
        <v>1</v>
      </c>
      <c r="AJ30" s="746" t="s">
        <v>619</v>
      </c>
      <c r="AK30" s="746">
        <v>3500</v>
      </c>
      <c r="AL30" s="746">
        <v>3500</v>
      </c>
      <c r="AM30" s="746">
        <v>0.12203626220362622</v>
      </c>
      <c r="AN30" s="746">
        <v>0.12203626220362622</v>
      </c>
      <c r="AO30" s="746"/>
      <c r="AP30" s="746"/>
    </row>
    <row r="31" spans="2:42" ht="22.5" customHeight="1" x14ac:dyDescent="0.2">
      <c r="B31" s="1110"/>
      <c r="C31" s="1117"/>
      <c r="D31" s="574" t="s">
        <v>568</v>
      </c>
      <c r="E31" s="593">
        <v>3</v>
      </c>
      <c r="F31" s="581">
        <v>228</v>
      </c>
      <c r="G31" s="582" t="s">
        <v>544</v>
      </c>
      <c r="H31" s="582"/>
      <c r="I31" s="583">
        <v>3900</v>
      </c>
      <c r="J31" s="584">
        <f t="shared" si="0"/>
        <v>889200</v>
      </c>
      <c r="K31" s="579">
        <f>+J31/('[3]PECECITOS DE COLORES'!$J$5)</f>
        <v>31.00418410041841</v>
      </c>
      <c r="M31" s="1116"/>
      <c r="N31" s="1117"/>
      <c r="O31" s="574" t="s">
        <v>574</v>
      </c>
      <c r="P31" s="593">
        <v>2</v>
      </c>
      <c r="Q31" s="581">
        <v>13</v>
      </c>
      <c r="R31" s="582" t="s">
        <v>553</v>
      </c>
      <c r="S31" s="583">
        <v>8990</v>
      </c>
      <c r="T31" s="584">
        <f t="shared" si="1"/>
        <v>116870</v>
      </c>
      <c r="U31" s="579"/>
      <c r="X31" s="1118" t="s">
        <v>575</v>
      </c>
      <c r="Y31" s="1118" t="s">
        <v>534</v>
      </c>
      <c r="Z31" s="1118" t="s">
        <v>535</v>
      </c>
      <c r="AA31" s="591" t="s">
        <v>576</v>
      </c>
      <c r="AB31" s="1118" t="s">
        <v>537</v>
      </c>
      <c r="AE31" s="746"/>
      <c r="AF31" s="746"/>
      <c r="AG31" s="746" t="s">
        <v>579</v>
      </c>
      <c r="AH31" s="746">
        <v>5</v>
      </c>
      <c r="AI31" s="746">
        <v>1</v>
      </c>
      <c r="AJ31" s="746" t="s">
        <v>619</v>
      </c>
      <c r="AK31" s="746">
        <v>3500</v>
      </c>
      <c r="AL31" s="746">
        <v>3500</v>
      </c>
      <c r="AM31" s="746">
        <v>0.12203626220362622</v>
      </c>
      <c r="AN31" s="746">
        <v>0.12203626220362622</v>
      </c>
      <c r="AO31" s="746"/>
      <c r="AP31" s="746"/>
    </row>
    <row r="32" spans="2:42" ht="23.25" customHeight="1" x14ac:dyDescent="0.2">
      <c r="B32" s="1110"/>
      <c r="C32" s="1117" t="s">
        <v>571</v>
      </c>
      <c r="D32" s="574" t="s">
        <v>572</v>
      </c>
      <c r="E32" s="593">
        <v>5</v>
      </c>
      <c r="F32" s="581">
        <v>362</v>
      </c>
      <c r="G32" s="582" t="s">
        <v>544</v>
      </c>
      <c r="H32" s="582"/>
      <c r="I32" s="583">
        <v>3900</v>
      </c>
      <c r="J32" s="584">
        <f t="shared" si="0"/>
        <v>1411800</v>
      </c>
      <c r="K32" s="579"/>
      <c r="M32" s="1116"/>
      <c r="N32" s="1117" t="s">
        <v>515</v>
      </c>
      <c r="O32" s="574" t="s">
        <v>577</v>
      </c>
      <c r="P32" s="593" t="s">
        <v>578</v>
      </c>
      <c r="Q32" s="581">
        <v>32</v>
      </c>
      <c r="R32" s="582" t="s">
        <v>521</v>
      </c>
      <c r="S32" s="583">
        <v>5000</v>
      </c>
      <c r="T32" s="584">
        <f t="shared" si="1"/>
        <v>160000</v>
      </c>
      <c r="U32" s="579"/>
      <c r="X32" s="1118"/>
      <c r="Y32" s="1118"/>
      <c r="Z32" s="1118"/>
      <c r="AA32" s="592" t="s">
        <v>573</v>
      </c>
      <c r="AB32" s="1118"/>
      <c r="AE32" s="746"/>
      <c r="AF32" s="746"/>
      <c r="AG32" s="746" t="s">
        <v>574</v>
      </c>
      <c r="AH32" s="746">
        <v>2</v>
      </c>
      <c r="AI32" s="746">
        <v>1</v>
      </c>
      <c r="AJ32" s="746" t="s">
        <v>619</v>
      </c>
      <c r="AK32" s="746">
        <v>3500</v>
      </c>
      <c r="AL32" s="746">
        <v>3500</v>
      </c>
      <c r="AM32" s="746">
        <v>0.12203626220362622</v>
      </c>
      <c r="AN32" s="746">
        <v>0.12203626220362622</v>
      </c>
      <c r="AO32" s="746"/>
      <c r="AP32" s="746"/>
    </row>
    <row r="33" spans="2:42" ht="33.75" x14ac:dyDescent="0.2">
      <c r="B33" s="1110"/>
      <c r="C33" s="1117"/>
      <c r="D33" s="574" t="s">
        <v>579</v>
      </c>
      <c r="E33" s="593">
        <v>5</v>
      </c>
      <c r="F33" s="581">
        <v>10</v>
      </c>
      <c r="G33" s="582" t="s">
        <v>580</v>
      </c>
      <c r="H33" s="582"/>
      <c r="I33" s="583">
        <v>3900</v>
      </c>
      <c r="J33" s="584">
        <f t="shared" si="0"/>
        <v>39000</v>
      </c>
      <c r="K33" s="579"/>
      <c r="M33" s="1116"/>
      <c r="N33" s="1117"/>
      <c r="O33" s="574" t="s">
        <v>581</v>
      </c>
      <c r="P33" s="593">
        <v>5</v>
      </c>
      <c r="Q33" s="581">
        <v>14</v>
      </c>
      <c r="R33" s="582" t="s">
        <v>521</v>
      </c>
      <c r="S33" s="583">
        <v>26000</v>
      </c>
      <c r="T33" s="584">
        <f t="shared" si="1"/>
        <v>364000</v>
      </c>
      <c r="U33" s="579"/>
      <c r="AE33" s="746"/>
      <c r="AF33" s="746" t="s">
        <v>515</v>
      </c>
      <c r="AG33" s="746" t="s">
        <v>581</v>
      </c>
      <c r="AH33" s="746" t="s">
        <v>610</v>
      </c>
      <c r="AI33" s="746">
        <v>1</v>
      </c>
      <c r="AJ33" s="746" t="s">
        <v>802</v>
      </c>
      <c r="AK33" s="746">
        <v>25000</v>
      </c>
      <c r="AL33" s="746">
        <v>25000</v>
      </c>
      <c r="AM33" s="746">
        <v>0.87168758716875872</v>
      </c>
      <c r="AN33" s="746"/>
      <c r="AO33" s="746">
        <v>0.87168758716875872</v>
      </c>
      <c r="AP33" s="746"/>
    </row>
    <row r="34" spans="2:42" ht="22.5" customHeight="1" x14ac:dyDescent="0.2">
      <c r="B34" s="1110"/>
      <c r="C34" s="1117"/>
      <c r="D34" s="574" t="s">
        <v>574</v>
      </c>
      <c r="E34" s="593">
        <v>2</v>
      </c>
      <c r="F34" s="581">
        <v>45</v>
      </c>
      <c r="G34" s="582" t="s">
        <v>553</v>
      </c>
      <c r="H34" s="582"/>
      <c r="I34" s="583">
        <v>8900</v>
      </c>
      <c r="J34" s="584">
        <f t="shared" si="0"/>
        <v>400500</v>
      </c>
      <c r="K34" s="579"/>
      <c r="M34" s="1116"/>
      <c r="N34" s="1117" t="s">
        <v>582</v>
      </c>
      <c r="O34" s="595" t="s">
        <v>583</v>
      </c>
      <c r="P34" s="610">
        <v>3</v>
      </c>
      <c r="Q34" s="596">
        <v>1</v>
      </c>
      <c r="R34" s="597" t="s">
        <v>521</v>
      </c>
      <c r="S34" s="598">
        <v>45000</v>
      </c>
      <c r="T34" s="599">
        <f t="shared" si="1"/>
        <v>45000</v>
      </c>
      <c r="U34" s="600">
        <v>80.400000000000006</v>
      </c>
      <c r="V34" s="601">
        <f>SUM(U34+U36+U37)</f>
        <v>181.8</v>
      </c>
      <c r="X34" s="729"/>
      <c r="Y34" s="730"/>
      <c r="Z34" s="729"/>
      <c r="AA34" s="729"/>
      <c r="AB34" s="731"/>
      <c r="AC34" s="731"/>
      <c r="AD34" s="732"/>
      <c r="AE34" s="726"/>
      <c r="AF34" s="725" t="s">
        <v>582</v>
      </c>
      <c r="AG34" s="747" t="s">
        <v>796</v>
      </c>
      <c r="AH34" s="748">
        <v>2</v>
      </c>
      <c r="AI34" s="748">
        <v>1</v>
      </c>
      <c r="AJ34" s="746" t="s">
        <v>517</v>
      </c>
      <c r="AK34" s="746">
        <v>120000</v>
      </c>
      <c r="AL34" s="746">
        <v>120000</v>
      </c>
      <c r="AM34" s="746">
        <v>4.1841004184100417</v>
      </c>
      <c r="AN34" s="746"/>
      <c r="AO34" s="746">
        <v>4.1841004184100417</v>
      </c>
      <c r="AP34" s="746"/>
    </row>
    <row r="35" spans="2:42" ht="33.75" customHeight="1" x14ac:dyDescent="0.2">
      <c r="B35" s="1110"/>
      <c r="C35" s="1117" t="s">
        <v>515</v>
      </c>
      <c r="D35" s="574" t="s">
        <v>577</v>
      </c>
      <c r="E35" s="593" t="s">
        <v>578</v>
      </c>
      <c r="F35" s="581">
        <v>31</v>
      </c>
      <c r="G35" s="582" t="s">
        <v>521</v>
      </c>
      <c r="H35" s="582"/>
      <c r="I35" s="583">
        <v>4500</v>
      </c>
      <c r="J35" s="584">
        <f t="shared" si="0"/>
        <v>139500</v>
      </c>
      <c r="K35" s="579"/>
      <c r="M35" s="1116"/>
      <c r="N35" s="1117"/>
      <c r="O35" s="574" t="s">
        <v>520</v>
      </c>
      <c r="P35" s="593" t="s">
        <v>560</v>
      </c>
      <c r="Q35" s="581">
        <v>1</v>
      </c>
      <c r="R35" s="582" t="s">
        <v>521</v>
      </c>
      <c r="S35" s="583">
        <v>35000</v>
      </c>
      <c r="T35" s="584">
        <f t="shared" si="1"/>
        <v>35000</v>
      </c>
      <c r="U35" s="579"/>
      <c r="V35" s="611">
        <f>V34*30000</f>
        <v>5454000</v>
      </c>
      <c r="X35" s="1125"/>
      <c r="Y35" s="735"/>
      <c r="Z35" s="736"/>
      <c r="AA35" s="737"/>
      <c r="AB35" s="737"/>
      <c r="AC35" s="738"/>
      <c r="AD35" s="739"/>
      <c r="AE35" s="727"/>
      <c r="AF35" s="733"/>
      <c r="AG35" s="725" t="s">
        <v>520</v>
      </c>
      <c r="AH35" s="748">
        <v>2</v>
      </c>
      <c r="AI35" s="748">
        <v>1</v>
      </c>
      <c r="AJ35" s="746" t="s">
        <v>521</v>
      </c>
      <c r="AK35" s="746">
        <v>35000</v>
      </c>
      <c r="AL35" s="746">
        <v>35000</v>
      </c>
      <c r="AM35" s="746">
        <v>1.2203626220362622</v>
      </c>
      <c r="AN35" s="746"/>
      <c r="AO35" s="746">
        <v>1.2203626220362622</v>
      </c>
      <c r="AP35" s="746"/>
    </row>
    <row r="36" spans="2:42" ht="56.25" x14ac:dyDescent="0.2">
      <c r="B36" s="1110"/>
      <c r="C36" s="1117"/>
      <c r="D36" s="574" t="s">
        <v>581</v>
      </c>
      <c r="E36" s="593">
        <v>5</v>
      </c>
      <c r="F36" s="581">
        <v>31</v>
      </c>
      <c r="G36" s="582" t="s">
        <v>521</v>
      </c>
      <c r="H36" s="582"/>
      <c r="I36" s="583">
        <v>26000</v>
      </c>
      <c r="J36" s="584">
        <f t="shared" si="0"/>
        <v>806000</v>
      </c>
      <c r="K36" s="579"/>
      <c r="M36" s="1116"/>
      <c r="N36" s="573" t="s">
        <v>584</v>
      </c>
      <c r="O36" s="595" t="s">
        <v>585</v>
      </c>
      <c r="P36" s="610">
        <v>10</v>
      </c>
      <c r="Q36" s="596">
        <v>450</v>
      </c>
      <c r="R36" s="597" t="s">
        <v>521</v>
      </c>
      <c r="S36" s="598">
        <v>9500</v>
      </c>
      <c r="T36" s="599">
        <f t="shared" si="1"/>
        <v>4275000</v>
      </c>
      <c r="U36" s="600">
        <v>45.8</v>
      </c>
      <c r="X36" s="1125"/>
      <c r="Y36" s="1124"/>
      <c r="Z36" s="736"/>
      <c r="AA36" s="737"/>
      <c r="AB36" s="737"/>
      <c r="AC36" s="738"/>
      <c r="AD36" s="739"/>
      <c r="AE36" s="727"/>
      <c r="AF36" s="733" t="s">
        <v>584</v>
      </c>
      <c r="AG36" s="718" t="s">
        <v>585</v>
      </c>
      <c r="AH36" s="748">
        <v>3</v>
      </c>
      <c r="AI36" s="748">
        <v>1</v>
      </c>
      <c r="AJ36" s="746" t="s">
        <v>619</v>
      </c>
      <c r="AK36" s="746">
        <v>8500</v>
      </c>
      <c r="AL36" s="746">
        <v>8500</v>
      </c>
      <c r="AM36" s="746">
        <v>0.29637377963737799</v>
      </c>
      <c r="AN36" s="746"/>
      <c r="AO36" s="746">
        <v>0.29637377963737799</v>
      </c>
      <c r="AP36" s="746"/>
    </row>
    <row r="37" spans="2:42" ht="22.5" customHeight="1" x14ac:dyDescent="0.2">
      <c r="B37" s="1110"/>
      <c r="C37" s="1117" t="s">
        <v>582</v>
      </c>
      <c r="D37" s="574" t="s">
        <v>583</v>
      </c>
      <c r="E37" s="593">
        <v>3</v>
      </c>
      <c r="F37" s="581">
        <v>1</v>
      </c>
      <c r="G37" s="582" t="s">
        <v>521</v>
      </c>
      <c r="H37" s="582"/>
      <c r="I37" s="583">
        <v>180000</v>
      </c>
      <c r="J37" s="584">
        <f t="shared" si="0"/>
        <v>180000</v>
      </c>
      <c r="K37" s="579"/>
      <c r="M37" s="1116"/>
      <c r="N37" s="1117" t="s">
        <v>586</v>
      </c>
      <c r="O37" s="595" t="s">
        <v>587</v>
      </c>
      <c r="P37" s="610">
        <v>5</v>
      </c>
      <c r="Q37" s="596">
        <v>1</v>
      </c>
      <c r="R37" s="597" t="s">
        <v>521</v>
      </c>
      <c r="S37" s="598">
        <v>150000</v>
      </c>
      <c r="T37" s="599">
        <f t="shared" si="1"/>
        <v>150000</v>
      </c>
      <c r="U37" s="600">
        <v>55.6</v>
      </c>
      <c r="X37" s="1125"/>
      <c r="Y37" s="1124"/>
      <c r="Z37" s="736"/>
      <c r="AA37" s="737"/>
      <c r="AB37" s="737"/>
      <c r="AC37" s="738"/>
      <c r="AD37" s="739"/>
      <c r="AE37" s="727"/>
      <c r="AF37" s="733" t="s">
        <v>586</v>
      </c>
      <c r="AG37" s="718" t="s">
        <v>797</v>
      </c>
      <c r="AH37" s="748">
        <v>5</v>
      </c>
      <c r="AI37" s="748">
        <v>1</v>
      </c>
      <c r="AJ37" s="746" t="s">
        <v>521</v>
      </c>
      <c r="AK37" s="746">
        <v>25000</v>
      </c>
      <c r="AL37" s="746">
        <v>25000</v>
      </c>
      <c r="AM37" s="746">
        <v>0.87168758716875872</v>
      </c>
      <c r="AN37" s="746">
        <v>0.87168758716875872</v>
      </c>
      <c r="AO37" s="746"/>
      <c r="AP37" s="746"/>
    </row>
    <row r="38" spans="2:42" ht="22.5" x14ac:dyDescent="0.2">
      <c r="B38" s="1110"/>
      <c r="C38" s="1117"/>
      <c r="D38" s="574" t="s">
        <v>520</v>
      </c>
      <c r="E38" s="593" t="s">
        <v>560</v>
      </c>
      <c r="F38" s="581">
        <v>1</v>
      </c>
      <c r="G38" s="582" t="s">
        <v>521</v>
      </c>
      <c r="H38" s="582"/>
      <c r="I38" s="583">
        <v>15000</v>
      </c>
      <c r="J38" s="584">
        <f t="shared" si="0"/>
        <v>15000</v>
      </c>
      <c r="K38" s="579"/>
      <c r="M38" s="1116"/>
      <c r="N38" s="1117"/>
      <c r="O38" s="574" t="s">
        <v>588</v>
      </c>
      <c r="P38" s="593">
        <v>5</v>
      </c>
      <c r="Q38" s="581">
        <v>1</v>
      </c>
      <c r="R38" s="582" t="s">
        <v>521</v>
      </c>
      <c r="S38" s="583">
        <v>150000</v>
      </c>
      <c r="T38" s="584">
        <f t="shared" si="1"/>
        <v>150000</v>
      </c>
      <c r="U38" s="579"/>
      <c r="X38" s="1125"/>
      <c r="Y38" s="1124"/>
      <c r="Z38" s="736"/>
      <c r="AA38" s="737"/>
      <c r="AB38" s="737"/>
      <c r="AC38" s="738"/>
      <c r="AD38" s="739"/>
      <c r="AE38" s="727"/>
      <c r="AF38" s="733"/>
      <c r="AG38" s="718" t="s">
        <v>798</v>
      </c>
      <c r="AH38" s="748">
        <v>5</v>
      </c>
      <c r="AI38" s="748">
        <v>1</v>
      </c>
      <c r="AJ38" s="746" t="s">
        <v>521</v>
      </c>
      <c r="AK38" s="746">
        <v>95000</v>
      </c>
      <c r="AL38" s="746">
        <v>95000</v>
      </c>
      <c r="AM38" s="746">
        <v>3.3124128312412831</v>
      </c>
      <c r="AN38" s="746">
        <v>3.3124128312412831</v>
      </c>
      <c r="AO38" s="746"/>
      <c r="AP38" s="746"/>
    </row>
    <row r="39" spans="2:42" ht="22.5" customHeight="1" x14ac:dyDescent="0.2">
      <c r="B39" s="1110"/>
      <c r="C39" s="1117" t="s">
        <v>584</v>
      </c>
      <c r="D39" s="574" t="s">
        <v>585</v>
      </c>
      <c r="E39" s="593">
        <v>10</v>
      </c>
      <c r="F39" s="581">
        <v>458</v>
      </c>
      <c r="G39" s="582" t="s">
        <v>521</v>
      </c>
      <c r="H39" s="582"/>
      <c r="I39" s="583">
        <v>16620</v>
      </c>
      <c r="J39" s="584">
        <f t="shared" si="0"/>
        <v>7611960</v>
      </c>
      <c r="K39" s="579"/>
      <c r="M39" s="1116"/>
      <c r="N39" s="573" t="s">
        <v>538</v>
      </c>
      <c r="O39" s="574" t="s">
        <v>589</v>
      </c>
      <c r="P39" s="593">
        <v>3</v>
      </c>
      <c r="Q39" s="581">
        <v>1</v>
      </c>
      <c r="R39" s="582" t="s">
        <v>521</v>
      </c>
      <c r="S39" s="583">
        <v>180000</v>
      </c>
      <c r="T39" s="584">
        <f t="shared" si="1"/>
        <v>180000</v>
      </c>
      <c r="U39" s="579"/>
      <c r="X39" s="1125"/>
      <c r="Y39" s="1124"/>
      <c r="Z39" s="736"/>
      <c r="AA39" s="737"/>
      <c r="AB39" s="737"/>
      <c r="AC39" s="738"/>
      <c r="AD39" s="739"/>
      <c r="AE39" s="727"/>
      <c r="AF39" s="733" t="s">
        <v>538</v>
      </c>
      <c r="AG39" s="718" t="s">
        <v>799</v>
      </c>
      <c r="AH39" s="748">
        <v>3</v>
      </c>
      <c r="AI39" s="748">
        <v>1</v>
      </c>
      <c r="AJ39" s="746" t="s">
        <v>521</v>
      </c>
      <c r="AK39" s="746">
        <v>180000</v>
      </c>
      <c r="AL39" s="746">
        <v>180000</v>
      </c>
      <c r="AM39" s="746">
        <v>6.2761506276150625</v>
      </c>
      <c r="AN39" s="746"/>
      <c r="AO39" s="746">
        <v>6.2761506276150625</v>
      </c>
      <c r="AP39" s="746"/>
    </row>
    <row r="40" spans="2:42" ht="22.5" customHeight="1" x14ac:dyDescent="0.2">
      <c r="B40" s="1110"/>
      <c r="C40" s="1117"/>
      <c r="D40" s="574" t="s">
        <v>590</v>
      </c>
      <c r="E40" s="593" t="s">
        <v>555</v>
      </c>
      <c r="F40" s="581">
        <v>15</v>
      </c>
      <c r="G40" s="582" t="s">
        <v>521</v>
      </c>
      <c r="H40" s="582"/>
      <c r="I40" s="583">
        <v>13090</v>
      </c>
      <c r="J40" s="584">
        <f t="shared" si="0"/>
        <v>196350</v>
      </c>
      <c r="K40" s="579"/>
      <c r="M40" s="1116"/>
      <c r="N40" s="1117" t="s">
        <v>591</v>
      </c>
      <c r="O40" s="574" t="s">
        <v>592</v>
      </c>
      <c r="P40" s="593">
        <v>2</v>
      </c>
      <c r="Q40" s="581">
        <v>1</v>
      </c>
      <c r="R40" s="582" t="s">
        <v>521</v>
      </c>
      <c r="S40" s="583">
        <v>225000</v>
      </c>
      <c r="T40" s="584">
        <v>150000</v>
      </c>
      <c r="U40" s="579"/>
      <c r="X40" s="1125"/>
      <c r="Y40" s="1124"/>
      <c r="Z40" s="736"/>
      <c r="AA40" s="737"/>
      <c r="AB40" s="737"/>
      <c r="AC40" s="738"/>
      <c r="AD40" s="739"/>
      <c r="AE40" s="727"/>
      <c r="AF40" s="733" t="s">
        <v>591</v>
      </c>
      <c r="AG40" s="718" t="s">
        <v>592</v>
      </c>
      <c r="AH40" s="748">
        <v>2</v>
      </c>
      <c r="AI40" s="748">
        <v>1</v>
      </c>
      <c r="AJ40" s="746" t="s">
        <v>521</v>
      </c>
      <c r="AK40" s="746">
        <v>225000</v>
      </c>
      <c r="AL40" s="746">
        <v>225000</v>
      </c>
      <c r="AM40" s="746">
        <v>7.8451882845188283</v>
      </c>
      <c r="AN40" s="746"/>
      <c r="AO40" s="746">
        <v>7.8451882845188283</v>
      </c>
      <c r="AP40" s="746"/>
    </row>
    <row r="41" spans="2:42" ht="33.75" customHeight="1" x14ac:dyDescent="0.2">
      <c r="B41" s="1110"/>
      <c r="C41" s="1117" t="s">
        <v>586</v>
      </c>
      <c r="D41" s="574" t="s">
        <v>587</v>
      </c>
      <c r="E41" s="593">
        <v>5</v>
      </c>
      <c r="F41" s="581">
        <v>1</v>
      </c>
      <c r="G41" s="582" t="s">
        <v>521</v>
      </c>
      <c r="H41" s="582"/>
      <c r="I41" s="583">
        <v>150000</v>
      </c>
      <c r="J41" s="584">
        <f t="shared" si="0"/>
        <v>150000</v>
      </c>
      <c r="K41" s="579"/>
      <c r="M41" s="1116"/>
      <c r="N41" s="1117"/>
      <c r="O41" s="574" t="s">
        <v>593</v>
      </c>
      <c r="P41" s="593">
        <v>5</v>
      </c>
      <c r="Q41" s="581">
        <v>1</v>
      </c>
      <c r="R41" s="582" t="s">
        <v>521</v>
      </c>
      <c r="S41" s="583">
        <v>225000</v>
      </c>
      <c r="T41" s="584">
        <v>150000</v>
      </c>
      <c r="U41" s="579"/>
      <c r="X41" s="1125"/>
      <c r="Y41" s="735"/>
      <c r="Z41" s="736"/>
      <c r="AA41" s="737"/>
      <c r="AB41" s="737"/>
      <c r="AC41" s="738"/>
      <c r="AD41" s="739"/>
      <c r="AE41" s="727"/>
      <c r="AF41" s="733"/>
      <c r="AG41" s="718" t="s">
        <v>593</v>
      </c>
      <c r="AH41" s="748">
        <v>5</v>
      </c>
      <c r="AI41" s="748">
        <v>1</v>
      </c>
      <c r="AJ41" s="746" t="s">
        <v>521</v>
      </c>
      <c r="AK41" s="746">
        <v>225000</v>
      </c>
      <c r="AL41" s="746">
        <v>225000</v>
      </c>
      <c r="AM41" s="746">
        <v>7.8451882845188283</v>
      </c>
      <c r="AN41" s="746">
        <v>7.8451882845188283</v>
      </c>
      <c r="AO41" s="746"/>
      <c r="AP41" s="746"/>
    </row>
    <row r="42" spans="2:42" ht="33.75" customHeight="1" x14ac:dyDescent="0.2">
      <c r="B42" s="1110"/>
      <c r="C42" s="1117"/>
      <c r="D42" s="574" t="s">
        <v>588</v>
      </c>
      <c r="E42" s="593">
        <v>5</v>
      </c>
      <c r="F42" s="581">
        <v>1</v>
      </c>
      <c r="G42" s="582" t="s">
        <v>521</v>
      </c>
      <c r="H42" s="582"/>
      <c r="I42" s="583">
        <v>150000</v>
      </c>
      <c r="J42" s="584">
        <f t="shared" si="0"/>
        <v>150000</v>
      </c>
      <c r="K42" s="579"/>
      <c r="M42" s="1116"/>
      <c r="N42" s="1117" t="s">
        <v>594</v>
      </c>
      <c r="O42" s="574" t="s">
        <v>595</v>
      </c>
      <c r="P42" s="593" t="s">
        <v>512</v>
      </c>
      <c r="Q42" s="581">
        <v>1</v>
      </c>
      <c r="R42" s="582" t="s">
        <v>521</v>
      </c>
      <c r="S42" s="583">
        <v>175000</v>
      </c>
      <c r="T42" s="584">
        <f t="shared" ref="T42:T53" si="2">+S42*Q42</f>
        <v>175000</v>
      </c>
      <c r="U42" s="579">
        <f>+T42/('[3]PECECITOS DE COLORES'!$J$5)</f>
        <v>6.1018131101813111</v>
      </c>
      <c r="X42" s="1125"/>
      <c r="Y42" s="1124"/>
      <c r="Z42" s="736"/>
      <c r="AA42" s="741"/>
      <c r="AB42" s="737"/>
      <c r="AC42" s="738"/>
      <c r="AD42" s="739"/>
      <c r="AE42" s="734"/>
      <c r="AF42" s="733"/>
      <c r="AG42" s="718" t="s">
        <v>596</v>
      </c>
      <c r="AH42" s="748" t="s">
        <v>560</v>
      </c>
      <c r="AI42" s="748">
        <v>1</v>
      </c>
      <c r="AJ42" s="746" t="s">
        <v>521</v>
      </c>
      <c r="AK42" s="746">
        <v>45000</v>
      </c>
      <c r="AL42" s="746">
        <v>45000</v>
      </c>
      <c r="AM42" s="746">
        <v>1.5690376569037656</v>
      </c>
      <c r="AN42" s="746">
        <v>1.5690376569037656</v>
      </c>
      <c r="AO42" s="746"/>
      <c r="AP42" s="746">
        <v>1.5690376569037656</v>
      </c>
    </row>
    <row r="43" spans="2:42" ht="33.75" x14ac:dyDescent="0.2">
      <c r="B43" s="1110"/>
      <c r="C43" s="573" t="s">
        <v>538</v>
      </c>
      <c r="D43" s="574" t="s">
        <v>589</v>
      </c>
      <c r="E43" s="593">
        <v>3</v>
      </c>
      <c r="F43" s="581">
        <v>1</v>
      </c>
      <c r="G43" s="582" t="s">
        <v>521</v>
      </c>
      <c r="H43" s="582"/>
      <c r="I43" s="583">
        <v>180000</v>
      </c>
      <c r="J43" s="584">
        <f t="shared" si="0"/>
        <v>180000</v>
      </c>
      <c r="K43" s="579"/>
      <c r="M43" s="1116"/>
      <c r="N43" s="1117"/>
      <c r="O43" s="574" t="s">
        <v>596</v>
      </c>
      <c r="P43" s="593" t="s">
        <v>560</v>
      </c>
      <c r="Q43" s="581">
        <v>1</v>
      </c>
      <c r="R43" s="582" t="s">
        <v>532</v>
      </c>
      <c r="S43" s="583">
        <v>25000</v>
      </c>
      <c r="T43" s="584">
        <f t="shared" si="2"/>
        <v>25000</v>
      </c>
      <c r="U43" s="579">
        <f>+T43/('[3]PECECITOS DE COLORES'!$J$5)</f>
        <v>0.87168758716875872</v>
      </c>
      <c r="X43" s="1125"/>
      <c r="Y43" s="1124"/>
      <c r="Z43" s="736"/>
      <c r="AA43" s="741"/>
      <c r="AB43" s="737"/>
      <c r="AC43" s="738"/>
      <c r="AD43" s="739"/>
      <c r="AE43" s="734"/>
      <c r="AF43" s="733"/>
      <c r="AG43" s="718" t="s">
        <v>598</v>
      </c>
      <c r="AH43" s="748" t="s">
        <v>560</v>
      </c>
      <c r="AI43" s="746">
        <v>1</v>
      </c>
      <c r="AJ43" s="746" t="s">
        <v>521</v>
      </c>
      <c r="AK43" s="746">
        <v>65000</v>
      </c>
      <c r="AL43" s="746">
        <v>65000</v>
      </c>
      <c r="AM43" s="746">
        <v>2.2663877266387726</v>
      </c>
      <c r="AN43" s="746">
        <v>2.2663877266387726</v>
      </c>
      <c r="AO43" s="746"/>
      <c r="AP43" s="746">
        <v>2.2663877266387726</v>
      </c>
    </row>
    <row r="44" spans="2:42" ht="45" customHeight="1" x14ac:dyDescent="0.2">
      <c r="B44" s="1110"/>
      <c r="C44" s="1117" t="s">
        <v>591</v>
      </c>
      <c r="D44" s="574" t="s">
        <v>592</v>
      </c>
      <c r="E44" s="593">
        <v>2</v>
      </c>
      <c r="F44" s="581">
        <v>1</v>
      </c>
      <c r="G44" s="582" t="s">
        <v>521</v>
      </c>
      <c r="H44" s="582"/>
      <c r="I44" s="583">
        <v>225000</v>
      </c>
      <c r="J44" s="584">
        <f t="shared" si="0"/>
        <v>225000</v>
      </c>
      <c r="K44" s="579"/>
      <c r="M44" s="1116"/>
      <c r="N44" s="573" t="s">
        <v>597</v>
      </c>
      <c r="O44" s="574" t="s">
        <v>598</v>
      </c>
      <c r="P44" s="581" t="s">
        <v>560</v>
      </c>
      <c r="Q44" s="581">
        <v>1</v>
      </c>
      <c r="R44" s="582" t="s">
        <v>521</v>
      </c>
      <c r="S44" s="583">
        <v>120000</v>
      </c>
      <c r="T44" s="584">
        <f t="shared" si="2"/>
        <v>120000</v>
      </c>
      <c r="U44" s="579">
        <f>+T44/('[3]PECECITOS DE COLORES'!$J$5)</f>
        <v>4.1841004184100417</v>
      </c>
      <c r="X44" s="1125"/>
      <c r="Y44" s="1124"/>
      <c r="Z44" s="736"/>
      <c r="AA44" s="741"/>
      <c r="AB44" s="737"/>
      <c r="AC44" s="738"/>
      <c r="AD44" s="739"/>
      <c r="AE44" s="734"/>
      <c r="AF44" s="733"/>
      <c r="AG44" s="718" t="s">
        <v>600</v>
      </c>
      <c r="AH44" s="748" t="s">
        <v>512</v>
      </c>
      <c r="AI44" s="746">
        <v>1</v>
      </c>
      <c r="AJ44" s="746" t="s">
        <v>521</v>
      </c>
      <c r="AK44" s="746">
        <v>190000</v>
      </c>
      <c r="AL44" s="746">
        <v>190000</v>
      </c>
      <c r="AM44" s="746">
        <v>6.6248256624825661</v>
      </c>
      <c r="AN44" s="746">
        <v>6.6248256624825661</v>
      </c>
      <c r="AO44" s="746">
        <v>6.6248256624825661</v>
      </c>
      <c r="AP44" s="746">
        <v>6.6248256624825661</v>
      </c>
    </row>
    <row r="45" spans="2:42" ht="33.75" x14ac:dyDescent="0.2">
      <c r="B45" s="1110"/>
      <c r="C45" s="1117"/>
      <c r="D45" s="574" t="s">
        <v>593</v>
      </c>
      <c r="E45" s="593">
        <v>5</v>
      </c>
      <c r="F45" s="581">
        <v>1</v>
      </c>
      <c r="G45" s="582" t="s">
        <v>521</v>
      </c>
      <c r="H45" s="582"/>
      <c r="I45" s="583">
        <v>225000</v>
      </c>
      <c r="J45" s="584">
        <f t="shared" ref="J45:J61" si="3">+I45*F45</f>
        <v>225000</v>
      </c>
      <c r="K45" s="579"/>
      <c r="M45" s="1116"/>
      <c r="N45" s="573" t="s">
        <v>599</v>
      </c>
      <c r="O45" s="595" t="s">
        <v>600</v>
      </c>
      <c r="P45" s="596" t="s">
        <v>560</v>
      </c>
      <c r="Q45" s="596">
        <v>1</v>
      </c>
      <c r="R45" s="597" t="s">
        <v>521</v>
      </c>
      <c r="S45" s="598">
        <v>450000</v>
      </c>
      <c r="T45" s="599">
        <f t="shared" si="2"/>
        <v>450000</v>
      </c>
      <c r="U45" s="600">
        <f>+T45/('[3]PECECITOS DE COLORES'!$J$5)</f>
        <v>15.690376569037657</v>
      </c>
      <c r="V45" s="602">
        <f>U45*30000</f>
        <v>470711.29707112972</v>
      </c>
      <c r="X45" s="1125"/>
      <c r="Y45" s="1124"/>
      <c r="Z45" s="736"/>
      <c r="AA45" s="741"/>
      <c r="AB45" s="737"/>
      <c r="AC45" s="738"/>
      <c r="AD45" s="739"/>
      <c r="AE45" s="734" t="s">
        <v>803</v>
      </c>
      <c r="AF45" s="733"/>
      <c r="AG45" s="718" t="s">
        <v>603</v>
      </c>
      <c r="AH45" s="748" t="s">
        <v>604</v>
      </c>
      <c r="AI45" s="746"/>
      <c r="AJ45" s="746" t="s">
        <v>619</v>
      </c>
      <c r="AK45" s="746">
        <v>19456</v>
      </c>
      <c r="AL45" s="746">
        <v>0</v>
      </c>
      <c r="AM45" s="746">
        <v>0</v>
      </c>
      <c r="AN45" s="746"/>
      <c r="AO45" s="746"/>
      <c r="AP45" s="746"/>
    </row>
    <row r="46" spans="2:42" ht="22.5" customHeight="1" x14ac:dyDescent="0.2">
      <c r="B46" s="1110"/>
      <c r="C46" s="1117" t="s">
        <v>594</v>
      </c>
      <c r="D46" s="574" t="s">
        <v>595</v>
      </c>
      <c r="E46" s="593" t="s">
        <v>512</v>
      </c>
      <c r="F46" s="581">
        <v>1</v>
      </c>
      <c r="G46" s="582" t="s">
        <v>521</v>
      </c>
      <c r="H46" s="582"/>
      <c r="I46" s="583">
        <v>120000</v>
      </c>
      <c r="J46" s="584">
        <f t="shared" si="3"/>
        <v>120000</v>
      </c>
      <c r="K46" s="579">
        <f>+J46/('[3]PECECITOS DE COLORES'!$J$5)</f>
        <v>4.1841004184100417</v>
      </c>
      <c r="M46" s="1110" t="s">
        <v>601</v>
      </c>
      <c r="N46" s="1117" t="s">
        <v>602</v>
      </c>
      <c r="O46" s="574" t="s">
        <v>603</v>
      </c>
      <c r="P46" s="581" t="s">
        <v>604</v>
      </c>
      <c r="Q46" s="581">
        <v>611</v>
      </c>
      <c r="R46" s="582" t="s">
        <v>544</v>
      </c>
      <c r="S46" s="583">
        <v>16000</v>
      </c>
      <c r="T46" s="584">
        <f t="shared" si="2"/>
        <v>9776000</v>
      </c>
      <c r="U46" s="579"/>
      <c r="X46" s="1125"/>
      <c r="Y46" s="1124"/>
      <c r="Z46" s="736"/>
      <c r="AA46" s="741"/>
      <c r="AB46" s="737"/>
      <c r="AC46" s="738"/>
      <c r="AD46" s="739"/>
      <c r="AE46" s="734"/>
      <c r="AF46" s="733"/>
      <c r="AG46" s="718" t="s">
        <v>800</v>
      </c>
      <c r="AH46" s="748" t="s">
        <v>604</v>
      </c>
      <c r="AI46" s="746"/>
      <c r="AJ46" s="746" t="s">
        <v>619</v>
      </c>
      <c r="AK46" s="746">
        <v>26435</v>
      </c>
      <c r="AL46" s="746">
        <v>0</v>
      </c>
      <c r="AM46" s="746">
        <v>0</v>
      </c>
      <c r="AN46" s="746"/>
      <c r="AO46" s="746"/>
      <c r="AP46" s="746"/>
    </row>
    <row r="47" spans="2:42" ht="33.75" x14ac:dyDescent="0.2">
      <c r="B47" s="1110"/>
      <c r="C47" s="1117"/>
      <c r="D47" s="574" t="s">
        <v>596</v>
      </c>
      <c r="E47" s="593" t="s">
        <v>560</v>
      </c>
      <c r="F47" s="581">
        <v>1</v>
      </c>
      <c r="G47" s="582" t="s">
        <v>532</v>
      </c>
      <c r="H47" s="582"/>
      <c r="I47" s="583">
        <v>45000</v>
      </c>
      <c r="J47" s="584">
        <f t="shared" si="3"/>
        <v>45000</v>
      </c>
      <c r="K47" s="579">
        <f>+J47/('[3]PECECITOS DE COLORES'!$J$5)</f>
        <v>1.5690376569037656</v>
      </c>
      <c r="M47" s="1110"/>
      <c r="N47" s="1117"/>
      <c r="O47" s="574" t="s">
        <v>605</v>
      </c>
      <c r="P47" s="581" t="s">
        <v>604</v>
      </c>
      <c r="Q47" s="581">
        <v>68</v>
      </c>
      <c r="R47" s="582" t="s">
        <v>544</v>
      </c>
      <c r="S47" s="583">
        <v>26435</v>
      </c>
      <c r="T47" s="584">
        <f t="shared" si="2"/>
        <v>1797580</v>
      </c>
      <c r="U47" s="579"/>
      <c r="X47" s="1125"/>
      <c r="Y47" s="1124"/>
      <c r="Z47" s="736"/>
      <c r="AA47" s="737"/>
      <c r="AB47" s="737"/>
      <c r="AC47" s="738"/>
      <c r="AD47" s="739"/>
      <c r="AE47" s="734"/>
      <c r="AF47" s="733"/>
      <c r="AG47" s="718" t="s">
        <v>606</v>
      </c>
      <c r="AH47" s="748" t="s">
        <v>604</v>
      </c>
      <c r="AI47" s="746">
        <v>1</v>
      </c>
      <c r="AJ47" s="746" t="s">
        <v>521</v>
      </c>
      <c r="AK47" s="746">
        <v>120000</v>
      </c>
      <c r="AL47" s="746">
        <v>120000</v>
      </c>
      <c r="AM47" s="746">
        <v>4.1841004184100417</v>
      </c>
      <c r="AN47" s="746"/>
      <c r="AO47" s="746"/>
      <c r="AP47" s="746"/>
    </row>
    <row r="48" spans="2:42" ht="56.25" customHeight="1" x14ac:dyDescent="0.2">
      <c r="B48" s="1110"/>
      <c r="C48" s="1117" t="s">
        <v>597</v>
      </c>
      <c r="D48" s="574" t="s">
        <v>598</v>
      </c>
      <c r="E48" s="581" t="s">
        <v>560</v>
      </c>
      <c r="F48" s="581">
        <v>1</v>
      </c>
      <c r="G48" s="582" t="s">
        <v>521</v>
      </c>
      <c r="H48" s="582"/>
      <c r="I48" s="583">
        <v>120000</v>
      </c>
      <c r="J48" s="584">
        <f t="shared" si="3"/>
        <v>120000</v>
      </c>
      <c r="K48" s="579">
        <f>+J48/('[3]PECECITOS DE COLORES'!$J$5)</f>
        <v>4.1841004184100417</v>
      </c>
      <c r="M48" s="1110"/>
      <c r="N48" s="1117"/>
      <c r="O48" s="574" t="s">
        <v>606</v>
      </c>
      <c r="P48" s="581" t="s">
        <v>604</v>
      </c>
      <c r="Q48" s="581">
        <v>28</v>
      </c>
      <c r="R48" s="582" t="s">
        <v>607</v>
      </c>
      <c r="S48" s="583">
        <v>95000</v>
      </c>
      <c r="T48" s="584">
        <f t="shared" si="2"/>
        <v>2660000</v>
      </c>
      <c r="U48" s="579"/>
      <c r="X48" s="1125"/>
      <c r="Y48" s="1124"/>
      <c r="Z48" s="736"/>
      <c r="AA48" s="737"/>
      <c r="AB48" s="737"/>
      <c r="AC48" s="738"/>
      <c r="AD48" s="739"/>
      <c r="AE48" s="734"/>
      <c r="AF48" s="733"/>
      <c r="AG48" s="718" t="s">
        <v>612</v>
      </c>
      <c r="AH48" s="748" t="s">
        <v>604</v>
      </c>
      <c r="AI48" s="746">
        <v>12</v>
      </c>
      <c r="AJ48" s="746" t="s">
        <v>517</v>
      </c>
      <c r="AK48" s="746">
        <v>65000</v>
      </c>
      <c r="AL48" s="746">
        <v>780000</v>
      </c>
      <c r="AM48" s="746">
        <v>27.196652719665273</v>
      </c>
      <c r="AN48" s="746"/>
      <c r="AO48" s="746"/>
      <c r="AP48" s="746"/>
    </row>
    <row r="49" spans="2:42" ht="38.25" customHeight="1" x14ac:dyDescent="0.2">
      <c r="B49" s="1110"/>
      <c r="C49" s="1117"/>
      <c r="D49" s="574" t="s">
        <v>608</v>
      </c>
      <c r="E49" s="581" t="s">
        <v>560</v>
      </c>
      <c r="F49" s="581">
        <v>1</v>
      </c>
      <c r="G49" s="582" t="s">
        <v>521</v>
      </c>
      <c r="H49" s="582"/>
      <c r="I49" s="583">
        <v>65000</v>
      </c>
      <c r="J49" s="584">
        <f t="shared" si="3"/>
        <v>65000</v>
      </c>
      <c r="K49" s="579">
        <f>+J49/('[3]PECECITOS DE COLORES'!$J$5)</f>
        <v>2.2663877266387726</v>
      </c>
      <c r="M49" s="1110"/>
      <c r="N49" s="1117"/>
      <c r="O49" s="574" t="s">
        <v>609</v>
      </c>
      <c r="P49" s="581" t="s">
        <v>610</v>
      </c>
      <c r="Q49" s="581">
        <v>7</v>
      </c>
      <c r="R49" s="582" t="s">
        <v>532</v>
      </c>
      <c r="S49" s="583">
        <v>85114</v>
      </c>
      <c r="T49" s="584">
        <f t="shared" si="2"/>
        <v>595798</v>
      </c>
      <c r="U49" s="579"/>
      <c r="X49" s="1125"/>
      <c r="Y49" s="1124"/>
      <c r="Z49" s="736"/>
      <c r="AA49" s="737"/>
      <c r="AB49" s="737"/>
      <c r="AC49" s="738"/>
      <c r="AD49" s="739"/>
      <c r="AE49" s="734"/>
      <c r="AF49" s="733"/>
      <c r="AG49" s="718" t="s">
        <v>614</v>
      </c>
      <c r="AH49" s="748" t="s">
        <v>604</v>
      </c>
      <c r="AI49" s="746">
        <v>1</v>
      </c>
      <c r="AJ49" s="746" t="s">
        <v>517</v>
      </c>
      <c r="AK49" s="746">
        <v>330000</v>
      </c>
      <c r="AL49" s="746">
        <v>330000</v>
      </c>
      <c r="AM49" s="746">
        <v>11.506276150627615</v>
      </c>
      <c r="AN49" s="746"/>
      <c r="AO49" s="746"/>
      <c r="AP49" s="746"/>
    </row>
    <row r="50" spans="2:42" ht="22.5" x14ac:dyDescent="0.2">
      <c r="B50" s="1110"/>
      <c r="C50" s="1117"/>
      <c r="D50" s="574" t="s">
        <v>611</v>
      </c>
      <c r="E50" s="581" t="s">
        <v>560</v>
      </c>
      <c r="F50" s="581">
        <v>1</v>
      </c>
      <c r="G50" s="582" t="s">
        <v>521</v>
      </c>
      <c r="H50" s="582"/>
      <c r="I50" s="583">
        <v>90000</v>
      </c>
      <c r="J50" s="584">
        <f t="shared" si="3"/>
        <v>90000</v>
      </c>
      <c r="K50" s="579">
        <f>+J50/('[3]PECECITOS DE COLORES'!$J$5)</f>
        <v>3.1380753138075312</v>
      </c>
      <c r="M50" s="1110"/>
      <c r="N50" s="1117"/>
      <c r="O50" s="574" t="s">
        <v>612</v>
      </c>
      <c r="P50" s="581" t="s">
        <v>604</v>
      </c>
      <c r="Q50" s="581">
        <v>18</v>
      </c>
      <c r="R50" s="582" t="s">
        <v>532</v>
      </c>
      <c r="S50" s="583">
        <v>65000</v>
      </c>
      <c r="T50" s="584">
        <f t="shared" si="2"/>
        <v>1170000</v>
      </c>
      <c r="U50" s="579"/>
      <c r="X50" s="1125"/>
      <c r="Y50" s="1124"/>
      <c r="Z50" s="736"/>
      <c r="AA50" s="741"/>
      <c r="AB50" s="737"/>
      <c r="AC50" s="738"/>
      <c r="AD50" s="739"/>
      <c r="AE50" s="734"/>
      <c r="AF50" s="733"/>
      <c r="AG50" s="718" t="s">
        <v>615</v>
      </c>
      <c r="AH50" s="748" t="s">
        <v>604</v>
      </c>
      <c r="AI50" s="746">
        <v>1</v>
      </c>
      <c r="AJ50" s="746" t="s">
        <v>517</v>
      </c>
      <c r="AK50" s="746">
        <v>150000</v>
      </c>
      <c r="AL50" s="746">
        <v>150000</v>
      </c>
      <c r="AM50" s="746">
        <v>5.2301255230125525</v>
      </c>
      <c r="AN50" s="746"/>
      <c r="AO50" s="746"/>
      <c r="AP50" s="746"/>
    </row>
    <row r="51" spans="2:42" ht="33.75" x14ac:dyDescent="0.2">
      <c r="B51" s="1110"/>
      <c r="C51" s="1117"/>
      <c r="D51" s="574" t="s">
        <v>613</v>
      </c>
      <c r="E51" s="581" t="s">
        <v>560</v>
      </c>
      <c r="F51" s="581">
        <v>1</v>
      </c>
      <c r="G51" s="582" t="s">
        <v>521</v>
      </c>
      <c r="H51" s="582"/>
      <c r="I51" s="583">
        <v>70000</v>
      </c>
      <c r="J51" s="584">
        <f t="shared" si="3"/>
        <v>70000</v>
      </c>
      <c r="K51" s="579">
        <f>+J51/('[3]PECECITOS DE COLORES'!$J$5)</f>
        <v>2.4407252440725244</v>
      </c>
      <c r="M51" s="1110"/>
      <c r="N51" s="1117"/>
      <c r="O51" s="574" t="s">
        <v>614</v>
      </c>
      <c r="P51" s="581" t="s">
        <v>604</v>
      </c>
      <c r="Q51" s="581">
        <v>1</v>
      </c>
      <c r="R51" s="582" t="s">
        <v>532</v>
      </c>
      <c r="S51" s="583">
        <v>710450</v>
      </c>
      <c r="T51" s="584">
        <f t="shared" si="2"/>
        <v>710450</v>
      </c>
      <c r="U51" s="579"/>
      <c r="X51" s="1125"/>
      <c r="Y51" s="1124"/>
      <c r="Z51" s="736"/>
      <c r="AA51" s="741"/>
      <c r="AB51" s="737"/>
      <c r="AC51" s="738"/>
      <c r="AD51" s="739"/>
      <c r="AE51" s="734"/>
      <c r="AF51" s="733"/>
      <c r="AG51" s="718"/>
      <c r="AH51" s="748"/>
      <c r="AI51" s="746"/>
      <c r="AJ51" s="746"/>
      <c r="AK51" s="746"/>
      <c r="AL51" s="746">
        <v>0</v>
      </c>
      <c r="AM51" s="746">
        <v>0</v>
      </c>
      <c r="AN51" s="746"/>
      <c r="AO51" s="746"/>
      <c r="AP51" s="746"/>
    </row>
    <row r="52" spans="2:42" ht="12.75" customHeight="1" x14ac:dyDescent="0.2">
      <c r="B52" s="1110"/>
      <c r="C52" s="573" t="s">
        <v>599</v>
      </c>
      <c r="D52" s="574" t="s">
        <v>600</v>
      </c>
      <c r="E52" s="581" t="s">
        <v>560</v>
      </c>
      <c r="F52" s="581">
        <v>1</v>
      </c>
      <c r="G52" s="582" t="s">
        <v>521</v>
      </c>
      <c r="H52" s="582"/>
      <c r="I52" s="583">
        <v>250000</v>
      </c>
      <c r="J52" s="584">
        <f t="shared" si="3"/>
        <v>250000</v>
      </c>
      <c r="K52" s="579">
        <f>+J52/('[3]PECECITOS DE COLORES'!$J$5)</f>
        <v>8.7168758716875878</v>
      </c>
      <c r="M52" s="1110"/>
      <c r="N52" s="1117"/>
      <c r="O52" s="574" t="s">
        <v>615</v>
      </c>
      <c r="P52" s="581" t="s">
        <v>604</v>
      </c>
      <c r="Q52" s="581">
        <v>1</v>
      </c>
      <c r="R52" s="582" t="s">
        <v>532</v>
      </c>
      <c r="S52" s="583">
        <v>458700</v>
      </c>
      <c r="T52" s="584">
        <f t="shared" si="2"/>
        <v>458700</v>
      </c>
      <c r="U52" s="579"/>
      <c r="X52" s="1125"/>
      <c r="Y52" s="1124"/>
      <c r="Z52" s="736"/>
      <c r="AA52" s="741"/>
      <c r="AB52" s="737"/>
      <c r="AC52" s="738"/>
      <c r="AD52" s="739"/>
      <c r="AE52" s="734"/>
      <c r="AF52" s="733"/>
      <c r="AG52" s="718"/>
      <c r="AH52" s="748"/>
      <c r="AI52" s="746"/>
      <c r="AJ52" s="746"/>
      <c r="AK52" s="746"/>
      <c r="AL52" s="746"/>
      <c r="AM52" s="746"/>
      <c r="AN52" s="746"/>
      <c r="AO52" s="746"/>
      <c r="AP52" s="746"/>
    </row>
    <row r="53" spans="2:42" ht="22.5" customHeight="1" x14ac:dyDescent="0.2">
      <c r="B53" s="1110" t="s">
        <v>601</v>
      </c>
      <c r="C53" s="573"/>
      <c r="D53" s="574" t="s">
        <v>603</v>
      </c>
      <c r="E53" s="581" t="s">
        <v>604</v>
      </c>
      <c r="F53" s="581">
        <v>610</v>
      </c>
      <c r="G53" s="582" t="s">
        <v>544</v>
      </c>
      <c r="H53" s="582"/>
      <c r="I53" s="583">
        <f>+I26*4</f>
        <v>19456</v>
      </c>
      <c r="J53" s="584">
        <f t="shared" si="3"/>
        <v>11868160</v>
      </c>
      <c r="K53" s="579"/>
      <c r="M53" s="1110"/>
      <c r="N53" s="1117"/>
      <c r="O53" s="574" t="s">
        <v>616</v>
      </c>
      <c r="P53" s="581" t="s">
        <v>604</v>
      </c>
      <c r="Q53" s="581">
        <v>1</v>
      </c>
      <c r="R53" s="582" t="s">
        <v>532</v>
      </c>
      <c r="S53" s="583">
        <v>124500</v>
      </c>
      <c r="T53" s="584">
        <f t="shared" si="2"/>
        <v>124500</v>
      </c>
      <c r="U53" s="579"/>
      <c r="X53" s="1125"/>
      <c r="Y53" s="1124"/>
      <c r="Z53" s="736"/>
      <c r="AA53" s="741"/>
      <c r="AB53" s="737"/>
      <c r="AC53" s="738"/>
      <c r="AD53" s="739"/>
      <c r="AE53" s="734"/>
      <c r="AF53" s="733"/>
      <c r="AG53" s="718"/>
      <c r="AH53" s="748"/>
      <c r="AI53" s="746"/>
      <c r="AJ53" s="746"/>
      <c r="AK53" s="746"/>
      <c r="AL53" s="746"/>
      <c r="AM53" s="746"/>
      <c r="AN53" s="746"/>
      <c r="AO53" s="746"/>
      <c r="AP53" s="746"/>
    </row>
    <row r="54" spans="2:42" ht="22.5" x14ac:dyDescent="0.2">
      <c r="B54" s="1110"/>
      <c r="C54" s="573"/>
      <c r="D54" s="574" t="s">
        <v>605</v>
      </c>
      <c r="E54" s="581" t="s">
        <v>604</v>
      </c>
      <c r="F54" s="581">
        <v>1</v>
      </c>
      <c r="G54" s="582" t="s">
        <v>544</v>
      </c>
      <c r="H54" s="582"/>
      <c r="I54" s="583">
        <v>26435</v>
      </c>
      <c r="J54" s="584">
        <f t="shared" si="3"/>
        <v>26435</v>
      </c>
      <c r="K54" s="579"/>
      <c r="T54" s="581" t="s">
        <v>617</v>
      </c>
      <c r="U54" s="612">
        <f>SUM(U13:U53)</f>
        <v>255.8034867503487</v>
      </c>
      <c r="X54" s="1125"/>
      <c r="Y54" s="1124"/>
      <c r="Z54" s="736"/>
      <c r="AA54" s="741"/>
      <c r="AB54" s="737"/>
      <c r="AC54" s="738"/>
      <c r="AD54" s="739"/>
      <c r="AE54" s="734"/>
      <c r="AF54" s="733"/>
      <c r="AG54" s="718"/>
      <c r="AH54" s="748" t="s">
        <v>804</v>
      </c>
      <c r="AI54" s="746"/>
      <c r="AJ54" s="746"/>
      <c r="AK54" s="746"/>
      <c r="AL54" s="746"/>
      <c r="AM54" s="746"/>
      <c r="AN54" s="746">
        <v>55.195327754532784</v>
      </c>
      <c r="AO54" s="746">
        <v>36.555230125523011</v>
      </c>
      <c r="AP54" s="746">
        <v>19.208647140864713</v>
      </c>
    </row>
    <row r="55" spans="2:42" ht="33.75" x14ac:dyDescent="0.2">
      <c r="B55" s="1110"/>
      <c r="C55" s="573"/>
      <c r="D55" s="574" t="s">
        <v>606</v>
      </c>
      <c r="E55" s="581" t="s">
        <v>604</v>
      </c>
      <c r="F55" s="581">
        <v>1</v>
      </c>
      <c r="G55" s="582" t="s">
        <v>607</v>
      </c>
      <c r="H55" s="582"/>
      <c r="I55" s="583">
        <v>120000</v>
      </c>
      <c r="J55" s="584">
        <f t="shared" si="3"/>
        <v>120000</v>
      </c>
      <c r="K55" s="579"/>
      <c r="T55" s="613">
        <v>30000</v>
      </c>
      <c r="U55" s="614"/>
      <c r="X55" s="1125"/>
      <c r="Y55" s="1124"/>
      <c r="Z55" s="736"/>
      <c r="AA55" s="741"/>
      <c r="AB55" s="737"/>
      <c r="AC55" s="738"/>
      <c r="AD55" s="739"/>
      <c r="AE55" s="734"/>
      <c r="AF55" s="733"/>
      <c r="AG55" s="718"/>
      <c r="AH55" s="748" t="s">
        <v>805</v>
      </c>
      <c r="AI55" s="746"/>
      <c r="AJ55" s="746"/>
      <c r="AK55" s="746"/>
      <c r="AL55" s="746"/>
      <c r="AM55" s="746"/>
      <c r="AN55" s="746">
        <v>1583002.0000000002</v>
      </c>
      <c r="AO55" s="746">
        <v>1048404</v>
      </c>
      <c r="AP55" s="746">
        <v>550904</v>
      </c>
    </row>
    <row r="56" spans="2:42" ht="22.5" x14ac:dyDescent="0.2">
      <c r="B56" s="1110"/>
      <c r="C56" s="573"/>
      <c r="D56" s="574" t="s">
        <v>609</v>
      </c>
      <c r="E56" s="581" t="s">
        <v>610</v>
      </c>
      <c r="F56" s="581">
        <v>25</v>
      </c>
      <c r="G56" s="582" t="s">
        <v>532</v>
      </c>
      <c r="H56" s="582"/>
      <c r="I56" s="583">
        <v>85114</v>
      </c>
      <c r="J56" s="584">
        <f t="shared" si="3"/>
        <v>2127850</v>
      </c>
      <c r="K56" s="579"/>
      <c r="X56" s="1125"/>
      <c r="Y56" s="1124"/>
      <c r="Z56" s="736"/>
      <c r="AA56" s="741"/>
      <c r="AB56" s="737"/>
      <c r="AC56" s="738"/>
      <c r="AD56" s="739"/>
      <c r="AE56" s="742"/>
      <c r="AF56" s="740"/>
      <c r="AG56" s="720"/>
      <c r="AH56" s="728"/>
    </row>
    <row r="57" spans="2:42" ht="33.75" customHeight="1" x14ac:dyDescent="0.2">
      <c r="B57" s="1110"/>
      <c r="C57" s="573"/>
      <c r="D57" s="574" t="s">
        <v>612</v>
      </c>
      <c r="E57" s="581" t="s">
        <v>604</v>
      </c>
      <c r="F57" s="581">
        <v>1</v>
      </c>
      <c r="G57" s="582" t="s">
        <v>532</v>
      </c>
      <c r="H57" s="582"/>
      <c r="I57" s="583">
        <v>65000</v>
      </c>
      <c r="J57" s="584">
        <f t="shared" si="3"/>
        <v>65000</v>
      </c>
      <c r="K57" s="579"/>
      <c r="X57" s="1125"/>
      <c r="Y57" s="1124"/>
      <c r="Z57" s="736"/>
      <c r="AA57" s="741"/>
      <c r="AB57" s="737"/>
      <c r="AC57" s="738"/>
      <c r="AD57" s="739"/>
      <c r="AE57" s="742"/>
      <c r="AF57" s="740"/>
      <c r="AG57" s="720"/>
      <c r="AH57" s="728"/>
    </row>
    <row r="58" spans="2:42" ht="22.5" x14ac:dyDescent="0.2">
      <c r="B58" s="1110"/>
      <c r="C58" s="573"/>
      <c r="D58" s="574" t="s">
        <v>614</v>
      </c>
      <c r="E58" s="581" t="s">
        <v>604</v>
      </c>
      <c r="F58" s="581">
        <v>1</v>
      </c>
      <c r="G58" s="582" t="s">
        <v>532</v>
      </c>
      <c r="H58" s="582"/>
      <c r="I58" s="583">
        <v>710450</v>
      </c>
      <c r="J58" s="584">
        <f t="shared" si="3"/>
        <v>710450</v>
      </c>
      <c r="K58" s="579"/>
      <c r="X58" s="1125"/>
      <c r="Y58" s="1124"/>
      <c r="Z58" s="736"/>
      <c r="AA58" s="741"/>
      <c r="AB58" s="737"/>
      <c r="AC58" s="738"/>
      <c r="AD58" s="739"/>
      <c r="AE58" s="742"/>
      <c r="AF58" s="740"/>
      <c r="AG58" s="720"/>
      <c r="AH58" s="728"/>
    </row>
    <row r="59" spans="2:42" ht="22.5" x14ac:dyDescent="0.2">
      <c r="B59" s="1110"/>
      <c r="C59" s="573"/>
      <c r="D59" s="574" t="s">
        <v>615</v>
      </c>
      <c r="E59" s="581" t="s">
        <v>604</v>
      </c>
      <c r="F59" s="581">
        <v>1</v>
      </c>
      <c r="G59" s="582" t="s">
        <v>532</v>
      </c>
      <c r="H59" s="582"/>
      <c r="I59" s="583">
        <v>458700</v>
      </c>
      <c r="J59" s="584">
        <f t="shared" si="3"/>
        <v>458700</v>
      </c>
      <c r="K59" s="579"/>
      <c r="X59" s="1125"/>
      <c r="Y59" s="1124"/>
      <c r="Z59" s="736"/>
      <c r="AA59" s="741"/>
      <c r="AB59" s="737"/>
      <c r="AC59" s="738"/>
      <c r="AD59" s="739"/>
      <c r="AE59" s="742"/>
      <c r="AF59" s="740"/>
      <c r="AG59" s="720"/>
      <c r="AH59" s="728"/>
    </row>
    <row r="60" spans="2:42" ht="22.5" x14ac:dyDescent="0.2">
      <c r="B60" s="1110"/>
      <c r="C60" s="573"/>
      <c r="D60" s="574" t="s">
        <v>616</v>
      </c>
      <c r="E60" s="581" t="s">
        <v>604</v>
      </c>
      <c r="F60" s="581">
        <v>1</v>
      </c>
      <c r="G60" s="582" t="s">
        <v>532</v>
      </c>
      <c r="H60" s="582"/>
      <c r="I60" s="583">
        <v>124500</v>
      </c>
      <c r="J60" s="584">
        <f t="shared" si="3"/>
        <v>124500</v>
      </c>
      <c r="K60" s="579"/>
      <c r="X60" s="1125"/>
      <c r="Y60" s="1124"/>
      <c r="Z60" s="736"/>
      <c r="AA60" s="741"/>
      <c r="AB60" s="737"/>
      <c r="AC60" s="738"/>
      <c r="AD60" s="739"/>
      <c r="AE60" s="742"/>
      <c r="AF60" s="740"/>
      <c r="AG60" s="720"/>
      <c r="AH60" s="728"/>
    </row>
    <row r="61" spans="2:42" ht="33.75" x14ac:dyDescent="0.2">
      <c r="B61" s="1110"/>
      <c r="C61" s="573"/>
      <c r="D61" s="574" t="s">
        <v>618</v>
      </c>
      <c r="E61" s="581" t="s">
        <v>604</v>
      </c>
      <c r="F61" s="581">
        <v>140</v>
      </c>
      <c r="G61" s="582" t="s">
        <v>619</v>
      </c>
      <c r="H61" s="582"/>
      <c r="I61" s="583">
        <v>26642</v>
      </c>
      <c r="J61" s="584">
        <f t="shared" si="3"/>
        <v>3729880</v>
      </c>
      <c r="K61" s="579"/>
      <c r="X61" s="1125"/>
      <c r="Y61" s="1124"/>
      <c r="Z61" s="736"/>
      <c r="AA61" s="741"/>
      <c r="AB61" s="737"/>
      <c r="AC61" s="738"/>
      <c r="AD61" s="739"/>
      <c r="AE61" s="742"/>
      <c r="AF61" s="740"/>
      <c r="AG61" s="720"/>
      <c r="AH61" s="728"/>
    </row>
    <row r="62" spans="2:42" ht="12.75" customHeight="1" x14ac:dyDescent="0.2">
      <c r="B62" s="1110"/>
      <c r="C62" s="573"/>
      <c r="D62" s="574"/>
      <c r="E62" s="581"/>
      <c r="F62" s="581"/>
      <c r="G62" s="582"/>
      <c r="H62" s="582"/>
      <c r="I62" s="583"/>
      <c r="J62" s="584"/>
      <c r="K62" s="579"/>
      <c r="X62" s="1125"/>
      <c r="Y62" s="1124"/>
      <c r="Z62" s="736"/>
      <c r="AA62" s="741"/>
      <c r="AB62" s="737"/>
      <c r="AC62" s="738"/>
      <c r="AD62" s="739"/>
      <c r="AE62" s="742"/>
      <c r="AF62" s="740"/>
      <c r="AG62" s="720"/>
      <c r="AH62" s="728"/>
    </row>
    <row r="63" spans="2:42" ht="12.75" customHeight="1" x14ac:dyDescent="0.2">
      <c r="B63" s="615"/>
      <c r="C63" s="615"/>
      <c r="D63" s="615"/>
      <c r="E63" s="615"/>
      <c r="F63" s="615"/>
      <c r="G63" s="615"/>
      <c r="H63" s="615"/>
      <c r="I63" s="615"/>
      <c r="J63" s="581" t="s">
        <v>617</v>
      </c>
      <c r="K63" s="612">
        <f>SUM(K13:K62)</f>
        <v>182.64644351464437</v>
      </c>
      <c r="X63" s="1125"/>
      <c r="Y63" s="1124"/>
      <c r="Z63" s="736"/>
      <c r="AA63" s="741"/>
      <c r="AB63" s="737"/>
      <c r="AC63" s="738"/>
      <c r="AD63" s="739"/>
      <c r="AE63" s="742"/>
      <c r="AF63" s="740"/>
      <c r="AG63" s="720"/>
      <c r="AH63" s="728"/>
    </row>
    <row r="64" spans="2:42" ht="12.75" customHeight="1" x14ac:dyDescent="0.2">
      <c r="B64" s="615"/>
      <c r="C64" s="615"/>
      <c r="D64" s="615"/>
      <c r="E64" s="615"/>
      <c r="F64" s="615"/>
      <c r="G64" s="615"/>
      <c r="H64" s="615"/>
      <c r="I64" s="615"/>
      <c r="J64" s="613">
        <v>30000</v>
      </c>
      <c r="K64" s="616">
        <f>J64*K63</f>
        <v>5479393.3054393316</v>
      </c>
      <c r="X64" s="1125"/>
      <c r="Y64" s="1124"/>
      <c r="Z64" s="736"/>
      <c r="AA64" s="741"/>
      <c r="AB64" s="737"/>
      <c r="AC64" s="738"/>
      <c r="AD64" s="739"/>
      <c r="AE64" s="742"/>
      <c r="AF64" s="740"/>
      <c r="AG64" s="720"/>
      <c r="AH64" s="728"/>
    </row>
    <row r="65" spans="1:34" x14ac:dyDescent="0.2">
      <c r="B65" s="615"/>
      <c r="C65" s="615"/>
      <c r="D65" s="615"/>
      <c r="E65" s="615"/>
      <c r="F65" s="615"/>
      <c r="G65" s="615"/>
      <c r="H65" s="615"/>
      <c r="I65" s="615"/>
      <c r="J65" s="615"/>
      <c r="K65" s="615"/>
      <c r="X65" s="1125"/>
      <c r="Y65" s="735"/>
      <c r="Z65" s="736"/>
      <c r="AA65" s="741"/>
      <c r="AB65" s="737"/>
      <c r="AC65" s="738"/>
      <c r="AD65" s="739"/>
      <c r="AE65" s="742"/>
      <c r="AF65" s="740"/>
      <c r="AG65" s="720"/>
      <c r="AH65" s="728"/>
    </row>
    <row r="66" spans="1:34" x14ac:dyDescent="0.2">
      <c r="X66" s="1125"/>
      <c r="Y66" s="1124"/>
      <c r="Z66" s="736"/>
      <c r="AA66" s="741"/>
      <c r="AB66" s="737"/>
      <c r="AC66" s="738"/>
      <c r="AD66" s="739"/>
      <c r="AE66" s="742"/>
      <c r="AF66" s="740"/>
      <c r="AG66" s="720"/>
      <c r="AH66" s="728"/>
    </row>
    <row r="67" spans="1:34" x14ac:dyDescent="0.2">
      <c r="X67" s="1125"/>
      <c r="Y67" s="1124"/>
      <c r="Z67" s="736"/>
      <c r="AA67" s="741"/>
      <c r="AB67" s="737"/>
      <c r="AC67" s="738"/>
      <c r="AD67" s="739"/>
      <c r="AE67" s="742"/>
      <c r="AF67" s="740"/>
      <c r="AG67" s="720"/>
      <c r="AH67" s="728"/>
    </row>
    <row r="68" spans="1:34" ht="15.75" x14ac:dyDescent="0.25">
      <c r="A68" s="566" t="s">
        <v>620</v>
      </c>
      <c r="B68" s="566"/>
      <c r="M68" s="566" t="s">
        <v>621</v>
      </c>
      <c r="N68" s="566"/>
      <c r="O68" s="617"/>
      <c r="X68" s="1125"/>
      <c r="Y68" s="1124"/>
      <c r="Z68" s="736"/>
      <c r="AA68" s="741"/>
      <c r="AB68" s="737"/>
      <c r="AC68" s="738"/>
      <c r="AD68" s="739"/>
      <c r="AE68" s="742"/>
      <c r="AF68" s="740"/>
      <c r="AG68" s="720"/>
      <c r="AH68" s="728"/>
    </row>
    <row r="69" spans="1:34" x14ac:dyDescent="0.2">
      <c r="X69" s="1125"/>
      <c r="Y69" s="1124"/>
      <c r="Z69" s="736"/>
      <c r="AA69" s="741"/>
      <c r="AB69" s="737"/>
      <c r="AC69" s="738"/>
      <c r="AD69" s="739"/>
      <c r="AE69" s="742"/>
      <c r="AF69" s="740"/>
      <c r="AG69" s="720"/>
      <c r="AH69" s="728"/>
    </row>
    <row r="70" spans="1:34" ht="22.5" x14ac:dyDescent="0.2">
      <c r="B70" s="567" t="s">
        <v>499</v>
      </c>
      <c r="C70" s="568" t="s">
        <v>500</v>
      </c>
      <c r="D70" s="567" t="s">
        <v>501</v>
      </c>
      <c r="E70" s="569" t="s">
        <v>502</v>
      </c>
      <c r="F70" s="570" t="s">
        <v>503</v>
      </c>
      <c r="G70" s="570" t="s">
        <v>504</v>
      </c>
      <c r="H70" s="570"/>
      <c r="I70" s="571" t="s">
        <v>505</v>
      </c>
      <c r="J70" s="571" t="s">
        <v>506</v>
      </c>
      <c r="K70" s="570" t="s">
        <v>507</v>
      </c>
      <c r="M70" s="567" t="s">
        <v>499</v>
      </c>
      <c r="N70" s="568" t="s">
        <v>500</v>
      </c>
      <c r="O70" s="567" t="s">
        <v>501</v>
      </c>
      <c r="P70" s="569" t="s">
        <v>502</v>
      </c>
      <c r="Q70" s="570" t="s">
        <v>503</v>
      </c>
      <c r="R70" s="570" t="s">
        <v>504</v>
      </c>
      <c r="S70" s="571" t="s">
        <v>505</v>
      </c>
      <c r="T70" s="571" t="s">
        <v>506</v>
      </c>
      <c r="U70" s="570" t="s">
        <v>507</v>
      </c>
      <c r="X70" s="1125"/>
      <c r="Y70" s="1124"/>
      <c r="Z70" s="736"/>
      <c r="AA70" s="737"/>
      <c r="AB70" s="737"/>
      <c r="AC70" s="738"/>
      <c r="AD70" s="739"/>
      <c r="AE70" s="742"/>
      <c r="AF70" s="740"/>
      <c r="AG70" s="720"/>
      <c r="AH70" s="728"/>
    </row>
    <row r="71" spans="1:34" ht="45" customHeight="1" x14ac:dyDescent="0.2">
      <c r="B71" s="1110" t="s">
        <v>509</v>
      </c>
      <c r="C71" s="573" t="s">
        <v>510</v>
      </c>
      <c r="D71" s="574" t="s">
        <v>511</v>
      </c>
      <c r="E71" s="575" t="s">
        <v>512</v>
      </c>
      <c r="F71" s="575">
        <v>15</v>
      </c>
      <c r="G71" s="576" t="s">
        <v>513</v>
      </c>
      <c r="H71" s="576"/>
      <c r="I71" s="577">
        <v>1400</v>
      </c>
      <c r="J71" s="578">
        <f t="shared" ref="J71:J112" si="4">+I71*F71</f>
        <v>21000</v>
      </c>
      <c r="K71" s="579">
        <f>+J71/('[3]PECECITOS DE COLORES'!$J$5)</f>
        <v>0.73221757322175729</v>
      </c>
      <c r="M71" s="1110" t="s">
        <v>509</v>
      </c>
      <c r="N71" s="573" t="s">
        <v>510</v>
      </c>
      <c r="O71" s="574" t="s">
        <v>511</v>
      </c>
      <c r="P71" s="581" t="s">
        <v>512</v>
      </c>
      <c r="Q71" s="581">
        <v>55</v>
      </c>
      <c r="R71" s="582" t="s">
        <v>513</v>
      </c>
      <c r="S71" s="583">
        <v>1400</v>
      </c>
      <c r="T71" s="584">
        <f t="shared" ref="T71:T102" si="5">+S71*Q71</f>
        <v>77000</v>
      </c>
      <c r="U71" s="579">
        <f>+T71/('[3]PECECITOS DE COLORES'!$J$5)</f>
        <v>2.6847977684797768</v>
      </c>
      <c r="X71" s="1125"/>
      <c r="Y71" s="1124"/>
      <c r="Z71" s="736"/>
      <c r="AA71" s="737"/>
      <c r="AB71" s="737"/>
      <c r="AC71" s="738"/>
      <c r="AD71" s="739"/>
      <c r="AE71" s="742"/>
      <c r="AF71" s="740"/>
      <c r="AG71" s="720"/>
      <c r="AH71" s="728"/>
    </row>
    <row r="72" spans="1:34" ht="33.75" customHeight="1" x14ac:dyDescent="0.2">
      <c r="B72" s="1110"/>
      <c r="C72" s="1117" t="s">
        <v>515</v>
      </c>
      <c r="D72" s="574" t="s">
        <v>516</v>
      </c>
      <c r="E72" s="581" t="s">
        <v>512</v>
      </c>
      <c r="F72" s="581">
        <v>4</v>
      </c>
      <c r="G72" s="582" t="s">
        <v>517</v>
      </c>
      <c r="H72" s="582"/>
      <c r="I72" s="583">
        <v>5000</v>
      </c>
      <c r="J72" s="584">
        <f t="shared" si="4"/>
        <v>20000</v>
      </c>
      <c r="K72" s="579">
        <f>+J72/('[3]PECECITOS DE COLORES'!$J$5)</f>
        <v>0.69735006973500702</v>
      </c>
      <c r="M72" s="1110"/>
      <c r="N72" s="1117" t="s">
        <v>515</v>
      </c>
      <c r="O72" s="574" t="s">
        <v>516</v>
      </c>
      <c r="P72" s="581" t="s">
        <v>512</v>
      </c>
      <c r="Q72" s="581">
        <v>31</v>
      </c>
      <c r="R72" s="582" t="s">
        <v>517</v>
      </c>
      <c r="S72" s="583">
        <v>5000</v>
      </c>
      <c r="T72" s="584">
        <f t="shared" si="5"/>
        <v>155000</v>
      </c>
      <c r="U72" s="579">
        <f>+T72/('[3]PECECITOS DE COLORES'!$J$5)</f>
        <v>5.4044630404463039</v>
      </c>
      <c r="X72" s="1125"/>
      <c r="Y72" s="1124"/>
      <c r="Z72" s="736"/>
      <c r="AA72" s="737"/>
      <c r="AB72" s="737"/>
      <c r="AC72" s="738"/>
      <c r="AD72" s="739"/>
      <c r="AE72" s="742"/>
      <c r="AF72" s="740"/>
      <c r="AG72" s="720"/>
      <c r="AH72" s="728"/>
    </row>
    <row r="73" spans="1:34" ht="67.5" x14ac:dyDescent="0.2">
      <c r="B73" s="1110"/>
      <c r="C73" s="1117"/>
      <c r="D73" s="574" t="s">
        <v>518</v>
      </c>
      <c r="E73" s="581" t="s">
        <v>512</v>
      </c>
      <c r="F73" s="581">
        <v>10</v>
      </c>
      <c r="G73" s="582" t="s">
        <v>517</v>
      </c>
      <c r="H73" s="582"/>
      <c r="I73" s="583">
        <v>5100</v>
      </c>
      <c r="J73" s="584">
        <f t="shared" si="4"/>
        <v>51000</v>
      </c>
      <c r="K73" s="579">
        <f>+J73/('[3]PECECITOS DE COLORES'!$J$5)</f>
        <v>1.7782426778242677</v>
      </c>
      <c r="M73" s="1110"/>
      <c r="N73" s="1117"/>
      <c r="O73" s="574" t="s">
        <v>518</v>
      </c>
      <c r="P73" s="581" t="s">
        <v>512</v>
      </c>
      <c r="Q73" s="581">
        <v>31</v>
      </c>
      <c r="R73" s="582" t="s">
        <v>517</v>
      </c>
      <c r="S73" s="583">
        <v>5100</v>
      </c>
      <c r="T73" s="584">
        <f t="shared" si="5"/>
        <v>158100</v>
      </c>
      <c r="U73" s="579">
        <f>+T73/('[3]PECECITOS DE COLORES'!$J$5)</f>
        <v>5.51255230125523</v>
      </c>
      <c r="X73" s="1125"/>
      <c r="Y73" s="1124"/>
      <c r="Z73" s="736"/>
      <c r="AA73" s="737"/>
      <c r="AB73" s="737"/>
      <c r="AC73" s="738"/>
      <c r="AD73" s="739"/>
      <c r="AE73" s="742"/>
      <c r="AF73" s="740"/>
      <c r="AG73" s="720"/>
      <c r="AH73" s="728"/>
    </row>
    <row r="74" spans="1:34" ht="22.5" x14ac:dyDescent="0.2">
      <c r="B74" s="1110"/>
      <c r="C74" s="1117"/>
      <c r="D74" s="574" t="s">
        <v>520</v>
      </c>
      <c r="E74" s="581" t="s">
        <v>512</v>
      </c>
      <c r="F74" s="581">
        <v>1</v>
      </c>
      <c r="G74" s="582" t="s">
        <v>521</v>
      </c>
      <c r="H74" s="582"/>
      <c r="I74" s="583">
        <v>20000</v>
      </c>
      <c r="J74" s="584">
        <f t="shared" si="4"/>
        <v>20000</v>
      </c>
      <c r="K74" s="579">
        <f>+J74/('[3]PECECITOS DE COLORES'!$J$5)</f>
        <v>0.69735006973500702</v>
      </c>
      <c r="M74" s="1110"/>
      <c r="N74" s="1117"/>
      <c r="O74" s="574" t="s">
        <v>520</v>
      </c>
      <c r="P74" s="581" t="s">
        <v>512</v>
      </c>
      <c r="Q74" s="581">
        <v>1</v>
      </c>
      <c r="R74" s="582" t="s">
        <v>521</v>
      </c>
      <c r="S74" s="583">
        <v>10000</v>
      </c>
      <c r="T74" s="584">
        <f t="shared" si="5"/>
        <v>10000</v>
      </c>
      <c r="U74" s="579">
        <f>+T74/('[3]PECECITOS DE COLORES'!$J$5)</f>
        <v>0.34867503486750351</v>
      </c>
      <c r="X74" s="1125"/>
      <c r="Y74" s="735"/>
      <c r="Z74" s="736"/>
      <c r="AA74" s="737"/>
      <c r="AB74" s="737"/>
      <c r="AC74" s="738"/>
      <c r="AD74" s="739"/>
      <c r="AE74" s="742"/>
      <c r="AF74" s="740"/>
      <c r="AG74" s="720"/>
      <c r="AH74" s="728"/>
    </row>
    <row r="75" spans="1:34" ht="12.75" customHeight="1" x14ac:dyDescent="0.2">
      <c r="B75" s="1110"/>
      <c r="C75" s="1117" t="s">
        <v>527</v>
      </c>
      <c r="D75" s="574" t="s">
        <v>528</v>
      </c>
      <c r="E75" s="581" t="s">
        <v>512</v>
      </c>
      <c r="F75" s="581">
        <v>1</v>
      </c>
      <c r="G75" s="582" t="s">
        <v>521</v>
      </c>
      <c r="H75" s="582"/>
      <c r="I75" s="583">
        <v>25000</v>
      </c>
      <c r="J75" s="584">
        <f t="shared" si="4"/>
        <v>25000</v>
      </c>
      <c r="K75" s="579">
        <f>+J75/('[3]PECECITOS DE COLORES'!$J$5)</f>
        <v>0.87168758716875872</v>
      </c>
      <c r="M75" s="1110"/>
      <c r="N75" s="1117" t="s">
        <v>527</v>
      </c>
      <c r="O75" s="574" t="s">
        <v>528</v>
      </c>
      <c r="P75" s="581" t="s">
        <v>512</v>
      </c>
      <c r="Q75" s="581">
        <v>1</v>
      </c>
      <c r="R75" s="582" t="s">
        <v>521</v>
      </c>
      <c r="S75" s="583">
        <v>25000</v>
      </c>
      <c r="T75" s="584">
        <f t="shared" si="5"/>
        <v>25000</v>
      </c>
      <c r="U75" s="579">
        <f>+T75/('[3]PECECITOS DE COLORES'!$J$5)</f>
        <v>0.87168758716875872</v>
      </c>
      <c r="X75" s="1125"/>
      <c r="Y75" s="735"/>
      <c r="Z75" s="736"/>
      <c r="AA75" s="737"/>
      <c r="AB75" s="737"/>
      <c r="AC75" s="738"/>
      <c r="AD75" s="739"/>
      <c r="AE75" s="742"/>
      <c r="AF75" s="740"/>
      <c r="AG75" s="720"/>
      <c r="AH75" s="728"/>
    </row>
    <row r="76" spans="1:34" ht="33.75" x14ac:dyDescent="0.2">
      <c r="B76" s="1110"/>
      <c r="C76" s="1117"/>
      <c r="D76" s="574" t="s">
        <v>531</v>
      </c>
      <c r="E76" s="581" t="s">
        <v>512</v>
      </c>
      <c r="F76" s="581">
        <v>1</v>
      </c>
      <c r="G76" s="582" t="s">
        <v>521</v>
      </c>
      <c r="H76" s="582"/>
      <c r="I76" s="583">
        <v>65000</v>
      </c>
      <c r="J76" s="584">
        <f t="shared" si="4"/>
        <v>65000</v>
      </c>
      <c r="K76" s="579">
        <f>+J76/('[3]PECECITOS DE COLORES'!$J$5)</f>
        <v>2.2663877266387726</v>
      </c>
      <c r="M76" s="1110"/>
      <c r="N76" s="1117"/>
      <c r="O76" s="574" t="s">
        <v>531</v>
      </c>
      <c r="P76" s="581" t="s">
        <v>512</v>
      </c>
      <c r="Q76" s="581">
        <v>1</v>
      </c>
      <c r="R76" s="582" t="s">
        <v>521</v>
      </c>
      <c r="S76" s="583">
        <v>65000</v>
      </c>
      <c r="T76" s="584">
        <f t="shared" si="5"/>
        <v>65000</v>
      </c>
      <c r="U76" s="579">
        <f>+T76/('[3]PECECITOS DE COLORES'!$J$5)</f>
        <v>2.2663877266387726</v>
      </c>
      <c r="X76" s="1125"/>
      <c r="Y76" s="735"/>
      <c r="Z76" s="736"/>
      <c r="AA76" s="737"/>
      <c r="AB76" s="737"/>
      <c r="AC76" s="738"/>
      <c r="AD76" s="739"/>
      <c r="AE76" s="742"/>
      <c r="AF76" s="740"/>
      <c r="AG76" s="720"/>
      <c r="AH76" s="728"/>
    </row>
    <row r="77" spans="1:34" ht="22.5" x14ac:dyDescent="0.2">
      <c r="B77" s="1110"/>
      <c r="C77" s="573" t="s">
        <v>538</v>
      </c>
      <c r="D77" s="574" t="s">
        <v>539</v>
      </c>
      <c r="E77" s="581" t="s">
        <v>512</v>
      </c>
      <c r="F77" s="581">
        <v>1</v>
      </c>
      <c r="G77" s="582" t="s">
        <v>521</v>
      </c>
      <c r="H77" s="582"/>
      <c r="I77" s="583">
        <v>65000</v>
      </c>
      <c r="J77" s="584">
        <f t="shared" si="4"/>
        <v>65000</v>
      </c>
      <c r="K77" s="579">
        <f>+J77/('[3]PECECITOS DE COLORES'!$J$5)</f>
        <v>2.2663877266387726</v>
      </c>
      <c r="M77" s="1110"/>
      <c r="N77" s="573" t="s">
        <v>538</v>
      </c>
      <c r="O77" s="574" t="s">
        <v>539</v>
      </c>
      <c r="P77" s="581" t="s">
        <v>512</v>
      </c>
      <c r="Q77" s="581">
        <v>1</v>
      </c>
      <c r="R77" s="582" t="s">
        <v>521</v>
      </c>
      <c r="S77" s="583">
        <v>75000</v>
      </c>
      <c r="T77" s="584">
        <f t="shared" si="5"/>
        <v>75000</v>
      </c>
      <c r="U77" s="579">
        <f>+T77/('[3]PECECITOS DE COLORES'!$J$5)</f>
        <v>2.6150627615062763</v>
      </c>
      <c r="X77" s="1125"/>
      <c r="Y77" s="735"/>
      <c r="Z77" s="736"/>
      <c r="AA77" s="737"/>
      <c r="AB77" s="737"/>
      <c r="AC77" s="738"/>
      <c r="AD77" s="739"/>
      <c r="AE77" s="742"/>
      <c r="AF77" s="740"/>
      <c r="AG77" s="720"/>
      <c r="AH77" s="728"/>
    </row>
    <row r="78" spans="1:34" ht="22.5" customHeight="1" x14ac:dyDescent="0.2">
      <c r="B78" s="1116"/>
      <c r="C78" s="1117"/>
      <c r="D78" s="574" t="s">
        <v>545</v>
      </c>
      <c r="E78" s="593">
        <v>5</v>
      </c>
      <c r="F78" s="581">
        <v>1</v>
      </c>
      <c r="G78" s="582" t="s">
        <v>521</v>
      </c>
      <c r="H78" s="582"/>
      <c r="I78" s="583">
        <v>159000</v>
      </c>
      <c r="J78" s="584">
        <f t="shared" si="4"/>
        <v>159000</v>
      </c>
      <c r="K78" s="579"/>
      <c r="M78" s="1110" t="s">
        <v>541</v>
      </c>
      <c r="N78" s="1117" t="s">
        <v>542</v>
      </c>
      <c r="O78" s="574" t="s">
        <v>543</v>
      </c>
      <c r="P78" s="593">
        <v>5</v>
      </c>
      <c r="Q78" s="581">
        <v>140</v>
      </c>
      <c r="R78" s="582" t="s">
        <v>544</v>
      </c>
      <c r="S78" s="583">
        <v>5328.4</v>
      </c>
      <c r="T78" s="584">
        <f t="shared" si="5"/>
        <v>745976</v>
      </c>
      <c r="U78" s="579"/>
      <c r="X78" s="1125"/>
      <c r="Y78" s="735"/>
      <c r="Z78" s="736"/>
      <c r="AA78" s="737"/>
      <c r="AB78" s="737"/>
      <c r="AC78" s="738"/>
      <c r="AD78" s="739"/>
      <c r="AE78" s="742"/>
      <c r="AF78" s="740"/>
      <c r="AG78" s="720"/>
      <c r="AH78" s="728"/>
    </row>
    <row r="79" spans="1:34" ht="22.5" x14ac:dyDescent="0.2">
      <c r="B79" s="1116"/>
      <c r="C79" s="1117"/>
      <c r="D79" s="574" t="s">
        <v>550</v>
      </c>
      <c r="E79" s="593">
        <v>5</v>
      </c>
      <c r="F79" s="581">
        <v>15</v>
      </c>
      <c r="G79" s="582" t="s">
        <v>544</v>
      </c>
      <c r="H79" s="582"/>
      <c r="I79" s="583">
        <v>20120</v>
      </c>
      <c r="J79" s="584">
        <f t="shared" si="4"/>
        <v>301800</v>
      </c>
      <c r="K79" s="579"/>
      <c r="M79" s="1110"/>
      <c r="N79" s="1117"/>
      <c r="O79" s="574" t="s">
        <v>549</v>
      </c>
      <c r="P79" s="593">
        <v>5</v>
      </c>
      <c r="Q79" s="581">
        <v>90</v>
      </c>
      <c r="R79" s="582" t="s">
        <v>544</v>
      </c>
      <c r="S79" s="583">
        <v>14736</v>
      </c>
      <c r="T79" s="584">
        <f t="shared" si="5"/>
        <v>1326240</v>
      </c>
      <c r="U79" s="579"/>
      <c r="X79" s="1125"/>
      <c r="Y79" s="735"/>
      <c r="Z79" s="736"/>
      <c r="AA79" s="737"/>
      <c r="AB79" s="737"/>
      <c r="AC79" s="738"/>
      <c r="AD79" s="739"/>
      <c r="AE79" s="742"/>
      <c r="AF79" s="740"/>
      <c r="AG79" s="720"/>
      <c r="AH79" s="728"/>
    </row>
    <row r="80" spans="1:34" ht="22.5" x14ac:dyDescent="0.2">
      <c r="B80" s="1116"/>
      <c r="C80" s="1117"/>
      <c r="D80" s="574" t="s">
        <v>552</v>
      </c>
      <c r="E80" s="593">
        <v>5</v>
      </c>
      <c r="F80" s="581">
        <v>45</v>
      </c>
      <c r="G80" s="582" t="s">
        <v>553</v>
      </c>
      <c r="H80" s="582"/>
      <c r="I80" s="583">
        <v>35000</v>
      </c>
      <c r="J80" s="584">
        <f t="shared" si="4"/>
        <v>1575000</v>
      </c>
      <c r="K80" s="579"/>
      <c r="M80" s="1110"/>
      <c r="N80" s="1117"/>
      <c r="O80" s="574" t="s">
        <v>550</v>
      </c>
      <c r="P80" s="593">
        <v>5</v>
      </c>
      <c r="Q80" s="581">
        <v>150</v>
      </c>
      <c r="R80" s="582" t="s">
        <v>544</v>
      </c>
      <c r="S80" s="583">
        <v>20120</v>
      </c>
      <c r="T80" s="584">
        <f t="shared" si="5"/>
        <v>3018000</v>
      </c>
      <c r="U80" s="579"/>
      <c r="X80" s="1125"/>
      <c r="Y80" s="735"/>
      <c r="Z80" s="736"/>
      <c r="AA80" s="737"/>
      <c r="AB80" s="737"/>
      <c r="AC80" s="738"/>
      <c r="AD80" s="739"/>
      <c r="AE80" s="742"/>
      <c r="AF80" s="740"/>
      <c r="AG80" s="720"/>
      <c r="AH80" s="728"/>
    </row>
    <row r="81" spans="2:34" ht="22.5" x14ac:dyDescent="0.2">
      <c r="B81" s="1116"/>
      <c r="C81" s="1117"/>
      <c r="D81" s="574" t="s">
        <v>557</v>
      </c>
      <c r="E81" s="581" t="s">
        <v>512</v>
      </c>
      <c r="F81" s="581">
        <v>455</v>
      </c>
      <c r="G81" s="582" t="s">
        <v>521</v>
      </c>
      <c r="H81" s="582"/>
      <c r="I81" s="583">
        <v>1020</v>
      </c>
      <c r="J81" s="584">
        <f t="shared" si="4"/>
        <v>464100</v>
      </c>
      <c r="K81" s="579">
        <f>+J81/('[3]PECECITOS DE COLORES'!$J$5)</f>
        <v>16.182008368200837</v>
      </c>
      <c r="M81" s="1110"/>
      <c r="N81" s="1117"/>
      <c r="O81" s="574" t="s">
        <v>554</v>
      </c>
      <c r="P81" s="593" t="s">
        <v>555</v>
      </c>
      <c r="Q81" s="581">
        <v>1</v>
      </c>
      <c r="R81" s="582" t="s">
        <v>521</v>
      </c>
      <c r="S81" s="583">
        <v>589490</v>
      </c>
      <c r="T81" s="584">
        <f t="shared" si="5"/>
        <v>589490</v>
      </c>
      <c r="U81" s="579"/>
      <c r="X81" s="1125"/>
      <c r="Y81" s="735"/>
      <c r="Z81" s="736"/>
      <c r="AA81" s="737"/>
      <c r="AB81" s="737"/>
      <c r="AC81" s="738"/>
      <c r="AD81" s="739"/>
      <c r="AE81" s="742"/>
      <c r="AF81" s="740"/>
      <c r="AG81" s="720"/>
      <c r="AH81" s="728"/>
    </row>
    <row r="82" spans="2:34" ht="22.5" x14ac:dyDescent="0.2">
      <c r="B82" s="1116"/>
      <c r="C82" s="1117"/>
      <c r="D82" s="574" t="s">
        <v>559</v>
      </c>
      <c r="E82" s="581" t="s">
        <v>512</v>
      </c>
      <c r="F82" s="581">
        <v>15</v>
      </c>
      <c r="G82" s="582" t="s">
        <v>553</v>
      </c>
      <c r="H82" s="582"/>
      <c r="I82" s="583">
        <v>12250</v>
      </c>
      <c r="J82" s="584">
        <f t="shared" si="4"/>
        <v>183750</v>
      </c>
      <c r="K82" s="579">
        <f>+J82/('[3]PECECITOS DE COLORES'!$J$5)</f>
        <v>6.4069037656903767</v>
      </c>
      <c r="M82" s="1110"/>
      <c r="N82" s="1117"/>
      <c r="O82" s="574" t="s">
        <v>552</v>
      </c>
      <c r="P82" s="593">
        <v>5</v>
      </c>
      <c r="Q82" s="581">
        <v>45</v>
      </c>
      <c r="R82" s="582" t="s">
        <v>553</v>
      </c>
      <c r="S82" s="583">
        <v>62478</v>
      </c>
      <c r="T82" s="584">
        <f t="shared" si="5"/>
        <v>2811510</v>
      </c>
      <c r="U82" s="579"/>
      <c r="X82" s="1125"/>
      <c r="Y82" s="735"/>
      <c r="Z82" s="736"/>
      <c r="AA82" s="737"/>
      <c r="AB82" s="737"/>
      <c r="AC82" s="738"/>
      <c r="AD82" s="739"/>
      <c r="AE82" s="742"/>
      <c r="AF82" s="740"/>
      <c r="AG82" s="720"/>
      <c r="AH82" s="728"/>
    </row>
    <row r="83" spans="2:34" ht="22.5" customHeight="1" x14ac:dyDescent="0.2">
      <c r="B83" s="1116"/>
      <c r="C83" s="1117" t="s">
        <v>561</v>
      </c>
      <c r="D83" s="574" t="s">
        <v>562</v>
      </c>
      <c r="E83" s="593">
        <v>3</v>
      </c>
      <c r="F83" s="581">
        <v>325</v>
      </c>
      <c r="G83" s="582" t="s">
        <v>544</v>
      </c>
      <c r="H83" s="582"/>
      <c r="I83" s="583">
        <v>2500</v>
      </c>
      <c r="J83" s="584">
        <f t="shared" si="4"/>
        <v>812500</v>
      </c>
      <c r="K83" s="579"/>
      <c r="M83" s="1110"/>
      <c r="N83" s="1117" t="s">
        <v>510</v>
      </c>
      <c r="O83" s="574" t="s">
        <v>622</v>
      </c>
      <c r="P83" s="581" t="s">
        <v>512</v>
      </c>
      <c r="Q83" s="581">
        <v>125</v>
      </c>
      <c r="R83" s="582" t="s">
        <v>521</v>
      </c>
      <c r="S83" s="583">
        <v>58153</v>
      </c>
      <c r="T83" s="584">
        <f t="shared" si="5"/>
        <v>7269125</v>
      </c>
      <c r="U83" s="579">
        <f>+T83/('[3]PECECITOS DE COLORES'!$J$5)</f>
        <v>253.45624128312411</v>
      </c>
      <c r="X83" s="1125"/>
      <c r="Y83" s="735"/>
      <c r="Z83" s="736"/>
      <c r="AA83" s="737"/>
      <c r="AB83" s="737"/>
      <c r="AC83" s="738"/>
      <c r="AD83" s="739"/>
      <c r="AE83" s="742"/>
      <c r="AF83" s="740"/>
      <c r="AG83" s="720"/>
      <c r="AH83" s="728"/>
    </row>
    <row r="84" spans="2:34" ht="33.75" x14ac:dyDescent="0.2">
      <c r="B84" s="1116"/>
      <c r="C84" s="1117"/>
      <c r="D84" s="574" t="s">
        <v>564</v>
      </c>
      <c r="E84" s="593">
        <v>3</v>
      </c>
      <c r="F84" s="581">
        <v>150</v>
      </c>
      <c r="G84" s="582" t="s">
        <v>544</v>
      </c>
      <c r="H84" s="582"/>
      <c r="I84" s="583">
        <v>2500</v>
      </c>
      <c r="J84" s="584">
        <f t="shared" si="4"/>
        <v>375000</v>
      </c>
      <c r="K84" s="579"/>
      <c r="M84" s="1110"/>
      <c r="N84" s="1117"/>
      <c r="O84" s="574" t="s">
        <v>557</v>
      </c>
      <c r="P84" s="581" t="s">
        <v>512</v>
      </c>
      <c r="Q84" s="581">
        <v>610</v>
      </c>
      <c r="R84" s="582" t="s">
        <v>521</v>
      </c>
      <c r="S84" s="583">
        <v>4864</v>
      </c>
      <c r="T84" s="584">
        <f t="shared" si="5"/>
        <v>2967040</v>
      </c>
      <c r="U84" s="579">
        <f>+T84/('[3]PECECITOS DE COLORES'!$J$5)</f>
        <v>103.45327754532775</v>
      </c>
      <c r="X84" s="1125"/>
      <c r="Y84" s="735"/>
      <c r="Z84" s="736"/>
      <c r="AA84" s="737"/>
      <c r="AB84" s="737"/>
      <c r="AC84" s="738"/>
      <c r="AD84" s="739"/>
      <c r="AE84" s="742"/>
      <c r="AF84" s="740"/>
      <c r="AG84" s="720"/>
      <c r="AH84" s="728"/>
    </row>
    <row r="85" spans="2:34" ht="33.75" x14ac:dyDescent="0.2">
      <c r="B85" s="1116"/>
      <c r="C85" s="1117"/>
      <c r="D85" s="574" t="s">
        <v>566</v>
      </c>
      <c r="E85" s="593">
        <v>3</v>
      </c>
      <c r="F85" s="581">
        <v>240</v>
      </c>
      <c r="G85" s="582" t="s">
        <v>544</v>
      </c>
      <c r="H85" s="582"/>
      <c r="I85" s="583">
        <v>2500</v>
      </c>
      <c r="J85" s="584">
        <f t="shared" si="4"/>
        <v>600000</v>
      </c>
      <c r="K85" s="579"/>
      <c r="M85" s="1110"/>
      <c r="N85" s="1117"/>
      <c r="O85" s="574" t="s">
        <v>559</v>
      </c>
      <c r="P85" s="581" t="s">
        <v>512</v>
      </c>
      <c r="Q85" s="581">
        <v>56</v>
      </c>
      <c r="R85" s="582" t="s">
        <v>553</v>
      </c>
      <c r="S85" s="583">
        <v>12250</v>
      </c>
      <c r="T85" s="584">
        <f t="shared" si="5"/>
        <v>686000</v>
      </c>
      <c r="U85" s="579">
        <f>+T85/('[3]PECECITOS DE COLORES'!$J$5)</f>
        <v>23.919107391910739</v>
      </c>
      <c r="X85" s="728"/>
      <c r="Y85" s="728"/>
      <c r="Z85" s="728"/>
      <c r="AA85" s="728"/>
      <c r="AB85" s="728"/>
      <c r="AC85" s="728"/>
      <c r="AD85" s="728"/>
      <c r="AE85" s="737"/>
      <c r="AF85" s="743"/>
      <c r="AG85" s="720"/>
      <c r="AH85" s="728"/>
    </row>
    <row r="86" spans="2:34" ht="22.5" customHeight="1" x14ac:dyDescent="0.2">
      <c r="B86" s="1116"/>
      <c r="C86" s="1117"/>
      <c r="D86" s="574" t="s">
        <v>568</v>
      </c>
      <c r="E86" s="593">
        <v>3</v>
      </c>
      <c r="F86" s="581">
        <v>55</v>
      </c>
      <c r="G86" s="582" t="s">
        <v>544</v>
      </c>
      <c r="H86" s="582"/>
      <c r="I86" s="583">
        <v>2500</v>
      </c>
      <c r="J86" s="584">
        <f t="shared" si="4"/>
        <v>137500</v>
      </c>
      <c r="K86" s="579"/>
      <c r="M86" s="1110"/>
      <c r="N86" s="1117" t="s">
        <v>561</v>
      </c>
      <c r="O86" s="574" t="s">
        <v>562</v>
      </c>
      <c r="P86" s="593">
        <v>3</v>
      </c>
      <c r="Q86" s="581">
        <v>228</v>
      </c>
      <c r="R86" s="582" t="s">
        <v>544</v>
      </c>
      <c r="S86" s="583">
        <v>3990</v>
      </c>
      <c r="T86" s="584">
        <f t="shared" si="5"/>
        <v>909720</v>
      </c>
      <c r="U86" s="579"/>
      <c r="X86" s="728"/>
      <c r="Y86" s="728"/>
      <c r="Z86" s="728"/>
      <c r="AA86" s="728"/>
      <c r="AB86" s="728"/>
      <c r="AC86" s="728"/>
      <c r="AD86" s="728"/>
      <c r="AE86" s="744"/>
      <c r="AF86" s="745"/>
      <c r="AG86" s="722"/>
      <c r="AH86" s="728"/>
    </row>
    <row r="87" spans="2:34" ht="22.5" customHeight="1" x14ac:dyDescent="0.2">
      <c r="B87" s="1116"/>
      <c r="C87" s="1117" t="s">
        <v>571</v>
      </c>
      <c r="D87" s="574" t="s">
        <v>572</v>
      </c>
      <c r="E87" s="593">
        <v>5</v>
      </c>
      <c r="F87" s="581">
        <v>516</v>
      </c>
      <c r="G87" s="582" t="s">
        <v>544</v>
      </c>
      <c r="H87" s="582"/>
      <c r="I87" s="583">
        <v>2500</v>
      </c>
      <c r="J87" s="584">
        <f t="shared" si="4"/>
        <v>1290000</v>
      </c>
      <c r="K87" s="579">
        <v>208.4</v>
      </c>
      <c r="M87" s="1110"/>
      <c r="N87" s="1117"/>
      <c r="O87" s="574" t="s">
        <v>564</v>
      </c>
      <c r="P87" s="593">
        <v>3</v>
      </c>
      <c r="Q87" s="581">
        <v>228</v>
      </c>
      <c r="R87" s="582" t="s">
        <v>544</v>
      </c>
      <c r="S87" s="583">
        <v>3990</v>
      </c>
      <c r="T87" s="584">
        <f t="shared" si="5"/>
        <v>909720</v>
      </c>
      <c r="U87" s="579"/>
      <c r="X87" s="721"/>
      <c r="Y87" s="721"/>
      <c r="Z87" s="721"/>
      <c r="AA87" s="721"/>
      <c r="AB87" s="721"/>
      <c r="AC87" s="721"/>
      <c r="AD87" s="721"/>
      <c r="AE87" s="721"/>
      <c r="AF87" s="723"/>
      <c r="AG87" s="724"/>
    </row>
    <row r="88" spans="2:34" ht="22.5" x14ac:dyDescent="0.2">
      <c r="B88" s="1116"/>
      <c r="C88" s="1117"/>
      <c r="D88" s="574" t="s">
        <v>574</v>
      </c>
      <c r="E88" s="593">
        <v>2</v>
      </c>
      <c r="F88" s="581">
        <v>45</v>
      </c>
      <c r="G88" s="582" t="s">
        <v>553</v>
      </c>
      <c r="H88" s="582"/>
      <c r="I88" s="583">
        <v>8990</v>
      </c>
      <c r="J88" s="584">
        <f t="shared" si="4"/>
        <v>404550</v>
      </c>
      <c r="K88" s="579"/>
      <c r="M88" s="1110"/>
      <c r="N88" s="1117"/>
      <c r="O88" s="574" t="s">
        <v>566</v>
      </c>
      <c r="P88" s="593">
        <v>3</v>
      </c>
      <c r="Q88" s="581">
        <v>228</v>
      </c>
      <c r="R88" s="582" t="s">
        <v>544</v>
      </c>
      <c r="S88" s="583">
        <v>3990</v>
      </c>
      <c r="T88" s="584">
        <f t="shared" si="5"/>
        <v>909720</v>
      </c>
      <c r="U88" s="579"/>
      <c r="X88" s="719"/>
      <c r="Y88" s="719"/>
      <c r="Z88" s="719"/>
      <c r="AA88" s="719"/>
      <c r="AB88" s="719"/>
      <c r="AC88" s="719"/>
      <c r="AD88" s="719"/>
      <c r="AE88" s="719"/>
      <c r="AF88" s="719"/>
      <c r="AG88" s="719"/>
    </row>
    <row r="89" spans="2:34" ht="33.75" customHeight="1" x14ac:dyDescent="0.2">
      <c r="B89" s="1116"/>
      <c r="C89" s="1117" t="s">
        <v>515</v>
      </c>
      <c r="D89" s="574" t="s">
        <v>577</v>
      </c>
      <c r="E89" s="593" t="s">
        <v>578</v>
      </c>
      <c r="F89" s="581">
        <v>14</v>
      </c>
      <c r="G89" s="582" t="s">
        <v>521</v>
      </c>
      <c r="H89" s="582"/>
      <c r="I89" s="583">
        <v>5000</v>
      </c>
      <c r="J89" s="584">
        <f t="shared" si="4"/>
        <v>70000</v>
      </c>
      <c r="K89" s="579"/>
      <c r="M89" s="1110"/>
      <c r="N89" s="1117"/>
      <c r="O89" s="574" t="s">
        <v>568</v>
      </c>
      <c r="P89" s="593">
        <v>3</v>
      </c>
      <c r="Q89" s="581">
        <v>228</v>
      </c>
      <c r="R89" s="582" t="s">
        <v>544</v>
      </c>
      <c r="S89" s="583">
        <v>3990</v>
      </c>
      <c r="T89" s="584">
        <f t="shared" si="5"/>
        <v>909720</v>
      </c>
      <c r="U89" s="579"/>
      <c r="X89" s="719"/>
      <c r="Y89" s="719"/>
      <c r="Z89" s="719"/>
      <c r="AA89" s="719"/>
      <c r="AB89" s="719"/>
      <c r="AC89" s="719"/>
      <c r="AD89" s="719"/>
      <c r="AE89" s="719"/>
      <c r="AF89" s="719"/>
      <c r="AG89" s="719"/>
    </row>
    <row r="90" spans="2:34" ht="56.25" customHeight="1" x14ac:dyDescent="0.2">
      <c r="B90" s="1116"/>
      <c r="C90" s="1117"/>
      <c r="D90" s="574" t="s">
        <v>581</v>
      </c>
      <c r="E90" s="593">
        <v>5</v>
      </c>
      <c r="F90" s="581">
        <v>10</v>
      </c>
      <c r="G90" s="582" t="s">
        <v>521</v>
      </c>
      <c r="H90" s="582"/>
      <c r="I90" s="583">
        <v>26000</v>
      </c>
      <c r="J90" s="584">
        <f t="shared" si="4"/>
        <v>260000</v>
      </c>
      <c r="K90" s="579"/>
      <c r="M90" s="1110"/>
      <c r="N90" s="1117" t="s">
        <v>571</v>
      </c>
      <c r="O90" s="574" t="s">
        <v>572</v>
      </c>
      <c r="P90" s="593">
        <v>5</v>
      </c>
      <c r="Q90" s="581">
        <v>362</v>
      </c>
      <c r="R90" s="582" t="s">
        <v>544</v>
      </c>
      <c r="S90" s="583">
        <v>3991</v>
      </c>
      <c r="T90" s="584">
        <f t="shared" si="5"/>
        <v>1444742</v>
      </c>
      <c r="U90" s="579"/>
      <c r="X90" s="719"/>
      <c r="Y90" s="719"/>
      <c r="Z90" s="719"/>
      <c r="AA90" s="719"/>
      <c r="AB90" s="719"/>
      <c r="AC90" s="719"/>
      <c r="AD90" s="719"/>
      <c r="AE90" s="719"/>
      <c r="AF90" s="719"/>
      <c r="AG90" s="719"/>
    </row>
    <row r="91" spans="2:34" ht="22.5" customHeight="1" x14ac:dyDescent="0.2">
      <c r="B91" s="1116"/>
      <c r="C91" s="1117" t="s">
        <v>582</v>
      </c>
      <c r="D91" s="574" t="s">
        <v>583</v>
      </c>
      <c r="E91" s="593">
        <v>3</v>
      </c>
      <c r="F91" s="581">
        <v>1</v>
      </c>
      <c r="G91" s="582" t="s">
        <v>521</v>
      </c>
      <c r="H91" s="582"/>
      <c r="I91" s="583">
        <v>180000</v>
      </c>
      <c r="J91" s="584">
        <f t="shared" si="4"/>
        <v>180000</v>
      </c>
      <c r="K91" s="579"/>
      <c r="M91" s="1110"/>
      <c r="N91" s="1117"/>
      <c r="O91" s="574" t="s">
        <v>579</v>
      </c>
      <c r="P91" s="593">
        <v>5</v>
      </c>
      <c r="Q91" s="581">
        <v>10</v>
      </c>
      <c r="R91" s="582" t="s">
        <v>580</v>
      </c>
      <c r="S91" s="583">
        <v>3991</v>
      </c>
      <c r="T91" s="584">
        <f t="shared" si="5"/>
        <v>39910</v>
      </c>
      <c r="U91" s="579"/>
      <c r="X91" s="719"/>
      <c r="Y91" s="719"/>
      <c r="Z91" s="719"/>
      <c r="AA91" s="719"/>
      <c r="AB91" s="719"/>
      <c r="AC91" s="719"/>
      <c r="AD91" s="719"/>
      <c r="AE91" s="719"/>
      <c r="AF91" s="719"/>
      <c r="AG91" s="719"/>
    </row>
    <row r="92" spans="2:34" ht="22.5" x14ac:dyDescent="0.2">
      <c r="B92" s="1116"/>
      <c r="C92" s="1117"/>
      <c r="D92" s="574" t="s">
        <v>520</v>
      </c>
      <c r="E92" s="593" t="s">
        <v>560</v>
      </c>
      <c r="F92" s="581">
        <v>1</v>
      </c>
      <c r="G92" s="582" t="s">
        <v>521</v>
      </c>
      <c r="H92" s="582"/>
      <c r="I92" s="583">
        <v>35000</v>
      </c>
      <c r="J92" s="584">
        <f t="shared" si="4"/>
        <v>35000</v>
      </c>
      <c r="K92" s="579"/>
      <c r="M92" s="1110"/>
      <c r="N92" s="1117"/>
      <c r="O92" s="574" t="s">
        <v>574</v>
      </c>
      <c r="P92" s="593">
        <v>2</v>
      </c>
      <c r="Q92" s="581">
        <v>45</v>
      </c>
      <c r="R92" s="582" t="s">
        <v>553</v>
      </c>
      <c r="S92" s="583">
        <v>8990</v>
      </c>
      <c r="T92" s="584">
        <f t="shared" si="5"/>
        <v>404550</v>
      </c>
      <c r="U92" s="579"/>
      <c r="X92" s="719"/>
      <c r="Y92" s="719"/>
      <c r="Z92" s="719"/>
      <c r="AA92" s="719"/>
      <c r="AB92" s="719"/>
      <c r="AC92" s="719"/>
      <c r="AD92" s="719"/>
      <c r="AE92" s="719"/>
      <c r="AF92" s="719"/>
      <c r="AG92" s="719"/>
    </row>
    <row r="93" spans="2:34" ht="33.75" customHeight="1" x14ac:dyDescent="0.2">
      <c r="B93" s="1116"/>
      <c r="C93" s="573" t="s">
        <v>584</v>
      </c>
      <c r="D93" s="574" t="s">
        <v>585</v>
      </c>
      <c r="E93" s="593">
        <v>10</v>
      </c>
      <c r="F93" s="581">
        <v>385</v>
      </c>
      <c r="G93" s="582" t="s">
        <v>521</v>
      </c>
      <c r="H93" s="582"/>
      <c r="I93" s="583">
        <v>9500</v>
      </c>
      <c r="J93" s="584">
        <f t="shared" si="4"/>
        <v>3657500</v>
      </c>
      <c r="K93" s="579"/>
      <c r="M93" s="1110"/>
      <c r="N93" s="1117" t="s">
        <v>515</v>
      </c>
      <c r="O93" s="574" t="s">
        <v>577</v>
      </c>
      <c r="P93" s="593" t="s">
        <v>578</v>
      </c>
      <c r="Q93" s="581">
        <v>31</v>
      </c>
      <c r="R93" s="582" t="s">
        <v>521</v>
      </c>
      <c r="S93" s="583">
        <v>5000</v>
      </c>
      <c r="T93" s="584">
        <f t="shared" si="5"/>
        <v>155000</v>
      </c>
      <c r="U93" s="579"/>
      <c r="X93" s="719"/>
      <c r="Y93" s="719"/>
      <c r="Z93" s="719"/>
      <c r="AA93" s="719"/>
      <c r="AB93" s="719"/>
      <c r="AC93" s="719"/>
      <c r="AD93" s="719"/>
      <c r="AE93" s="719"/>
      <c r="AF93" s="719"/>
      <c r="AG93" s="719"/>
    </row>
    <row r="94" spans="2:34" ht="33.75" customHeight="1" x14ac:dyDescent="0.2">
      <c r="B94" s="1116"/>
      <c r="C94" s="1117" t="s">
        <v>586</v>
      </c>
      <c r="D94" s="574" t="s">
        <v>587</v>
      </c>
      <c r="E94" s="593">
        <v>5</v>
      </c>
      <c r="F94" s="581">
        <v>1</v>
      </c>
      <c r="G94" s="582" t="s">
        <v>521</v>
      </c>
      <c r="H94" s="582"/>
      <c r="I94" s="583">
        <v>150000</v>
      </c>
      <c r="J94" s="584">
        <f t="shared" si="4"/>
        <v>150000</v>
      </c>
      <c r="K94" s="579"/>
      <c r="M94" s="1110"/>
      <c r="N94" s="1117"/>
      <c r="O94" s="574" t="s">
        <v>581</v>
      </c>
      <c r="P94" s="593">
        <v>5</v>
      </c>
      <c r="Q94" s="581">
        <v>31</v>
      </c>
      <c r="R94" s="582" t="s">
        <v>521</v>
      </c>
      <c r="S94" s="583">
        <v>26000</v>
      </c>
      <c r="T94" s="584">
        <f t="shared" si="5"/>
        <v>806000</v>
      </c>
      <c r="U94" s="579"/>
      <c r="X94" s="719"/>
      <c r="Y94" s="719"/>
      <c r="Z94" s="719"/>
      <c r="AA94" s="719"/>
      <c r="AB94" s="719"/>
      <c r="AC94" s="719"/>
      <c r="AD94" s="719"/>
      <c r="AE94" s="719"/>
      <c r="AF94" s="719"/>
      <c r="AG94" s="719"/>
    </row>
    <row r="95" spans="2:34" ht="33.75" customHeight="1" x14ac:dyDescent="0.2">
      <c r="B95" s="1116"/>
      <c r="C95" s="1117"/>
      <c r="D95" s="574" t="s">
        <v>588</v>
      </c>
      <c r="E95" s="593">
        <v>5</v>
      </c>
      <c r="F95" s="581">
        <v>1</v>
      </c>
      <c r="G95" s="582" t="s">
        <v>521</v>
      </c>
      <c r="H95" s="582"/>
      <c r="I95" s="583">
        <v>150000</v>
      </c>
      <c r="J95" s="584">
        <f t="shared" si="4"/>
        <v>150000</v>
      </c>
      <c r="K95" s="579"/>
      <c r="M95" s="1110"/>
      <c r="N95" s="1117" t="s">
        <v>582</v>
      </c>
      <c r="O95" s="574" t="s">
        <v>583</v>
      </c>
      <c r="P95" s="593">
        <v>3</v>
      </c>
      <c r="Q95" s="581">
        <v>1</v>
      </c>
      <c r="R95" s="582" t="s">
        <v>521</v>
      </c>
      <c r="S95" s="583">
        <v>180000</v>
      </c>
      <c r="T95" s="584">
        <f t="shared" si="5"/>
        <v>180000</v>
      </c>
      <c r="U95" s="579"/>
      <c r="X95" s="719"/>
      <c r="Y95" s="719"/>
      <c r="Z95" s="719"/>
      <c r="AA95" s="719"/>
      <c r="AB95" s="719"/>
      <c r="AC95" s="719"/>
      <c r="AD95" s="719"/>
      <c r="AE95" s="719"/>
      <c r="AF95" s="719"/>
      <c r="AG95" s="719"/>
    </row>
    <row r="96" spans="2:34" ht="33.75" x14ac:dyDescent="0.2">
      <c r="B96" s="1116"/>
      <c r="C96" s="573" t="s">
        <v>538</v>
      </c>
      <c r="D96" s="574" t="s">
        <v>589</v>
      </c>
      <c r="E96" s="593">
        <v>3</v>
      </c>
      <c r="F96" s="581">
        <v>1</v>
      </c>
      <c r="G96" s="582" t="s">
        <v>521</v>
      </c>
      <c r="H96" s="582"/>
      <c r="I96" s="583">
        <v>180000</v>
      </c>
      <c r="J96" s="584">
        <f t="shared" si="4"/>
        <v>180000</v>
      </c>
      <c r="K96" s="579"/>
      <c r="M96" s="1110"/>
      <c r="N96" s="1117"/>
      <c r="O96" s="574" t="s">
        <v>520</v>
      </c>
      <c r="P96" s="593" t="s">
        <v>560</v>
      </c>
      <c r="Q96" s="581">
        <v>1</v>
      </c>
      <c r="R96" s="582" t="s">
        <v>521</v>
      </c>
      <c r="S96" s="583">
        <v>35000</v>
      </c>
      <c r="T96" s="584">
        <f t="shared" si="5"/>
        <v>35000</v>
      </c>
      <c r="U96" s="579"/>
      <c r="X96" s="719"/>
      <c r="Y96" s="719"/>
      <c r="Z96" s="719"/>
      <c r="AA96" s="719"/>
      <c r="AB96" s="719"/>
      <c r="AC96" s="719"/>
      <c r="AD96" s="719"/>
      <c r="AE96" s="719"/>
      <c r="AF96" s="719"/>
      <c r="AG96" s="719"/>
    </row>
    <row r="97" spans="2:33" ht="22.5" customHeight="1" x14ac:dyDescent="0.2">
      <c r="B97" s="1116"/>
      <c r="C97" s="1117" t="s">
        <v>591</v>
      </c>
      <c r="D97" s="574" t="s">
        <v>592</v>
      </c>
      <c r="E97" s="593">
        <v>2</v>
      </c>
      <c r="F97" s="581">
        <v>1</v>
      </c>
      <c r="G97" s="582" t="s">
        <v>521</v>
      </c>
      <c r="H97" s="582"/>
      <c r="I97" s="583">
        <v>225000</v>
      </c>
      <c r="J97" s="584">
        <f t="shared" si="4"/>
        <v>225000</v>
      </c>
      <c r="K97" s="579"/>
      <c r="M97" s="1110"/>
      <c r="N97" s="1117" t="s">
        <v>584</v>
      </c>
      <c r="O97" s="574" t="s">
        <v>585</v>
      </c>
      <c r="P97" s="593">
        <v>10</v>
      </c>
      <c r="Q97" s="581">
        <v>458</v>
      </c>
      <c r="R97" s="582" t="s">
        <v>521</v>
      </c>
      <c r="S97" s="583">
        <v>15756</v>
      </c>
      <c r="T97" s="584">
        <f t="shared" si="5"/>
        <v>7216248</v>
      </c>
      <c r="U97" s="579"/>
      <c r="X97" s="719"/>
      <c r="Y97" s="719"/>
      <c r="Z97" s="719"/>
      <c r="AA97" s="719"/>
      <c r="AB97" s="719"/>
      <c r="AC97" s="719"/>
      <c r="AD97" s="719"/>
      <c r="AE97" s="719"/>
      <c r="AF97" s="719"/>
      <c r="AG97" s="719"/>
    </row>
    <row r="98" spans="2:33" ht="33.75" x14ac:dyDescent="0.2">
      <c r="B98" s="1116"/>
      <c r="C98" s="1117"/>
      <c r="D98" s="574" t="s">
        <v>593</v>
      </c>
      <c r="E98" s="593">
        <v>5</v>
      </c>
      <c r="F98" s="581">
        <v>1</v>
      </c>
      <c r="G98" s="582" t="s">
        <v>521</v>
      </c>
      <c r="H98" s="582"/>
      <c r="I98" s="583">
        <v>225000</v>
      </c>
      <c r="J98" s="584">
        <f t="shared" si="4"/>
        <v>225000</v>
      </c>
      <c r="K98" s="579"/>
      <c r="M98" s="1110"/>
      <c r="N98" s="1117"/>
      <c r="O98" s="574" t="s">
        <v>590</v>
      </c>
      <c r="P98" s="593" t="s">
        <v>555</v>
      </c>
      <c r="Q98" s="581">
        <v>15</v>
      </c>
      <c r="R98" s="582" t="s">
        <v>521</v>
      </c>
      <c r="S98" s="583">
        <v>13000</v>
      </c>
      <c r="T98" s="584">
        <f t="shared" si="5"/>
        <v>195000</v>
      </c>
      <c r="U98" s="579"/>
      <c r="X98" s="719"/>
      <c r="Y98" s="719"/>
      <c r="Z98" s="719"/>
      <c r="AA98" s="719"/>
      <c r="AB98" s="719"/>
      <c r="AC98" s="719"/>
      <c r="AD98" s="719"/>
      <c r="AE98" s="719"/>
      <c r="AF98" s="719"/>
      <c r="AG98" s="719"/>
    </row>
    <row r="99" spans="2:33" ht="22.5" customHeight="1" x14ac:dyDescent="0.2">
      <c r="B99" s="1116"/>
      <c r="C99" s="1117" t="s">
        <v>594</v>
      </c>
      <c r="D99" s="574" t="s">
        <v>595</v>
      </c>
      <c r="E99" s="593" t="s">
        <v>512</v>
      </c>
      <c r="F99" s="581">
        <v>1</v>
      </c>
      <c r="G99" s="582" t="s">
        <v>521</v>
      </c>
      <c r="H99" s="582"/>
      <c r="I99" s="583">
        <v>120000</v>
      </c>
      <c r="J99" s="584">
        <f t="shared" si="4"/>
        <v>120000</v>
      </c>
      <c r="K99" s="579">
        <f>+J99/('[3]PECECITOS DE COLORES'!$J$5)</f>
        <v>4.1841004184100417</v>
      </c>
      <c r="M99" s="1110"/>
      <c r="N99" s="1117" t="s">
        <v>586</v>
      </c>
      <c r="O99" s="574" t="s">
        <v>587</v>
      </c>
      <c r="P99" s="593">
        <v>5</v>
      </c>
      <c r="Q99" s="581">
        <v>1</v>
      </c>
      <c r="R99" s="582" t="s">
        <v>521</v>
      </c>
      <c r="S99" s="583">
        <v>150000</v>
      </c>
      <c r="T99" s="584">
        <f t="shared" si="5"/>
        <v>150000</v>
      </c>
      <c r="U99" s="579"/>
      <c r="X99" s="719"/>
      <c r="Y99" s="719"/>
      <c r="Z99" s="719"/>
      <c r="AA99" s="719"/>
      <c r="AB99" s="719"/>
      <c r="AC99" s="719"/>
      <c r="AD99" s="719"/>
      <c r="AE99" s="719"/>
      <c r="AF99" s="719"/>
      <c r="AG99" s="719"/>
    </row>
    <row r="100" spans="2:33" ht="33.75" x14ac:dyDescent="0.2">
      <c r="B100" s="1116"/>
      <c r="C100" s="1117"/>
      <c r="D100" s="574" t="s">
        <v>596</v>
      </c>
      <c r="E100" s="593" t="s">
        <v>560</v>
      </c>
      <c r="F100" s="581">
        <v>1</v>
      </c>
      <c r="G100" s="582" t="s">
        <v>532</v>
      </c>
      <c r="H100" s="582"/>
      <c r="I100" s="583">
        <v>45000</v>
      </c>
      <c r="J100" s="584">
        <f t="shared" si="4"/>
        <v>45000</v>
      </c>
      <c r="K100" s="579">
        <f>+J100/('[3]PECECITOS DE COLORES'!$J$5)</f>
        <v>1.5690376569037656</v>
      </c>
      <c r="M100" s="1110"/>
      <c r="N100" s="1117"/>
      <c r="O100" s="574" t="s">
        <v>588</v>
      </c>
      <c r="P100" s="593">
        <v>5</v>
      </c>
      <c r="Q100" s="581">
        <v>1</v>
      </c>
      <c r="R100" s="582" t="s">
        <v>521</v>
      </c>
      <c r="S100" s="583">
        <v>150000</v>
      </c>
      <c r="T100" s="584">
        <f t="shared" si="5"/>
        <v>150000</v>
      </c>
      <c r="U100" s="579"/>
      <c r="X100" s="719"/>
      <c r="Y100" s="719"/>
      <c r="Z100" s="719"/>
      <c r="AA100" s="719"/>
      <c r="AB100" s="719"/>
      <c r="AC100" s="719"/>
      <c r="AD100" s="719"/>
      <c r="AE100" s="719"/>
      <c r="AF100" s="719"/>
      <c r="AG100" s="719"/>
    </row>
    <row r="101" spans="2:33" ht="56.25" customHeight="1" x14ac:dyDescent="0.2">
      <c r="B101" s="1116"/>
      <c r="C101" s="1117" t="s">
        <v>597</v>
      </c>
      <c r="D101" s="574" t="s">
        <v>598</v>
      </c>
      <c r="E101" s="581" t="s">
        <v>560</v>
      </c>
      <c r="F101" s="581">
        <v>1</v>
      </c>
      <c r="G101" s="582" t="s">
        <v>521</v>
      </c>
      <c r="H101" s="582"/>
      <c r="I101" s="583">
        <v>120000</v>
      </c>
      <c r="J101" s="584">
        <f t="shared" si="4"/>
        <v>120000</v>
      </c>
      <c r="K101" s="579">
        <f>+J101/('[3]PECECITOS DE COLORES'!$J$5)</f>
        <v>4.1841004184100417</v>
      </c>
      <c r="M101" s="1110"/>
      <c r="N101" s="573" t="s">
        <v>538</v>
      </c>
      <c r="O101" s="574" t="s">
        <v>589</v>
      </c>
      <c r="P101" s="593">
        <v>3</v>
      </c>
      <c r="Q101" s="581">
        <v>1</v>
      </c>
      <c r="R101" s="582" t="s">
        <v>521</v>
      </c>
      <c r="S101" s="583">
        <v>180000</v>
      </c>
      <c r="T101" s="584">
        <f t="shared" si="5"/>
        <v>180000</v>
      </c>
      <c r="U101" s="579"/>
    </row>
    <row r="102" spans="2:33" ht="22.5" customHeight="1" x14ac:dyDescent="0.2">
      <c r="B102" s="1116"/>
      <c r="C102" s="1117"/>
      <c r="D102" s="574" t="s">
        <v>608</v>
      </c>
      <c r="E102" s="581" t="s">
        <v>560</v>
      </c>
      <c r="F102" s="581">
        <v>1</v>
      </c>
      <c r="G102" s="582" t="s">
        <v>521</v>
      </c>
      <c r="H102" s="582"/>
      <c r="I102" s="583">
        <v>65000</v>
      </c>
      <c r="J102" s="584">
        <f t="shared" si="4"/>
        <v>65000</v>
      </c>
      <c r="K102" s="579">
        <f>+J102/('[3]PECECITOS DE COLORES'!$J$5)</f>
        <v>2.2663877266387726</v>
      </c>
      <c r="M102" s="1110"/>
      <c r="N102" s="1117" t="s">
        <v>591</v>
      </c>
      <c r="O102" s="574" t="s">
        <v>592</v>
      </c>
      <c r="P102" s="593">
        <v>2</v>
      </c>
      <c r="Q102" s="581">
        <v>1</v>
      </c>
      <c r="R102" s="582" t="s">
        <v>521</v>
      </c>
      <c r="S102" s="583">
        <v>225000</v>
      </c>
      <c r="T102" s="584">
        <f t="shared" si="5"/>
        <v>225000</v>
      </c>
      <c r="U102" s="579"/>
    </row>
    <row r="103" spans="2:33" ht="33.75" x14ac:dyDescent="0.2">
      <c r="B103" s="1116"/>
      <c r="C103" s="1117"/>
      <c r="D103" s="574" t="s">
        <v>613</v>
      </c>
      <c r="E103" s="581" t="s">
        <v>560</v>
      </c>
      <c r="F103" s="581">
        <v>1</v>
      </c>
      <c r="G103" s="582" t="s">
        <v>521</v>
      </c>
      <c r="H103" s="582"/>
      <c r="I103" s="583">
        <v>70000</v>
      </c>
      <c r="J103" s="584">
        <f t="shared" si="4"/>
        <v>70000</v>
      </c>
      <c r="K103" s="579">
        <f>+J103/('[3]PECECITOS DE COLORES'!$J$5)</f>
        <v>2.4407252440725244</v>
      </c>
      <c r="M103" s="1110"/>
      <c r="N103" s="1117"/>
      <c r="O103" s="574" t="s">
        <v>593</v>
      </c>
      <c r="P103" s="593">
        <v>5</v>
      </c>
      <c r="Q103" s="581">
        <v>1</v>
      </c>
      <c r="R103" s="582" t="s">
        <v>521</v>
      </c>
      <c r="S103" s="583">
        <v>225000</v>
      </c>
      <c r="T103" s="584">
        <f t="shared" ref="T103:T119" si="6">+S103*Q103</f>
        <v>225000</v>
      </c>
      <c r="U103" s="579"/>
    </row>
    <row r="104" spans="2:33" ht="22.5" customHeight="1" x14ac:dyDescent="0.2">
      <c r="B104" s="1116"/>
      <c r="C104" s="573" t="s">
        <v>599</v>
      </c>
      <c r="D104" s="574" t="s">
        <v>600</v>
      </c>
      <c r="E104" s="581" t="s">
        <v>560</v>
      </c>
      <c r="F104" s="581">
        <v>1</v>
      </c>
      <c r="G104" s="582" t="s">
        <v>521</v>
      </c>
      <c r="H104" s="582"/>
      <c r="I104" s="583">
        <v>450000</v>
      </c>
      <c r="J104" s="584">
        <f t="shared" si="4"/>
        <v>450000</v>
      </c>
      <c r="K104" s="579">
        <f>+J104/('[3]PECECITOS DE COLORES'!$J$5)</f>
        <v>15.690376569037657</v>
      </c>
      <c r="M104" s="1110"/>
      <c r="N104" s="1117" t="s">
        <v>594</v>
      </c>
      <c r="O104" s="574" t="s">
        <v>595</v>
      </c>
      <c r="P104" s="593" t="s">
        <v>512</v>
      </c>
      <c r="Q104" s="581">
        <v>1</v>
      </c>
      <c r="R104" s="582" t="s">
        <v>521</v>
      </c>
      <c r="S104" s="583">
        <v>120000</v>
      </c>
      <c r="T104" s="584">
        <f t="shared" si="6"/>
        <v>120000</v>
      </c>
      <c r="U104" s="579">
        <f>+T104/('[3]PECECITOS DE COLORES'!$J$5)</f>
        <v>4.1841004184100417</v>
      </c>
    </row>
    <row r="105" spans="2:33" ht="22.5" customHeight="1" x14ac:dyDescent="0.2">
      <c r="B105" s="1110" t="s">
        <v>601</v>
      </c>
      <c r="C105" s="573"/>
      <c r="D105" s="574" t="s">
        <v>603</v>
      </c>
      <c r="E105" s="581" t="s">
        <v>604</v>
      </c>
      <c r="F105" s="581">
        <v>455</v>
      </c>
      <c r="G105" s="582" t="s">
        <v>544</v>
      </c>
      <c r="H105" s="582"/>
      <c r="I105" s="583">
        <f>+I81*4</f>
        <v>4080</v>
      </c>
      <c r="J105" s="584">
        <f t="shared" si="4"/>
        <v>1856400</v>
      </c>
      <c r="K105" s="579"/>
      <c r="M105" s="1110"/>
      <c r="N105" s="1117"/>
      <c r="O105" s="574" t="s">
        <v>596</v>
      </c>
      <c r="P105" s="593" t="s">
        <v>560</v>
      </c>
      <c r="Q105" s="581">
        <v>30</v>
      </c>
      <c r="R105" s="582" t="s">
        <v>532</v>
      </c>
      <c r="S105" s="583">
        <v>15000</v>
      </c>
      <c r="T105" s="584">
        <f t="shared" si="6"/>
        <v>450000</v>
      </c>
      <c r="U105" s="579">
        <f>+T105/('[3]PECECITOS DE COLORES'!$J$5)</f>
        <v>15.690376569037657</v>
      </c>
    </row>
    <row r="106" spans="2:33" ht="33.75" customHeight="1" x14ac:dyDescent="0.2">
      <c r="B106" s="1110"/>
      <c r="C106" s="573"/>
      <c r="D106" s="574" t="s">
        <v>605</v>
      </c>
      <c r="E106" s="581" t="s">
        <v>604</v>
      </c>
      <c r="F106" s="581">
        <v>1</v>
      </c>
      <c r="G106" s="582" t="s">
        <v>544</v>
      </c>
      <c r="H106" s="582"/>
      <c r="I106" s="583">
        <v>26435</v>
      </c>
      <c r="J106" s="584">
        <f t="shared" si="4"/>
        <v>26435</v>
      </c>
      <c r="K106" s="579"/>
      <c r="M106" s="1110"/>
      <c r="N106" s="1117" t="s">
        <v>597</v>
      </c>
      <c r="O106" s="574" t="s">
        <v>598</v>
      </c>
      <c r="P106" s="581" t="s">
        <v>560</v>
      </c>
      <c r="Q106" s="581">
        <v>1</v>
      </c>
      <c r="R106" s="582" t="s">
        <v>521</v>
      </c>
      <c r="S106" s="583">
        <v>120000</v>
      </c>
      <c r="T106" s="584">
        <f t="shared" si="6"/>
        <v>120000</v>
      </c>
      <c r="U106" s="579">
        <f>+T106/('[3]PECECITOS DE COLORES'!$J$5)</f>
        <v>4.1841004184100417</v>
      </c>
    </row>
    <row r="107" spans="2:33" ht="33.75" x14ac:dyDescent="0.2">
      <c r="B107" s="1110"/>
      <c r="C107" s="573"/>
      <c r="D107" s="574" t="s">
        <v>606</v>
      </c>
      <c r="E107" s="581" t="s">
        <v>604</v>
      </c>
      <c r="F107" s="581">
        <v>22</v>
      </c>
      <c r="G107" s="582" t="s">
        <v>607</v>
      </c>
      <c r="H107" s="582"/>
      <c r="I107" s="583">
        <v>95000</v>
      </c>
      <c r="J107" s="584">
        <f t="shared" si="4"/>
        <v>2090000</v>
      </c>
      <c r="K107" s="579"/>
      <c r="M107" s="1110"/>
      <c r="N107" s="1117"/>
      <c r="O107" s="574" t="s">
        <v>608</v>
      </c>
      <c r="P107" s="581" t="s">
        <v>560</v>
      </c>
      <c r="Q107" s="581">
        <v>1</v>
      </c>
      <c r="R107" s="582" t="s">
        <v>521</v>
      </c>
      <c r="S107" s="583">
        <v>65000</v>
      </c>
      <c r="T107" s="584">
        <f t="shared" si="6"/>
        <v>65000</v>
      </c>
      <c r="U107" s="579">
        <f>+T107/('[3]PECECITOS DE COLORES'!$J$5)</f>
        <v>2.2663877266387726</v>
      </c>
    </row>
    <row r="108" spans="2:33" ht="22.5" x14ac:dyDescent="0.2">
      <c r="B108" s="1110"/>
      <c r="C108" s="573"/>
      <c r="D108" s="574" t="s">
        <v>609</v>
      </c>
      <c r="E108" s="581" t="s">
        <v>610</v>
      </c>
      <c r="F108" s="581">
        <v>1</v>
      </c>
      <c r="G108" s="582" t="s">
        <v>532</v>
      </c>
      <c r="H108" s="582"/>
      <c r="I108" s="583">
        <v>85114</v>
      </c>
      <c r="J108" s="584">
        <f t="shared" si="4"/>
        <v>85114</v>
      </c>
      <c r="K108" s="579"/>
      <c r="M108" s="1110"/>
      <c r="N108" s="1117"/>
      <c r="O108" s="574" t="s">
        <v>611</v>
      </c>
      <c r="P108" s="581" t="s">
        <v>560</v>
      </c>
      <c r="Q108" s="581">
        <v>1</v>
      </c>
      <c r="R108" s="582" t="s">
        <v>521</v>
      </c>
      <c r="S108" s="583">
        <v>90000</v>
      </c>
      <c r="T108" s="584">
        <f t="shared" si="6"/>
        <v>90000</v>
      </c>
      <c r="U108" s="579">
        <f>+T108/('[3]PECECITOS DE COLORES'!$J$5)</f>
        <v>3.1380753138075312</v>
      </c>
    </row>
    <row r="109" spans="2:33" ht="33.75" x14ac:dyDescent="0.2">
      <c r="B109" s="1110"/>
      <c r="C109" s="573"/>
      <c r="D109" s="574" t="s">
        <v>612</v>
      </c>
      <c r="E109" s="581" t="s">
        <v>604</v>
      </c>
      <c r="F109" s="581">
        <v>14</v>
      </c>
      <c r="G109" s="582" t="s">
        <v>532</v>
      </c>
      <c r="H109" s="582"/>
      <c r="I109" s="583">
        <v>65000</v>
      </c>
      <c r="J109" s="584">
        <f t="shared" si="4"/>
        <v>910000</v>
      </c>
      <c r="K109" s="579"/>
      <c r="M109" s="1110"/>
      <c r="N109" s="1117"/>
      <c r="O109" s="574" t="s">
        <v>613</v>
      </c>
      <c r="P109" s="581" t="s">
        <v>560</v>
      </c>
      <c r="Q109" s="581">
        <v>1</v>
      </c>
      <c r="R109" s="582" t="s">
        <v>521</v>
      </c>
      <c r="S109" s="583">
        <v>70000</v>
      </c>
      <c r="T109" s="584">
        <f t="shared" si="6"/>
        <v>70000</v>
      </c>
      <c r="U109" s="579">
        <f>+T109/('[3]PECECITOS DE COLORES'!$J$5)</f>
        <v>2.4407252440725244</v>
      </c>
    </row>
    <row r="110" spans="2:33" ht="22.5" x14ac:dyDescent="0.2">
      <c r="B110" s="1110"/>
      <c r="C110" s="573"/>
      <c r="D110" s="574" t="s">
        <v>614</v>
      </c>
      <c r="E110" s="581" t="s">
        <v>604</v>
      </c>
      <c r="F110" s="581">
        <v>1</v>
      </c>
      <c r="G110" s="582" t="s">
        <v>532</v>
      </c>
      <c r="H110" s="582"/>
      <c r="I110" s="583">
        <v>710450</v>
      </c>
      <c r="J110" s="584">
        <f t="shared" si="4"/>
        <v>710450</v>
      </c>
      <c r="K110" s="579"/>
      <c r="M110" s="1110"/>
      <c r="N110" s="573" t="s">
        <v>599</v>
      </c>
      <c r="O110" s="574" t="s">
        <v>600</v>
      </c>
      <c r="P110" s="581" t="s">
        <v>560</v>
      </c>
      <c r="Q110" s="581">
        <v>1</v>
      </c>
      <c r="R110" s="582" t="s">
        <v>521</v>
      </c>
      <c r="S110" s="583">
        <v>250000</v>
      </c>
      <c r="T110" s="584">
        <f t="shared" si="6"/>
        <v>250000</v>
      </c>
      <c r="U110" s="579">
        <f>+T110/('[3]PECECITOS DE COLORES'!$J$5)</f>
        <v>8.7168758716875878</v>
      </c>
    </row>
    <row r="111" spans="2:33" ht="22.5" customHeight="1" x14ac:dyDescent="0.2">
      <c r="B111" s="1110"/>
      <c r="C111" s="573"/>
      <c r="D111" s="574" t="s">
        <v>615</v>
      </c>
      <c r="E111" s="581" t="s">
        <v>604</v>
      </c>
      <c r="F111" s="581">
        <v>1</v>
      </c>
      <c r="G111" s="582" t="s">
        <v>532</v>
      </c>
      <c r="H111" s="582"/>
      <c r="I111" s="583">
        <v>458700</v>
      </c>
      <c r="J111" s="584">
        <f t="shared" si="4"/>
        <v>458700</v>
      </c>
      <c r="K111" s="579"/>
      <c r="M111" s="1110" t="s">
        <v>601</v>
      </c>
      <c r="N111" s="573"/>
      <c r="O111" s="574" t="s">
        <v>603</v>
      </c>
      <c r="P111" s="581" t="s">
        <v>604</v>
      </c>
      <c r="Q111" s="581">
        <v>610</v>
      </c>
      <c r="R111" s="582" t="s">
        <v>544</v>
      </c>
      <c r="S111" s="583">
        <f>+S84*4</f>
        <v>19456</v>
      </c>
      <c r="T111" s="584">
        <f t="shared" si="6"/>
        <v>11868160</v>
      </c>
      <c r="U111" s="579"/>
    </row>
    <row r="112" spans="2:33" ht="22.5" x14ac:dyDescent="0.2">
      <c r="B112" s="1110"/>
      <c r="C112" s="573"/>
      <c r="D112" s="574" t="s">
        <v>616</v>
      </c>
      <c r="E112" s="581" t="s">
        <v>604</v>
      </c>
      <c r="F112" s="581">
        <v>1</v>
      </c>
      <c r="G112" s="582" t="s">
        <v>532</v>
      </c>
      <c r="H112" s="582"/>
      <c r="I112" s="583">
        <v>124500</v>
      </c>
      <c r="J112" s="584">
        <f t="shared" si="4"/>
        <v>124500</v>
      </c>
      <c r="K112" s="579"/>
      <c r="M112" s="1110"/>
      <c r="N112" s="573"/>
      <c r="O112" s="574" t="s">
        <v>605</v>
      </c>
      <c r="P112" s="581" t="s">
        <v>604</v>
      </c>
      <c r="Q112" s="581">
        <v>1</v>
      </c>
      <c r="R112" s="582" t="s">
        <v>544</v>
      </c>
      <c r="S112" s="583">
        <v>26435</v>
      </c>
      <c r="T112" s="584">
        <f t="shared" si="6"/>
        <v>26435</v>
      </c>
      <c r="U112" s="579"/>
    </row>
    <row r="113" spans="2:21" ht="22.5" x14ac:dyDescent="0.2">
      <c r="B113" s="1110"/>
      <c r="C113" s="573"/>
      <c r="D113" s="574"/>
      <c r="E113" s="581"/>
      <c r="F113" s="581"/>
      <c r="G113" s="582"/>
      <c r="H113" s="582"/>
      <c r="I113" s="583"/>
      <c r="J113" s="584"/>
      <c r="K113" s="579"/>
      <c r="M113" s="1110"/>
      <c r="N113" s="573"/>
      <c r="O113" s="574" t="s">
        <v>606</v>
      </c>
      <c r="P113" s="581" t="s">
        <v>604</v>
      </c>
      <c r="Q113" s="581">
        <v>1</v>
      </c>
      <c r="R113" s="582" t="s">
        <v>607</v>
      </c>
      <c r="S113" s="583">
        <v>120000</v>
      </c>
      <c r="T113" s="584">
        <f t="shared" si="6"/>
        <v>120000</v>
      </c>
      <c r="U113" s="579"/>
    </row>
    <row r="114" spans="2:21" ht="22.5" x14ac:dyDescent="0.2">
      <c r="J114" s="581" t="s">
        <v>617</v>
      </c>
      <c r="K114" s="618">
        <f>SUM(K71:K113)</f>
        <v>270.63326359832638</v>
      </c>
      <c r="M114" s="1110"/>
      <c r="N114" s="573"/>
      <c r="O114" s="574" t="s">
        <v>609</v>
      </c>
      <c r="P114" s="581" t="s">
        <v>610</v>
      </c>
      <c r="Q114" s="581">
        <v>25</v>
      </c>
      <c r="R114" s="582" t="s">
        <v>532</v>
      </c>
      <c r="S114" s="583">
        <v>85114</v>
      </c>
      <c r="T114" s="584">
        <f t="shared" si="6"/>
        <v>2127850</v>
      </c>
      <c r="U114" s="579"/>
    </row>
    <row r="115" spans="2:21" ht="22.5" x14ac:dyDescent="0.2">
      <c r="J115" s="613">
        <v>30000</v>
      </c>
      <c r="K115" s="619">
        <f>J115*K114</f>
        <v>8118997.9079497913</v>
      </c>
      <c r="M115" s="1110"/>
      <c r="N115" s="573"/>
      <c r="O115" s="574" t="s">
        <v>612</v>
      </c>
      <c r="P115" s="581" t="s">
        <v>604</v>
      </c>
      <c r="Q115" s="581">
        <v>1</v>
      </c>
      <c r="R115" s="582" t="s">
        <v>532</v>
      </c>
      <c r="S115" s="583">
        <v>65000</v>
      </c>
      <c r="T115" s="584">
        <f t="shared" si="6"/>
        <v>65000</v>
      </c>
      <c r="U115" s="579"/>
    </row>
    <row r="116" spans="2:21" x14ac:dyDescent="0.2">
      <c r="M116" s="1110"/>
      <c r="N116" s="573"/>
      <c r="O116" s="574" t="s">
        <v>614</v>
      </c>
      <c r="P116" s="581" t="s">
        <v>623</v>
      </c>
      <c r="Q116" s="581">
        <v>1</v>
      </c>
      <c r="R116" s="582" t="s">
        <v>532</v>
      </c>
      <c r="S116" s="583">
        <v>710450</v>
      </c>
      <c r="T116" s="584">
        <f t="shared" si="6"/>
        <v>710450</v>
      </c>
      <c r="U116" s="579"/>
    </row>
    <row r="117" spans="2:21" x14ac:dyDescent="0.2">
      <c r="M117" s="1110"/>
      <c r="N117" s="573"/>
      <c r="O117" s="574" t="s">
        <v>615</v>
      </c>
      <c r="P117" s="581" t="s">
        <v>604</v>
      </c>
      <c r="Q117" s="581">
        <v>1</v>
      </c>
      <c r="R117" s="582" t="s">
        <v>532</v>
      </c>
      <c r="S117" s="583">
        <v>458700</v>
      </c>
      <c r="T117" s="584">
        <f t="shared" si="6"/>
        <v>458700</v>
      </c>
      <c r="U117" s="579"/>
    </row>
    <row r="118" spans="2:21" x14ac:dyDescent="0.2">
      <c r="M118" s="1110"/>
      <c r="N118" s="573"/>
      <c r="O118" s="574" t="s">
        <v>616</v>
      </c>
      <c r="P118" s="581" t="s">
        <v>624</v>
      </c>
      <c r="Q118" s="581">
        <v>1</v>
      </c>
      <c r="R118" s="582" t="s">
        <v>532</v>
      </c>
      <c r="S118" s="583">
        <v>124500</v>
      </c>
      <c r="T118" s="584">
        <f t="shared" si="6"/>
        <v>124500</v>
      </c>
      <c r="U118" s="579"/>
    </row>
    <row r="119" spans="2:21" ht="22.5" x14ac:dyDescent="0.2">
      <c r="M119" s="1110"/>
      <c r="N119" s="573"/>
      <c r="O119" s="574" t="s">
        <v>618</v>
      </c>
      <c r="P119" s="581" t="s">
        <v>604</v>
      </c>
      <c r="Q119" s="581">
        <v>140</v>
      </c>
      <c r="R119" s="582" t="s">
        <v>619</v>
      </c>
      <c r="S119" s="583">
        <v>26642</v>
      </c>
      <c r="T119" s="584">
        <f t="shared" si="6"/>
        <v>3729880</v>
      </c>
      <c r="U119" s="579"/>
    </row>
    <row r="120" spans="2:21" x14ac:dyDescent="0.2">
      <c r="M120" s="1110"/>
      <c r="N120" s="573"/>
      <c r="O120" s="574"/>
      <c r="P120" s="581"/>
      <c r="Q120" s="581"/>
      <c r="R120" s="582"/>
      <c r="S120" s="583"/>
      <c r="T120" s="584"/>
      <c r="U120" s="579"/>
    </row>
    <row r="121" spans="2:21" x14ac:dyDescent="0.2">
      <c r="T121" s="581" t="s">
        <v>617</v>
      </c>
      <c r="U121" s="618">
        <f>SUM(U71:U120)</f>
        <v>441.15289400278931</v>
      </c>
    </row>
    <row r="122" spans="2:21" x14ac:dyDescent="0.2">
      <c r="T122" s="613">
        <v>30000</v>
      </c>
      <c r="U122" s="616">
        <f>T122*U121</f>
        <v>13234586.82008368</v>
      </c>
    </row>
    <row r="129" spans="1:26" ht="15" x14ac:dyDescent="0.25">
      <c r="B129" s="1111" t="s">
        <v>625</v>
      </c>
      <c r="C129" s="1111"/>
      <c r="D129" s="1111"/>
      <c r="E129" s="1111"/>
    </row>
    <row r="130" spans="1:26" ht="25.5" x14ac:dyDescent="0.2">
      <c r="B130" s="620" t="s">
        <v>626</v>
      </c>
      <c r="C130" s="621" t="s">
        <v>627</v>
      </c>
      <c r="D130" s="622" t="s">
        <v>628</v>
      </c>
      <c r="E130" s="622" t="s">
        <v>629</v>
      </c>
      <c r="F130" s="622" t="s">
        <v>630</v>
      </c>
      <c r="G130" s="622" t="s">
        <v>631</v>
      </c>
      <c r="H130" s="561" t="s">
        <v>632</v>
      </c>
      <c r="I130" s="622" t="s">
        <v>633</v>
      </c>
      <c r="J130" s="623" t="s">
        <v>170</v>
      </c>
    </row>
    <row r="131" spans="1:26" ht="15" x14ac:dyDescent="0.25">
      <c r="A131" s="624" t="s">
        <v>634</v>
      </c>
      <c r="B131" s="625">
        <v>100</v>
      </c>
      <c r="C131" s="625">
        <v>4</v>
      </c>
      <c r="D131" s="626">
        <v>1</v>
      </c>
      <c r="E131" s="626">
        <v>4</v>
      </c>
      <c r="F131" s="626">
        <v>7</v>
      </c>
      <c r="G131" s="626">
        <v>2</v>
      </c>
      <c r="H131" s="626">
        <v>1</v>
      </c>
      <c r="I131" s="626">
        <v>2</v>
      </c>
      <c r="J131" s="627">
        <f t="shared" ref="J131:J136" si="7">SUM(D131:I131)</f>
        <v>17</v>
      </c>
      <c r="R131" s="628">
        <v>2022</v>
      </c>
      <c r="T131" s="629" t="s">
        <v>635</v>
      </c>
      <c r="U131" s="629"/>
      <c r="V131" s="630"/>
      <c r="W131" s="630"/>
      <c r="X131" s="630"/>
      <c r="Y131" s="630"/>
    </row>
    <row r="132" spans="1:26" ht="15" customHeight="1" x14ac:dyDescent="0.25">
      <c r="A132" s="624" t="s">
        <v>636</v>
      </c>
      <c r="B132" s="631">
        <v>83</v>
      </c>
      <c r="C132" s="631">
        <v>4</v>
      </c>
      <c r="D132" s="624">
        <v>1</v>
      </c>
      <c r="E132" s="624">
        <v>4</v>
      </c>
      <c r="F132" s="624">
        <v>7</v>
      </c>
      <c r="G132" s="624">
        <v>2</v>
      </c>
      <c r="H132" s="624"/>
      <c r="I132" s="624">
        <v>1</v>
      </c>
      <c r="J132" s="620">
        <f t="shared" si="7"/>
        <v>15</v>
      </c>
      <c r="M132" s="632">
        <v>1</v>
      </c>
      <c r="N132" s="633" t="s">
        <v>637</v>
      </c>
      <c r="O132" s="634"/>
      <c r="P132" s="634"/>
      <c r="Q132" s="635" t="s">
        <v>638</v>
      </c>
      <c r="R132" s="1112" t="s">
        <v>639</v>
      </c>
      <c r="T132" s="636"/>
      <c r="U132" s="637"/>
      <c r="V132" s="630"/>
      <c r="W132" s="630"/>
      <c r="X132" s="630"/>
      <c r="Y132" s="630"/>
    </row>
    <row r="133" spans="1:26" ht="15" x14ac:dyDescent="0.25">
      <c r="A133" s="624" t="s">
        <v>640</v>
      </c>
      <c r="B133" s="631">
        <v>0</v>
      </c>
      <c r="C133" s="631">
        <v>0</v>
      </c>
      <c r="D133" s="624">
        <v>0</v>
      </c>
      <c r="E133" s="624">
        <v>0</v>
      </c>
      <c r="F133" s="624">
        <v>0</v>
      </c>
      <c r="G133" s="624">
        <v>0</v>
      </c>
      <c r="H133" s="624"/>
      <c r="I133" s="624">
        <v>0</v>
      </c>
      <c r="J133" s="620">
        <f t="shared" si="7"/>
        <v>0</v>
      </c>
      <c r="M133" s="638">
        <v>2</v>
      </c>
      <c r="N133" s="639" t="s">
        <v>641</v>
      </c>
      <c r="O133" s="640"/>
      <c r="P133" s="640"/>
      <c r="Q133" s="641" t="s">
        <v>638</v>
      </c>
      <c r="R133" s="1112"/>
      <c r="Y133" s="628" t="s">
        <v>642</v>
      </c>
    </row>
    <row r="134" spans="1:26" ht="15" x14ac:dyDescent="0.25">
      <c r="A134" s="624" t="s">
        <v>643</v>
      </c>
      <c r="B134" s="631">
        <v>0</v>
      </c>
      <c r="C134" s="631">
        <v>0</v>
      </c>
      <c r="D134" s="640">
        <v>0</v>
      </c>
      <c r="E134" s="640">
        <v>0</v>
      </c>
      <c r="F134" s="640">
        <v>0</v>
      </c>
      <c r="G134" s="640">
        <v>0</v>
      </c>
      <c r="H134" s="640"/>
      <c r="I134" s="640">
        <v>0</v>
      </c>
      <c r="J134" s="620">
        <f t="shared" si="7"/>
        <v>0</v>
      </c>
      <c r="M134" s="638">
        <v>3</v>
      </c>
      <c r="N134" s="639" t="s">
        <v>644</v>
      </c>
      <c r="O134" s="640"/>
      <c r="P134" s="640"/>
      <c r="Q134" s="641" t="s">
        <v>638</v>
      </c>
      <c r="R134" s="1112"/>
      <c r="T134" s="620">
        <v>1</v>
      </c>
      <c r="U134" s="639" t="s">
        <v>645</v>
      </c>
      <c r="V134" s="640"/>
      <c r="W134" s="640"/>
      <c r="X134" s="620" t="s">
        <v>646</v>
      </c>
      <c r="Y134" s="620" t="s">
        <v>647</v>
      </c>
    </row>
    <row r="135" spans="1:26" ht="15" x14ac:dyDescent="0.25">
      <c r="A135" s="624" t="s">
        <v>648</v>
      </c>
      <c r="B135" s="631">
        <v>34</v>
      </c>
      <c r="C135" s="631">
        <v>3</v>
      </c>
      <c r="D135" s="640">
        <v>1</v>
      </c>
      <c r="E135" s="640">
        <v>2</v>
      </c>
      <c r="F135" s="640">
        <v>6</v>
      </c>
      <c r="G135" s="640">
        <v>1</v>
      </c>
      <c r="H135" s="640"/>
      <c r="I135" s="640">
        <v>1</v>
      </c>
      <c r="J135" s="620">
        <f t="shared" si="7"/>
        <v>11</v>
      </c>
      <c r="M135" s="638">
        <v>4</v>
      </c>
      <c r="N135" s="639" t="s">
        <v>649</v>
      </c>
      <c r="O135" s="640"/>
      <c r="P135" s="640"/>
      <c r="Q135" s="641" t="s">
        <v>638</v>
      </c>
      <c r="R135" s="1112"/>
      <c r="T135" s="642">
        <v>2</v>
      </c>
      <c r="U135" s="643" t="s">
        <v>650</v>
      </c>
      <c r="V135" s="644"/>
      <c r="W135" s="644"/>
      <c r="X135" s="642" t="s">
        <v>651</v>
      </c>
      <c r="Y135" s="642" t="s">
        <v>652</v>
      </c>
      <c r="Z135" s="561" t="s">
        <v>653</v>
      </c>
    </row>
    <row r="136" spans="1:26" ht="15" x14ac:dyDescent="0.25">
      <c r="A136" s="624" t="s">
        <v>654</v>
      </c>
      <c r="B136" s="645">
        <v>63</v>
      </c>
      <c r="C136" s="645">
        <v>4</v>
      </c>
      <c r="D136" s="646">
        <v>1</v>
      </c>
      <c r="E136" s="646">
        <v>4</v>
      </c>
      <c r="F136" s="646">
        <v>9</v>
      </c>
      <c r="G136" s="646">
        <v>2</v>
      </c>
      <c r="H136" s="646"/>
      <c r="I136" s="646">
        <v>1</v>
      </c>
      <c r="J136" s="647">
        <f t="shared" si="7"/>
        <v>17</v>
      </c>
      <c r="M136" s="638">
        <v>5</v>
      </c>
      <c r="N136" s="639" t="s">
        <v>655</v>
      </c>
      <c r="O136" s="640"/>
      <c r="P136" s="640"/>
      <c r="Q136" s="641" t="s">
        <v>638</v>
      </c>
      <c r="R136" s="1112"/>
      <c r="T136" s="642">
        <v>3</v>
      </c>
      <c r="U136" s="643" t="s">
        <v>656</v>
      </c>
      <c r="V136" s="644"/>
      <c r="W136" s="644"/>
      <c r="X136" s="642" t="s">
        <v>651</v>
      </c>
      <c r="Y136" s="642" t="s">
        <v>652</v>
      </c>
      <c r="Z136" s="561" t="s">
        <v>653</v>
      </c>
    </row>
    <row r="137" spans="1:26" ht="15" x14ac:dyDescent="0.25">
      <c r="A137" s="624" t="s">
        <v>657</v>
      </c>
      <c r="B137" s="631">
        <v>12</v>
      </c>
      <c r="C137" s="648">
        <v>1</v>
      </c>
      <c r="D137" s="624">
        <v>0</v>
      </c>
      <c r="E137" s="624">
        <v>0</v>
      </c>
      <c r="F137" s="624">
        <v>6</v>
      </c>
      <c r="G137" s="624">
        <v>0</v>
      </c>
      <c r="H137" s="624"/>
      <c r="I137" s="624">
        <v>0</v>
      </c>
      <c r="J137" s="620">
        <f>SUM(F137:I137)</f>
        <v>6</v>
      </c>
      <c r="M137" s="638">
        <v>6</v>
      </c>
      <c r="N137" s="639" t="s">
        <v>658</v>
      </c>
      <c r="O137" s="640"/>
      <c r="P137" s="640"/>
      <c r="Q137" s="641" t="s">
        <v>638</v>
      </c>
      <c r="R137" s="1112"/>
      <c r="T137" s="649">
        <v>4</v>
      </c>
      <c r="U137" s="650" t="s">
        <v>659</v>
      </c>
      <c r="V137" s="651"/>
      <c r="W137" s="651"/>
      <c r="X137" s="649" t="s">
        <v>651</v>
      </c>
      <c r="Y137" s="649" t="s">
        <v>652</v>
      </c>
      <c r="Z137" s="561" t="s">
        <v>653</v>
      </c>
    </row>
    <row r="138" spans="1:26" ht="15" x14ac:dyDescent="0.25">
      <c r="D138" s="561">
        <f>SUM(D131:D137)</f>
        <v>4</v>
      </c>
      <c r="E138" s="561">
        <f>SUM(E131:E137)</f>
        <v>14</v>
      </c>
      <c r="F138" s="561">
        <f>SUM(F131:F137)</f>
        <v>35</v>
      </c>
      <c r="G138" s="561">
        <f>SUM(G131:G137)</f>
        <v>7</v>
      </c>
      <c r="I138" s="561">
        <f>SUM(I131:I137)</f>
        <v>5</v>
      </c>
      <c r="J138" s="652">
        <f>SUM(J131:J137)</f>
        <v>66</v>
      </c>
      <c r="M138" s="653">
        <v>7</v>
      </c>
      <c r="N138" s="654" t="s">
        <v>660</v>
      </c>
      <c r="O138" s="655"/>
      <c r="P138" s="655"/>
      <c r="Q138" s="656" t="s">
        <v>638</v>
      </c>
      <c r="R138" s="1112"/>
      <c r="T138" s="642">
        <v>5</v>
      </c>
      <c r="U138" s="643" t="s">
        <v>661</v>
      </c>
      <c r="V138" s="644"/>
      <c r="W138" s="644"/>
      <c r="X138" s="642" t="s">
        <v>651</v>
      </c>
      <c r="Y138" s="642" t="s">
        <v>652</v>
      </c>
      <c r="Z138" s="561" t="s">
        <v>653</v>
      </c>
    </row>
    <row r="139" spans="1:26" ht="12.75" customHeight="1" x14ac:dyDescent="0.2">
      <c r="M139" s="632">
        <v>8</v>
      </c>
      <c r="N139" s="633" t="s">
        <v>662</v>
      </c>
      <c r="O139" s="634"/>
      <c r="P139" s="634"/>
      <c r="Q139" s="657" t="s">
        <v>636</v>
      </c>
      <c r="R139" s="1112" t="s">
        <v>663</v>
      </c>
      <c r="T139" s="620">
        <v>6</v>
      </c>
      <c r="U139" s="639" t="s">
        <v>664</v>
      </c>
      <c r="V139" s="640"/>
      <c r="W139" s="640"/>
      <c r="X139" s="620" t="s">
        <v>646</v>
      </c>
      <c r="Y139" s="620" t="s">
        <v>647</v>
      </c>
    </row>
    <row r="140" spans="1:26" x14ac:dyDescent="0.2">
      <c r="M140" s="638">
        <v>10</v>
      </c>
      <c r="N140" s="639" t="s">
        <v>665</v>
      </c>
      <c r="O140" s="640"/>
      <c r="P140" s="640"/>
      <c r="Q140" s="620" t="s">
        <v>636</v>
      </c>
      <c r="R140" s="1112"/>
      <c r="T140" s="620">
        <v>7</v>
      </c>
      <c r="U140" s="639" t="s">
        <v>666</v>
      </c>
      <c r="V140" s="640"/>
      <c r="W140" s="640"/>
      <c r="X140" s="620" t="s">
        <v>646</v>
      </c>
      <c r="Y140" s="620" t="s">
        <v>647</v>
      </c>
    </row>
    <row r="141" spans="1:26" x14ac:dyDescent="0.2">
      <c r="M141" s="638">
        <v>11</v>
      </c>
      <c r="N141" s="639" t="s">
        <v>667</v>
      </c>
      <c r="O141" s="640"/>
      <c r="P141" s="640"/>
      <c r="Q141" s="620" t="s">
        <v>636</v>
      </c>
      <c r="R141" s="1112"/>
      <c r="Y141" s="628"/>
    </row>
    <row r="142" spans="1:26" x14ac:dyDescent="0.2">
      <c r="M142" s="638">
        <v>12</v>
      </c>
      <c r="N142" s="639" t="s">
        <v>668</v>
      </c>
      <c r="O142" s="640"/>
      <c r="P142" s="640"/>
      <c r="Q142" s="620" t="s">
        <v>636</v>
      </c>
      <c r="R142" s="1112"/>
      <c r="T142" s="636"/>
      <c r="U142" s="637"/>
      <c r="V142" s="630"/>
      <c r="W142" s="630"/>
      <c r="X142" s="636"/>
      <c r="Y142" s="636"/>
    </row>
    <row r="143" spans="1:26" x14ac:dyDescent="0.2">
      <c r="M143" s="638">
        <v>13</v>
      </c>
      <c r="N143" s="639" t="s">
        <v>669</v>
      </c>
      <c r="O143" s="640"/>
      <c r="P143" s="640"/>
      <c r="Q143" s="620" t="s">
        <v>636</v>
      </c>
      <c r="R143" s="1112"/>
      <c r="T143" s="636"/>
      <c r="U143" s="637"/>
      <c r="V143" s="630"/>
      <c r="W143" s="630"/>
      <c r="X143" s="636"/>
      <c r="Y143" s="636"/>
    </row>
    <row r="144" spans="1:26" x14ac:dyDescent="0.2">
      <c r="M144" s="638">
        <v>14</v>
      </c>
      <c r="N144" s="639" t="s">
        <v>670</v>
      </c>
      <c r="O144" s="640"/>
      <c r="P144" s="640"/>
      <c r="Q144" s="620" t="s">
        <v>636</v>
      </c>
      <c r="R144" s="1112"/>
      <c r="T144" s="636"/>
      <c r="U144" s="637"/>
      <c r="V144" s="630"/>
      <c r="W144" s="630"/>
      <c r="X144" s="636"/>
      <c r="Y144" s="636"/>
    </row>
    <row r="145" spans="13:25" x14ac:dyDescent="0.2">
      <c r="M145" s="653">
        <v>15</v>
      </c>
      <c r="N145" s="654" t="s">
        <v>671</v>
      </c>
      <c r="O145" s="655"/>
      <c r="P145" s="655"/>
      <c r="Q145" s="658" t="s">
        <v>636</v>
      </c>
      <c r="R145" s="1112"/>
      <c r="T145" s="636"/>
      <c r="U145" s="637"/>
      <c r="V145" s="630"/>
      <c r="W145" s="630"/>
      <c r="X145" s="636"/>
      <c r="Y145" s="636"/>
    </row>
    <row r="146" spans="13:25" ht="12.75" customHeight="1" x14ac:dyDescent="0.2">
      <c r="M146" s="632">
        <v>16</v>
      </c>
      <c r="N146" s="633" t="s">
        <v>672</v>
      </c>
      <c r="O146" s="634"/>
      <c r="P146" s="634"/>
      <c r="Q146" s="659" t="s">
        <v>648</v>
      </c>
      <c r="R146" s="1112" t="s">
        <v>673</v>
      </c>
      <c r="T146" s="636"/>
      <c r="U146" s="637"/>
      <c r="V146" s="630"/>
      <c r="W146" s="630"/>
      <c r="X146" s="636"/>
      <c r="Y146" s="636"/>
    </row>
    <row r="147" spans="13:25" x14ac:dyDescent="0.2">
      <c r="M147" s="638">
        <v>17</v>
      </c>
      <c r="N147" s="639" t="s">
        <v>674</v>
      </c>
      <c r="O147" s="640"/>
      <c r="P147" s="640"/>
      <c r="Q147" s="660" t="s">
        <v>648</v>
      </c>
      <c r="R147" s="1112"/>
      <c r="T147" s="636"/>
      <c r="U147" s="637"/>
      <c r="V147" s="630"/>
      <c r="W147" s="630"/>
      <c r="X147" s="636"/>
      <c r="Y147" s="636"/>
    </row>
    <row r="148" spans="13:25" x14ac:dyDescent="0.2">
      <c r="M148" s="638">
        <v>18</v>
      </c>
      <c r="N148" s="639" t="s">
        <v>675</v>
      </c>
      <c r="O148" s="640"/>
      <c r="P148" s="640"/>
      <c r="Q148" s="660" t="s">
        <v>648</v>
      </c>
      <c r="R148" s="1112"/>
      <c r="T148" s="636"/>
      <c r="U148" s="637"/>
      <c r="V148" s="630"/>
      <c r="W148" s="630"/>
      <c r="X148" s="636"/>
      <c r="Y148" s="636"/>
    </row>
    <row r="149" spans="13:25" x14ac:dyDescent="0.2">
      <c r="M149" s="638">
        <v>19</v>
      </c>
      <c r="N149" s="639" t="s">
        <v>676</v>
      </c>
      <c r="O149" s="640"/>
      <c r="P149" s="640"/>
      <c r="Q149" s="660" t="s">
        <v>648</v>
      </c>
      <c r="R149" s="1112"/>
      <c r="T149" s="636"/>
      <c r="U149" s="637"/>
      <c r="V149" s="630"/>
      <c r="W149" s="630"/>
      <c r="X149" s="636"/>
      <c r="Y149" s="636"/>
    </row>
    <row r="150" spans="13:25" x14ac:dyDescent="0.2">
      <c r="M150" s="638">
        <v>20</v>
      </c>
      <c r="N150" s="639" t="s">
        <v>677</v>
      </c>
      <c r="O150" s="640"/>
      <c r="P150" s="640"/>
      <c r="Q150" s="660" t="s">
        <v>648</v>
      </c>
      <c r="R150" s="1112"/>
      <c r="T150" s="630"/>
      <c r="U150" s="630"/>
      <c r="V150" s="630"/>
      <c r="W150" s="630"/>
      <c r="X150" s="630"/>
      <c r="Y150" s="630"/>
    </row>
    <row r="151" spans="13:25" x14ac:dyDescent="0.2">
      <c r="M151" s="653">
        <v>21</v>
      </c>
      <c r="N151" s="654" t="s">
        <v>678</v>
      </c>
      <c r="O151" s="655"/>
      <c r="P151" s="655"/>
      <c r="Q151" s="661" t="s">
        <v>648</v>
      </c>
      <c r="R151" s="1112"/>
      <c r="T151" s="630"/>
      <c r="U151" s="630"/>
      <c r="V151" s="630"/>
      <c r="W151" s="630"/>
      <c r="X151" s="630"/>
      <c r="Y151" s="630"/>
    </row>
    <row r="152" spans="13:25" ht="12.75" customHeight="1" x14ac:dyDescent="0.2">
      <c r="M152" s="632">
        <v>22</v>
      </c>
      <c r="N152" s="633" t="s">
        <v>679</v>
      </c>
      <c r="O152" s="634"/>
      <c r="P152" s="634"/>
      <c r="Q152" s="659" t="s">
        <v>620</v>
      </c>
      <c r="R152" s="1113" t="s">
        <v>680</v>
      </c>
      <c r="T152" s="630"/>
      <c r="U152" s="630"/>
      <c r="V152" s="630"/>
      <c r="W152" s="630"/>
      <c r="X152" s="630"/>
      <c r="Y152" s="630"/>
    </row>
    <row r="153" spans="13:25" x14ac:dyDescent="0.2">
      <c r="M153" s="638">
        <v>23</v>
      </c>
      <c r="N153" s="639" t="s">
        <v>681</v>
      </c>
      <c r="O153" s="640"/>
      <c r="P153" s="640"/>
      <c r="Q153" s="660" t="s">
        <v>620</v>
      </c>
      <c r="R153" s="1113"/>
    </row>
    <row r="154" spans="13:25" x14ac:dyDescent="0.2">
      <c r="M154" s="638">
        <v>24</v>
      </c>
      <c r="N154" s="639" t="s">
        <v>682</v>
      </c>
      <c r="O154" s="640"/>
      <c r="P154" s="640"/>
      <c r="Q154" s="660" t="s">
        <v>620</v>
      </c>
      <c r="R154" s="1113"/>
    </row>
    <row r="155" spans="13:25" x14ac:dyDescent="0.2">
      <c r="M155" s="638">
        <v>25</v>
      </c>
      <c r="N155" s="639" t="s">
        <v>683</v>
      </c>
      <c r="O155" s="640"/>
      <c r="P155" s="640"/>
      <c r="Q155" s="660" t="s">
        <v>620</v>
      </c>
      <c r="R155" s="1113"/>
    </row>
    <row r="156" spans="13:25" x14ac:dyDescent="0.2">
      <c r="M156" s="638">
        <v>27</v>
      </c>
      <c r="N156" s="639" t="s">
        <v>684</v>
      </c>
      <c r="O156" s="640"/>
      <c r="P156" s="640"/>
      <c r="Q156" s="660" t="s">
        <v>620</v>
      </c>
      <c r="R156" s="1113"/>
    </row>
    <row r="157" spans="13:25" x14ac:dyDescent="0.2">
      <c r="M157" s="638">
        <v>28</v>
      </c>
      <c r="N157" s="639" t="s">
        <v>685</v>
      </c>
      <c r="O157" s="640"/>
      <c r="P157" s="640"/>
      <c r="Q157" s="660" t="s">
        <v>620</v>
      </c>
      <c r="R157" s="1113"/>
    </row>
    <row r="158" spans="13:25" x14ac:dyDescent="0.2">
      <c r="M158" s="638">
        <v>30</v>
      </c>
      <c r="N158" s="639" t="s">
        <v>686</v>
      </c>
      <c r="O158" s="640"/>
      <c r="P158" s="640"/>
      <c r="Q158" s="660" t="s">
        <v>620</v>
      </c>
      <c r="R158" s="1113"/>
    </row>
    <row r="159" spans="13:25" x14ac:dyDescent="0.2">
      <c r="M159" s="638">
        <v>31</v>
      </c>
      <c r="N159" s="639" t="s">
        <v>687</v>
      </c>
      <c r="O159" s="640"/>
      <c r="P159" s="640"/>
      <c r="Q159" s="660" t="s">
        <v>620</v>
      </c>
      <c r="R159" s="1113"/>
    </row>
    <row r="160" spans="13:25" x14ac:dyDescent="0.2">
      <c r="M160" s="653">
        <v>32</v>
      </c>
      <c r="N160" s="654" t="s">
        <v>688</v>
      </c>
      <c r="O160" s="655"/>
      <c r="P160" s="655"/>
      <c r="Q160" s="662" t="s">
        <v>620</v>
      </c>
      <c r="R160" s="1113"/>
    </row>
    <row r="161" spans="1:29" ht="15" x14ac:dyDescent="0.25">
      <c r="M161" s="663"/>
      <c r="N161" s="664"/>
      <c r="O161" s="665"/>
      <c r="P161" s="665"/>
      <c r="Q161" s="666" t="s">
        <v>689</v>
      </c>
      <c r="R161" s="667">
        <v>32</v>
      </c>
    </row>
    <row r="162" spans="1:29" x14ac:dyDescent="0.2">
      <c r="M162" s="1114"/>
      <c r="N162" s="1114"/>
      <c r="O162" s="1114"/>
      <c r="P162" s="1114"/>
      <c r="Q162" s="1114"/>
      <c r="R162" s="1114"/>
    </row>
    <row r="163" spans="1:29" x14ac:dyDescent="0.2">
      <c r="M163" s="632">
        <v>1</v>
      </c>
      <c r="N163" s="633" t="s">
        <v>690</v>
      </c>
      <c r="O163" s="634"/>
      <c r="P163" s="634"/>
      <c r="Q163" s="657" t="s">
        <v>691</v>
      </c>
      <c r="R163" s="668"/>
    </row>
    <row r="164" spans="1:29" x14ac:dyDescent="0.2">
      <c r="M164" s="638">
        <v>2</v>
      </c>
      <c r="N164" s="639" t="s">
        <v>692</v>
      </c>
      <c r="O164" s="640"/>
      <c r="P164" s="640"/>
      <c r="Q164" s="620" t="s">
        <v>691</v>
      </c>
      <c r="R164" s="669"/>
    </row>
    <row r="165" spans="1:29" x14ac:dyDescent="0.2">
      <c r="M165" s="638">
        <v>3</v>
      </c>
      <c r="N165" s="639" t="s">
        <v>693</v>
      </c>
      <c r="O165" s="640"/>
      <c r="P165" s="640"/>
      <c r="Q165" s="620" t="s">
        <v>691</v>
      </c>
      <c r="R165" s="669"/>
    </row>
    <row r="166" spans="1:29" x14ac:dyDescent="0.2">
      <c r="M166" s="638">
        <v>4</v>
      </c>
      <c r="N166" s="639" t="s">
        <v>694</v>
      </c>
      <c r="O166" s="640"/>
      <c r="P166" s="640"/>
      <c r="Q166" s="620" t="s">
        <v>691</v>
      </c>
      <c r="R166" s="669"/>
    </row>
    <row r="167" spans="1:29" x14ac:dyDescent="0.2">
      <c r="M167" s="638">
        <v>5</v>
      </c>
      <c r="N167" s="639" t="s">
        <v>695</v>
      </c>
      <c r="O167" s="640"/>
      <c r="P167" s="640"/>
      <c r="Q167" s="620" t="s">
        <v>691</v>
      </c>
      <c r="R167" s="669"/>
    </row>
    <row r="168" spans="1:29" x14ac:dyDescent="0.2">
      <c r="M168" s="653">
        <v>6</v>
      </c>
      <c r="N168" s="654" t="s">
        <v>696</v>
      </c>
      <c r="O168" s="655"/>
      <c r="P168" s="655"/>
      <c r="Q168" s="658" t="s">
        <v>691</v>
      </c>
      <c r="R168" s="670"/>
    </row>
    <row r="169" spans="1:29" ht="15" x14ac:dyDescent="0.25">
      <c r="M169" s="671"/>
      <c r="N169" s="665"/>
      <c r="O169" s="665"/>
      <c r="P169" s="665"/>
      <c r="Q169" s="666" t="s">
        <v>689</v>
      </c>
      <c r="R169" s="666">
        <v>6</v>
      </c>
    </row>
    <row r="174" spans="1:29" x14ac:dyDescent="0.2">
      <c r="A174" s="561" t="s">
        <v>697</v>
      </c>
      <c r="Y174" s="672"/>
      <c r="Z174" s="672"/>
      <c r="AA174" s="672"/>
      <c r="AB174" s="672"/>
      <c r="AC174" s="672"/>
    </row>
    <row r="175" spans="1:29" x14ac:dyDescent="0.2">
      <c r="Y175" s="672"/>
      <c r="Z175" s="672"/>
      <c r="AA175" s="672"/>
      <c r="AB175" s="672"/>
      <c r="AC175" s="672"/>
    </row>
    <row r="176" spans="1:29" x14ac:dyDescent="0.2">
      <c r="A176" s="565"/>
      <c r="B176" s="565"/>
      <c r="C176" s="565"/>
      <c r="D176" s="565"/>
      <c r="E176" s="565"/>
      <c r="F176" s="565"/>
      <c r="G176" s="565"/>
      <c r="H176" s="565"/>
      <c r="I176" s="565"/>
      <c r="J176" s="565"/>
      <c r="M176" s="672" t="s">
        <v>698</v>
      </c>
      <c r="N176" s="672"/>
      <c r="O176" s="672"/>
      <c r="P176" s="672"/>
      <c r="Q176" s="672"/>
      <c r="R176" s="672"/>
      <c r="S176" s="672"/>
      <c r="Y176" s="672"/>
      <c r="Z176" s="672"/>
      <c r="AA176" s="672"/>
      <c r="AB176" s="672"/>
      <c r="AC176" s="672"/>
    </row>
    <row r="177" spans="1:30" x14ac:dyDescent="0.2">
      <c r="A177" s="628" t="s">
        <v>699</v>
      </c>
      <c r="M177" s="673" t="s">
        <v>700</v>
      </c>
      <c r="N177" s="674"/>
      <c r="O177" s="674"/>
      <c r="P177" s="674"/>
      <c r="Q177" s="674"/>
      <c r="R177" s="674"/>
      <c r="S177" s="675"/>
      <c r="V177" s="676"/>
      <c r="W177" s="672"/>
      <c r="X177" s="672"/>
      <c r="Y177" s="677" t="s">
        <v>701</v>
      </c>
      <c r="Z177" s="677" t="s">
        <v>702</v>
      </c>
      <c r="AA177" s="677" t="s">
        <v>703</v>
      </c>
      <c r="AB177" s="678" t="s">
        <v>704</v>
      </c>
      <c r="AC177" s="1115" t="s">
        <v>705</v>
      </c>
      <c r="AD177" s="1115"/>
    </row>
    <row r="178" spans="1:30" x14ac:dyDescent="0.2">
      <c r="A178" s="679"/>
      <c r="B178" s="620" t="s">
        <v>706</v>
      </c>
      <c r="C178" s="620" t="s">
        <v>707</v>
      </c>
      <c r="D178" s="620" t="s">
        <v>708</v>
      </c>
      <c r="E178" s="620" t="s">
        <v>709</v>
      </c>
      <c r="F178" s="620"/>
      <c r="G178" s="620" t="s">
        <v>710</v>
      </c>
      <c r="H178" s="620"/>
      <c r="I178" s="620" t="s">
        <v>711</v>
      </c>
      <c r="M178" s="680" t="s">
        <v>712</v>
      </c>
      <c r="N178" s="672"/>
      <c r="O178" s="672"/>
      <c r="P178" s="672"/>
      <c r="Q178" s="672"/>
      <c r="R178" s="672"/>
      <c r="S178" s="681"/>
      <c r="V178" s="682" t="s">
        <v>113</v>
      </c>
      <c r="W178" s="683"/>
      <c r="X178" s="684"/>
      <c r="Y178" s="685">
        <v>680000</v>
      </c>
      <c r="Z178" s="686">
        <v>350000</v>
      </c>
      <c r="AA178" s="686">
        <v>159000</v>
      </c>
      <c r="AB178" s="686">
        <v>80000</v>
      </c>
      <c r="AC178" s="1109">
        <v>50000</v>
      </c>
      <c r="AD178" s="1109"/>
    </row>
    <row r="179" spans="1:30" x14ac:dyDescent="0.2">
      <c r="A179" s="688" t="s">
        <v>636</v>
      </c>
      <c r="B179" s="624">
        <f>2*20*10*15</f>
        <v>6000</v>
      </c>
      <c r="C179" s="624">
        <f>1*20*10*1</f>
        <v>200</v>
      </c>
      <c r="D179" s="624">
        <f>1*20*10*15</f>
        <v>3000</v>
      </c>
      <c r="E179" s="624">
        <f>2*20*10*15</f>
        <v>6000</v>
      </c>
      <c r="F179" s="624"/>
      <c r="G179" s="624">
        <v>10</v>
      </c>
      <c r="H179" s="624"/>
      <c r="I179" s="624">
        <v>10</v>
      </c>
      <c r="M179" s="680" t="s">
        <v>713</v>
      </c>
      <c r="N179" s="672"/>
      <c r="O179" s="672"/>
      <c r="P179" s="672"/>
      <c r="Q179" s="672"/>
      <c r="R179" s="672"/>
      <c r="S179" s="681"/>
      <c r="V179" s="676"/>
      <c r="W179" s="672"/>
      <c r="X179" s="672"/>
      <c r="Y179" s="672"/>
      <c r="Z179" s="672"/>
      <c r="AA179" s="672"/>
      <c r="AB179" s="672"/>
      <c r="AC179" s="672"/>
    </row>
    <row r="180" spans="1:30" x14ac:dyDescent="0.2">
      <c r="A180" s="688">
        <v>15</v>
      </c>
      <c r="B180" s="620" t="s">
        <v>714</v>
      </c>
      <c r="C180" s="620" t="s">
        <v>714</v>
      </c>
      <c r="D180" s="620" t="s">
        <v>714</v>
      </c>
      <c r="E180" s="620" t="s">
        <v>714</v>
      </c>
      <c r="F180" s="620"/>
      <c r="G180" s="620" t="s">
        <v>715</v>
      </c>
      <c r="H180" s="620"/>
      <c r="I180" s="620" t="s">
        <v>715</v>
      </c>
      <c r="M180" s="680" t="s">
        <v>716</v>
      </c>
      <c r="N180" s="672"/>
      <c r="O180" s="672"/>
      <c r="P180" s="672"/>
      <c r="Q180" s="672"/>
      <c r="R180" s="672"/>
      <c r="S180" s="681"/>
      <c r="V180" s="676"/>
      <c r="W180" s="672"/>
      <c r="X180" s="672"/>
      <c r="Y180" s="677" t="s">
        <v>717</v>
      </c>
      <c r="Z180" s="672"/>
      <c r="AA180" s="672"/>
      <c r="AB180" s="672"/>
      <c r="AC180" s="672"/>
    </row>
    <row r="181" spans="1:30" x14ac:dyDescent="0.2">
      <c r="A181" s="689"/>
      <c r="B181" s="690">
        <v>400</v>
      </c>
      <c r="C181" s="690">
        <v>6000</v>
      </c>
      <c r="D181" s="690">
        <v>90</v>
      </c>
      <c r="E181" s="690">
        <v>350</v>
      </c>
      <c r="F181" s="690"/>
      <c r="G181" s="690">
        <v>10000</v>
      </c>
      <c r="H181" s="690"/>
      <c r="I181" s="690">
        <v>6000</v>
      </c>
      <c r="M181" s="680" t="s">
        <v>718</v>
      </c>
      <c r="N181" s="672"/>
      <c r="O181" s="672"/>
      <c r="P181" s="672"/>
      <c r="Q181" s="672"/>
      <c r="R181" s="672"/>
      <c r="S181" s="681"/>
      <c r="V181" s="682" t="s">
        <v>122</v>
      </c>
      <c r="W181" s="683"/>
      <c r="X181" s="684"/>
      <c r="Y181" s="691">
        <v>150000</v>
      </c>
      <c r="Z181" s="672"/>
      <c r="AA181" s="672"/>
      <c r="AB181" s="672"/>
      <c r="AC181" s="672"/>
    </row>
    <row r="182" spans="1:30" ht="15" x14ac:dyDescent="0.25">
      <c r="B182" s="690">
        <f>B179*B181</f>
        <v>2400000</v>
      </c>
      <c r="C182" s="690">
        <v>0</v>
      </c>
      <c r="D182" s="690">
        <f>D179*D181</f>
        <v>270000</v>
      </c>
      <c r="E182" s="690">
        <f>E179*E181</f>
        <v>2100000</v>
      </c>
      <c r="F182" s="692">
        <f>SUM(B182:E182)</f>
        <v>4770000</v>
      </c>
      <c r="G182" s="690">
        <f>G179*G181</f>
        <v>100000</v>
      </c>
      <c r="H182" s="690"/>
      <c r="I182" s="690">
        <f>I179*I181</f>
        <v>60000</v>
      </c>
      <c r="J182" s="692">
        <f>SUM(G182:I182)</f>
        <v>160000</v>
      </c>
      <c r="M182" s="680" t="s">
        <v>719</v>
      </c>
      <c r="N182" s="672"/>
      <c r="O182" s="672"/>
      <c r="P182" s="672"/>
      <c r="Q182" s="672"/>
      <c r="R182" s="672"/>
      <c r="S182" s="681"/>
      <c r="V182" s="676"/>
      <c r="W182" s="672"/>
      <c r="X182" s="672"/>
      <c r="Y182" s="672"/>
      <c r="Z182" s="672"/>
      <c r="AA182" s="672"/>
      <c r="AB182" s="672"/>
      <c r="AC182" s="672"/>
    </row>
    <row r="183" spans="1:30" ht="15" x14ac:dyDescent="0.25">
      <c r="C183" s="750">
        <v>1200000</v>
      </c>
      <c r="F183" s="629"/>
      <c r="J183" s="629"/>
      <c r="M183" s="680" t="s">
        <v>720</v>
      </c>
      <c r="N183" s="672"/>
      <c r="O183" s="672"/>
      <c r="P183" s="672"/>
      <c r="Q183" s="672"/>
      <c r="R183" s="672"/>
      <c r="S183" s="681"/>
      <c r="Y183" s="672"/>
      <c r="Z183" s="672"/>
      <c r="AA183" s="672"/>
      <c r="AB183" s="672"/>
      <c r="AC183" s="672"/>
    </row>
    <row r="184" spans="1:30" ht="15" x14ac:dyDescent="0.25">
      <c r="A184" s="679"/>
      <c r="B184" s="620" t="s">
        <v>706</v>
      </c>
      <c r="C184" s="620" t="s">
        <v>707</v>
      </c>
      <c r="D184" s="620" t="s">
        <v>708</v>
      </c>
      <c r="E184" s="620" t="s">
        <v>709</v>
      </c>
      <c r="F184" s="652"/>
      <c r="G184" s="620" t="s">
        <v>710</v>
      </c>
      <c r="H184" s="620"/>
      <c r="I184" s="620" t="s">
        <v>711</v>
      </c>
      <c r="J184" s="629"/>
      <c r="M184" s="680" t="s">
        <v>721</v>
      </c>
      <c r="N184" s="672"/>
      <c r="O184" s="672"/>
      <c r="P184" s="672"/>
      <c r="Q184" s="672"/>
      <c r="R184" s="672"/>
      <c r="S184" s="681"/>
      <c r="Y184" s="693" t="s">
        <v>722</v>
      </c>
      <c r="Z184" s="694"/>
      <c r="AA184" s="1108" t="s">
        <v>723</v>
      </c>
      <c r="AB184" s="1108"/>
      <c r="AC184" s="672"/>
    </row>
    <row r="185" spans="1:30" ht="15" x14ac:dyDescent="0.25">
      <c r="A185" s="688" t="s">
        <v>638</v>
      </c>
      <c r="B185" s="624">
        <f>2*20*10*16</f>
        <v>6400</v>
      </c>
      <c r="C185" s="624">
        <f>2*20*10*1</f>
        <v>400</v>
      </c>
      <c r="D185" s="624">
        <f>1*20*10*16</f>
        <v>3200</v>
      </c>
      <c r="E185" s="624">
        <f>2*20*10*16</f>
        <v>6400</v>
      </c>
      <c r="F185" s="695"/>
      <c r="G185" s="624">
        <v>10</v>
      </c>
      <c r="H185" s="624"/>
      <c r="I185" s="624">
        <v>10</v>
      </c>
      <c r="J185" s="629"/>
      <c r="M185" s="680" t="s">
        <v>724</v>
      </c>
      <c r="N185" s="672"/>
      <c r="O185" s="672"/>
      <c r="P185" s="672"/>
      <c r="Q185" s="672"/>
      <c r="R185" s="672"/>
      <c r="S185" s="681"/>
      <c r="V185" s="682" t="s">
        <v>139</v>
      </c>
      <c r="W185" s="696"/>
      <c r="X185" s="696"/>
      <c r="Y185" s="1109">
        <v>800000</v>
      </c>
      <c r="Z185" s="1109"/>
      <c r="AA185" s="1109">
        <v>295960</v>
      </c>
      <c r="AB185" s="1109"/>
      <c r="AC185" s="672"/>
    </row>
    <row r="186" spans="1:30" ht="15" x14ac:dyDescent="0.25">
      <c r="A186" s="688">
        <v>17</v>
      </c>
      <c r="B186" s="620" t="s">
        <v>714</v>
      </c>
      <c r="C186" s="620" t="s">
        <v>714</v>
      </c>
      <c r="D186" s="620" t="s">
        <v>714</v>
      </c>
      <c r="E186" s="620" t="s">
        <v>714</v>
      </c>
      <c r="F186" s="652"/>
      <c r="G186" s="620" t="s">
        <v>715</v>
      </c>
      <c r="H186" s="620"/>
      <c r="I186" s="620" t="s">
        <v>715</v>
      </c>
      <c r="J186" s="629"/>
      <c r="M186" s="680" t="s">
        <v>725</v>
      </c>
      <c r="N186" s="672"/>
      <c r="O186" s="672"/>
      <c r="P186" s="672"/>
      <c r="Q186" s="672"/>
      <c r="R186" s="672"/>
      <c r="S186" s="681"/>
      <c r="Y186" s="672"/>
      <c r="Z186" s="672"/>
      <c r="AA186" s="672"/>
      <c r="AB186" s="672"/>
      <c r="AC186" s="672"/>
    </row>
    <row r="187" spans="1:30" ht="15" x14ac:dyDescent="0.25">
      <c r="A187" s="689"/>
      <c r="B187" s="690">
        <v>400</v>
      </c>
      <c r="C187" s="690">
        <v>6000</v>
      </c>
      <c r="D187" s="690">
        <v>90</v>
      </c>
      <c r="E187" s="690">
        <v>350</v>
      </c>
      <c r="F187" s="692"/>
      <c r="G187" s="690">
        <v>10000</v>
      </c>
      <c r="H187" s="690"/>
      <c r="I187" s="690">
        <v>6000</v>
      </c>
      <c r="J187" s="629"/>
      <c r="M187" s="680" t="s">
        <v>726</v>
      </c>
      <c r="N187" s="672"/>
      <c r="O187" s="672"/>
      <c r="P187" s="672"/>
      <c r="Q187" s="672"/>
      <c r="R187" s="672"/>
      <c r="S187" s="681"/>
      <c r="Y187" s="672"/>
      <c r="Z187" s="672"/>
      <c r="AA187" s="672"/>
      <c r="AB187" s="672"/>
      <c r="AC187" s="672"/>
    </row>
    <row r="188" spans="1:30" ht="15" x14ac:dyDescent="0.25">
      <c r="B188" s="690">
        <f>B185*B187</f>
        <v>2560000</v>
      </c>
      <c r="C188" s="690"/>
      <c r="D188" s="690">
        <f>D185*D187</f>
        <v>288000</v>
      </c>
      <c r="E188" s="690">
        <f>E185*E187</f>
        <v>2240000</v>
      </c>
      <c r="F188" s="692">
        <f>SUM(B188:E188)</f>
        <v>5088000</v>
      </c>
      <c r="G188" s="690">
        <f>G185*G187</f>
        <v>100000</v>
      </c>
      <c r="H188" s="690"/>
      <c r="I188" s="690">
        <f>I185*I187</f>
        <v>60000</v>
      </c>
      <c r="J188" s="692">
        <f>SUM(G188:I188)</f>
        <v>160000</v>
      </c>
      <c r="M188" s="680"/>
      <c r="N188" s="672"/>
      <c r="O188" s="672"/>
      <c r="P188" s="672"/>
      <c r="Q188" s="672"/>
      <c r="R188" s="672"/>
      <c r="S188" s="681"/>
      <c r="Y188" s="697" t="s">
        <v>727</v>
      </c>
      <c r="Z188" s="698" t="s">
        <v>728</v>
      </c>
      <c r="AA188" s="698" t="s">
        <v>729</v>
      </c>
      <c r="AB188" s="698"/>
      <c r="AC188" s="698" t="s">
        <v>730</v>
      </c>
      <c r="AD188" s="698"/>
    </row>
    <row r="189" spans="1:30" ht="15" x14ac:dyDescent="0.25">
      <c r="C189" s="750">
        <v>2400000</v>
      </c>
      <c r="F189" s="629"/>
      <c r="J189" s="629"/>
      <c r="M189" s="699"/>
      <c r="N189" s="700"/>
      <c r="O189" s="700"/>
      <c r="P189" s="700"/>
      <c r="Q189" s="700"/>
      <c r="R189" s="700"/>
      <c r="S189" s="701"/>
      <c r="V189" s="682" t="s">
        <v>124</v>
      </c>
      <c r="W189" s="683"/>
      <c r="X189" s="702"/>
      <c r="Y189" s="686">
        <v>170000</v>
      </c>
      <c r="Z189" s="686">
        <v>300000</v>
      </c>
      <c r="AA189" s="1109">
        <v>300000</v>
      </c>
      <c r="AB189" s="1109"/>
      <c r="AC189" s="1109">
        <v>250000</v>
      </c>
      <c r="AD189" s="1109"/>
    </row>
    <row r="190" spans="1:30" ht="15" x14ac:dyDescent="0.25">
      <c r="A190" s="679"/>
      <c r="B190" s="620" t="s">
        <v>706</v>
      </c>
      <c r="C190" s="620" t="s">
        <v>707</v>
      </c>
      <c r="D190" s="620" t="s">
        <v>708</v>
      </c>
      <c r="E190" s="620" t="s">
        <v>709</v>
      </c>
      <c r="F190" s="652"/>
      <c r="G190" s="620" t="s">
        <v>710</v>
      </c>
      <c r="H190" s="620"/>
      <c r="I190" s="620" t="s">
        <v>711</v>
      </c>
      <c r="J190" s="629"/>
      <c r="Y190" s="672"/>
      <c r="Z190" s="672"/>
      <c r="AA190" s="672"/>
      <c r="AB190" s="672"/>
      <c r="AC190" s="672"/>
    </row>
    <row r="191" spans="1:30" ht="15" x14ac:dyDescent="0.25">
      <c r="A191" s="688" t="s">
        <v>640</v>
      </c>
      <c r="B191" s="624">
        <f>2*20*10*3</f>
        <v>1200</v>
      </c>
      <c r="C191" s="624">
        <f>1*20*10*1</f>
        <v>200</v>
      </c>
      <c r="D191" s="624">
        <f>1*20*10*3</f>
        <v>600</v>
      </c>
      <c r="E191" s="624">
        <f>2*20*10*3</f>
        <v>1200</v>
      </c>
      <c r="F191" s="695"/>
      <c r="G191" s="624">
        <v>3</v>
      </c>
      <c r="H191" s="624"/>
      <c r="I191" s="624">
        <v>3</v>
      </c>
      <c r="J191" s="629"/>
      <c r="Y191" s="672"/>
      <c r="Z191" s="672"/>
      <c r="AA191" s="672"/>
      <c r="AB191" s="672"/>
      <c r="AC191" s="672"/>
    </row>
    <row r="192" spans="1:30" ht="15" x14ac:dyDescent="0.25">
      <c r="A192" s="688">
        <v>3</v>
      </c>
      <c r="B192" s="620" t="s">
        <v>714</v>
      </c>
      <c r="C192" s="620" t="s">
        <v>714</v>
      </c>
      <c r="D192" s="620" t="s">
        <v>714</v>
      </c>
      <c r="E192" s="620" t="s">
        <v>714</v>
      </c>
      <c r="F192" s="652"/>
      <c r="G192" s="620" t="s">
        <v>715</v>
      </c>
      <c r="H192" s="620"/>
      <c r="I192" s="620" t="s">
        <v>715</v>
      </c>
      <c r="J192" s="629"/>
      <c r="M192" s="561" t="s">
        <v>731</v>
      </c>
      <c r="Y192" s="672"/>
      <c r="Z192" s="672"/>
      <c r="AA192" s="672"/>
      <c r="AB192" s="672"/>
      <c r="AC192" s="672"/>
    </row>
    <row r="193" spans="1:36" ht="15" x14ac:dyDescent="0.25">
      <c r="A193" s="689"/>
      <c r="B193" s="690">
        <v>400</v>
      </c>
      <c r="C193" s="690">
        <v>6000</v>
      </c>
      <c r="D193" s="690">
        <v>90</v>
      </c>
      <c r="E193" s="690">
        <v>350</v>
      </c>
      <c r="F193" s="692"/>
      <c r="G193" s="690">
        <v>10000</v>
      </c>
      <c r="H193" s="690"/>
      <c r="I193" s="690">
        <v>6000</v>
      </c>
      <c r="J193" s="629"/>
      <c r="M193" s="673" t="s">
        <v>732</v>
      </c>
      <c r="N193" s="674"/>
      <c r="O193" s="674"/>
      <c r="P193" s="674"/>
      <c r="Q193" s="674"/>
      <c r="R193" s="674"/>
      <c r="S193" s="675"/>
      <c r="Y193" s="672"/>
      <c r="Z193" s="672"/>
      <c r="AA193" s="672"/>
      <c r="AB193" s="672"/>
      <c r="AC193" s="672"/>
    </row>
    <row r="194" spans="1:36" ht="15" x14ac:dyDescent="0.25">
      <c r="B194" s="690">
        <f>B191*B193</f>
        <v>480000</v>
      </c>
      <c r="C194" s="690">
        <v>0</v>
      </c>
      <c r="D194" s="690">
        <f>D191*D193</f>
        <v>54000</v>
      </c>
      <c r="E194" s="690">
        <f>E191*E193</f>
        <v>420000</v>
      </c>
      <c r="F194" s="692">
        <f>SUM(B194:E194)</f>
        <v>954000</v>
      </c>
      <c r="G194" s="690">
        <f>G191*G193</f>
        <v>30000</v>
      </c>
      <c r="H194" s="690"/>
      <c r="I194" s="690">
        <f>I191*I193</f>
        <v>18000</v>
      </c>
      <c r="J194" s="692">
        <f>SUM(G194:I194)</f>
        <v>48000</v>
      </c>
      <c r="M194" s="680" t="s">
        <v>733</v>
      </c>
      <c r="N194" s="672"/>
      <c r="O194" s="672"/>
      <c r="P194" s="672"/>
      <c r="Q194" s="672"/>
      <c r="R194" s="672"/>
      <c r="S194" s="681"/>
      <c r="Y194" s="697" t="s">
        <v>734</v>
      </c>
      <c r="Z194" s="697" t="s">
        <v>735</v>
      </c>
      <c r="AA194" s="1108" t="s">
        <v>736</v>
      </c>
      <c r="AB194" s="1108"/>
      <c r="AC194" s="697" t="s">
        <v>737</v>
      </c>
      <c r="AD194" s="697"/>
      <c r="AE194" s="697"/>
      <c r="AF194" s="697" t="s">
        <v>738</v>
      </c>
      <c r="AG194" s="697" t="s">
        <v>739</v>
      </c>
      <c r="AH194" s="697"/>
      <c r="AI194" s="697" t="s">
        <v>740</v>
      </c>
      <c r="AJ194" s="697"/>
    </row>
    <row r="195" spans="1:36" ht="15" x14ac:dyDescent="0.25">
      <c r="C195" s="750">
        <v>1200000</v>
      </c>
      <c r="F195" s="629"/>
      <c r="J195" s="629"/>
      <c r="M195" s="680" t="s">
        <v>741</v>
      </c>
      <c r="N195" s="672"/>
      <c r="O195" s="672"/>
      <c r="P195" s="672"/>
      <c r="Q195" s="672"/>
      <c r="R195" s="672"/>
      <c r="S195" s="681"/>
      <c r="V195" s="682" t="s">
        <v>140</v>
      </c>
      <c r="W195" s="683"/>
      <c r="X195" s="696"/>
      <c r="Y195" s="687">
        <v>1000000</v>
      </c>
      <c r="Z195" s="687">
        <v>200000</v>
      </c>
      <c r="AA195" s="1109">
        <v>70000</v>
      </c>
      <c r="AB195" s="1109"/>
      <c r="AC195" s="1109">
        <v>300000</v>
      </c>
      <c r="AD195" s="1109"/>
      <c r="AE195" s="1109"/>
      <c r="AF195" s="686">
        <v>695000</v>
      </c>
      <c r="AG195" s="703"/>
      <c r="AH195" s="685">
        <v>10000</v>
      </c>
      <c r="AI195" s="1109">
        <v>50000</v>
      </c>
      <c r="AJ195" s="1109"/>
    </row>
    <row r="196" spans="1:36" ht="15" x14ac:dyDescent="0.25">
      <c r="A196" s="679"/>
      <c r="B196" s="620" t="s">
        <v>706</v>
      </c>
      <c r="C196" s="620" t="s">
        <v>707</v>
      </c>
      <c r="D196" s="620" t="s">
        <v>708</v>
      </c>
      <c r="E196" s="620" t="s">
        <v>709</v>
      </c>
      <c r="F196" s="652"/>
      <c r="G196" s="620" t="s">
        <v>710</v>
      </c>
      <c r="H196" s="620"/>
      <c r="I196" s="620" t="s">
        <v>711</v>
      </c>
      <c r="J196" s="629"/>
      <c r="M196" s="680" t="s">
        <v>742</v>
      </c>
      <c r="N196" s="672"/>
      <c r="O196" s="672"/>
      <c r="P196" s="672"/>
      <c r="Q196" s="672"/>
      <c r="R196" s="672"/>
      <c r="S196" s="681"/>
      <c r="Y196" s="672"/>
      <c r="Z196" s="672"/>
      <c r="AA196" s="672"/>
      <c r="AB196" s="672"/>
      <c r="AC196" s="672"/>
    </row>
    <row r="197" spans="1:36" ht="15" x14ac:dyDescent="0.25">
      <c r="A197" s="688" t="s">
        <v>743</v>
      </c>
      <c r="B197" s="624">
        <v>0</v>
      </c>
      <c r="C197" s="624">
        <v>0</v>
      </c>
      <c r="D197" s="624">
        <v>0</v>
      </c>
      <c r="E197" s="624">
        <v>0</v>
      </c>
      <c r="F197" s="695"/>
      <c r="G197" s="624">
        <v>0</v>
      </c>
      <c r="H197" s="624"/>
      <c r="I197" s="624">
        <v>0</v>
      </c>
      <c r="J197" s="629"/>
      <c r="M197" s="680" t="s">
        <v>744</v>
      </c>
      <c r="N197" s="672"/>
      <c r="O197" s="672"/>
      <c r="P197" s="672"/>
      <c r="Q197" s="672"/>
      <c r="R197" s="672"/>
      <c r="S197" s="681"/>
      <c r="Y197" s="672"/>
      <c r="Z197" s="672"/>
      <c r="AA197" s="672"/>
      <c r="AB197" s="672"/>
      <c r="AC197" s="672"/>
    </row>
    <row r="198" spans="1:36" ht="15" x14ac:dyDescent="0.25">
      <c r="A198" s="688">
        <v>0</v>
      </c>
      <c r="B198" s="620" t="s">
        <v>714</v>
      </c>
      <c r="C198" s="620" t="s">
        <v>714</v>
      </c>
      <c r="D198" s="620" t="s">
        <v>714</v>
      </c>
      <c r="E198" s="620" t="s">
        <v>714</v>
      </c>
      <c r="F198" s="652"/>
      <c r="G198" s="620" t="s">
        <v>715</v>
      </c>
      <c r="H198" s="620"/>
      <c r="I198" s="620" t="s">
        <v>715</v>
      </c>
      <c r="J198" s="629"/>
      <c r="M198" s="680" t="s">
        <v>745</v>
      </c>
      <c r="N198" s="672"/>
      <c r="O198" s="672"/>
      <c r="P198" s="672"/>
      <c r="Q198" s="672"/>
      <c r="R198" s="672"/>
      <c r="S198" s="681"/>
      <c r="Y198" s="672"/>
      <c r="Z198" s="672"/>
      <c r="AA198" s="672"/>
      <c r="AB198" s="672"/>
      <c r="AC198" s="672"/>
    </row>
    <row r="199" spans="1:36" ht="15" x14ac:dyDescent="0.25">
      <c r="A199" s="689"/>
      <c r="B199" s="690">
        <v>400</v>
      </c>
      <c r="C199" s="690">
        <v>6000</v>
      </c>
      <c r="D199" s="690">
        <v>90</v>
      </c>
      <c r="E199" s="690">
        <v>350</v>
      </c>
      <c r="F199" s="692"/>
      <c r="G199" s="690">
        <v>10000</v>
      </c>
      <c r="H199" s="690"/>
      <c r="I199" s="690">
        <v>6000</v>
      </c>
      <c r="J199" s="629"/>
      <c r="M199" s="680"/>
      <c r="N199" s="672"/>
      <c r="O199" s="672"/>
      <c r="P199" s="672"/>
      <c r="Q199" s="672"/>
      <c r="R199" s="672"/>
      <c r="S199" s="681"/>
      <c r="Y199" s="672"/>
      <c r="Z199" s="672"/>
      <c r="AA199" s="672"/>
      <c r="AB199" s="672"/>
      <c r="AC199" s="672"/>
    </row>
    <row r="200" spans="1:36" ht="15" x14ac:dyDescent="0.25">
      <c r="B200" s="690">
        <f>B197*B199</f>
        <v>0</v>
      </c>
      <c r="C200" s="690">
        <f>C197*C199</f>
        <v>0</v>
      </c>
      <c r="D200" s="690">
        <f>D197*D199</f>
        <v>0</v>
      </c>
      <c r="E200" s="690">
        <f>E197*E199</f>
        <v>0</v>
      </c>
      <c r="F200" s="692">
        <f>SUM(B200:E200)</f>
        <v>0</v>
      </c>
      <c r="G200" s="690">
        <f>G197*G199</f>
        <v>0</v>
      </c>
      <c r="H200" s="690"/>
      <c r="I200" s="690">
        <f>I197*I199</f>
        <v>0</v>
      </c>
      <c r="J200" s="692">
        <f>SUM(G200:I200)</f>
        <v>0</v>
      </c>
      <c r="M200" s="680"/>
      <c r="N200" s="672"/>
      <c r="O200" s="672"/>
      <c r="P200" s="672"/>
      <c r="Q200" s="672"/>
      <c r="R200" s="672"/>
      <c r="S200" s="681"/>
      <c r="Y200" s="672"/>
      <c r="Z200" s="672"/>
      <c r="AA200" s="672"/>
      <c r="AB200" s="672"/>
      <c r="AC200" s="672"/>
    </row>
    <row r="201" spans="1:36" ht="15" x14ac:dyDescent="0.25">
      <c r="F201" s="629"/>
      <c r="J201" s="629"/>
      <c r="M201" s="680"/>
      <c r="N201" s="672"/>
      <c r="O201" s="672"/>
      <c r="P201" s="672"/>
      <c r="Q201" s="672"/>
      <c r="R201" s="672"/>
      <c r="S201" s="681"/>
    </row>
    <row r="202" spans="1:36" ht="15" x14ac:dyDescent="0.25">
      <c r="A202" s="679"/>
      <c r="B202" s="620" t="s">
        <v>706</v>
      </c>
      <c r="C202" s="620" t="s">
        <v>707</v>
      </c>
      <c r="D202" s="620" t="s">
        <v>708</v>
      </c>
      <c r="E202" s="620" t="s">
        <v>709</v>
      </c>
      <c r="F202" s="652"/>
      <c r="G202" s="620" t="s">
        <v>710</v>
      </c>
      <c r="H202" s="620"/>
      <c r="I202" s="620" t="s">
        <v>711</v>
      </c>
      <c r="J202" s="629"/>
      <c r="M202" s="680"/>
      <c r="N202" s="672"/>
      <c r="O202" s="672"/>
      <c r="P202" s="672"/>
      <c r="Q202" s="672"/>
      <c r="R202" s="672"/>
      <c r="S202" s="681"/>
    </row>
    <row r="203" spans="1:36" ht="15" x14ac:dyDescent="0.25">
      <c r="A203" s="688" t="s">
        <v>648</v>
      </c>
      <c r="B203" s="624">
        <f>2*20*12*11</f>
        <v>5280</v>
      </c>
      <c r="C203" s="624">
        <f>1*20*11*1</f>
        <v>220</v>
      </c>
      <c r="D203" s="624">
        <f>1*20*12*11</f>
        <v>2640</v>
      </c>
      <c r="E203" s="624">
        <f>2*20*12*11</f>
        <v>5280</v>
      </c>
      <c r="F203" s="695"/>
      <c r="G203" s="624">
        <v>7</v>
      </c>
      <c r="H203" s="624"/>
      <c r="I203" s="624">
        <v>7</v>
      </c>
      <c r="J203" s="629"/>
      <c r="M203" s="680"/>
      <c r="N203" s="672"/>
      <c r="O203" s="672"/>
      <c r="P203" s="672"/>
      <c r="Q203" s="672"/>
      <c r="R203" s="672"/>
      <c r="S203" s="681"/>
    </row>
    <row r="204" spans="1:36" ht="15" x14ac:dyDescent="0.25">
      <c r="A204" s="688">
        <v>11</v>
      </c>
      <c r="B204" s="620" t="s">
        <v>714</v>
      </c>
      <c r="C204" s="620" t="s">
        <v>714</v>
      </c>
      <c r="D204" s="620" t="s">
        <v>714</v>
      </c>
      <c r="E204" s="620" t="s">
        <v>714</v>
      </c>
      <c r="F204" s="652"/>
      <c r="G204" s="620" t="s">
        <v>715</v>
      </c>
      <c r="H204" s="620"/>
      <c r="I204" s="620" t="s">
        <v>715</v>
      </c>
      <c r="J204" s="629"/>
      <c r="M204" s="680"/>
      <c r="N204" s="672"/>
      <c r="O204" s="672"/>
      <c r="P204" s="672"/>
      <c r="Q204" s="672"/>
      <c r="R204" s="672"/>
      <c r="S204" s="681"/>
    </row>
    <row r="205" spans="1:36" ht="15" x14ac:dyDescent="0.25">
      <c r="A205" s="689"/>
      <c r="B205" s="690">
        <v>400</v>
      </c>
      <c r="C205" s="690">
        <v>6000</v>
      </c>
      <c r="D205" s="690">
        <v>90</v>
      </c>
      <c r="E205" s="690">
        <v>350</v>
      </c>
      <c r="F205" s="692"/>
      <c r="G205" s="690">
        <v>10000</v>
      </c>
      <c r="H205" s="690"/>
      <c r="I205" s="690">
        <v>6000</v>
      </c>
      <c r="J205" s="629"/>
      <c r="M205" s="680"/>
      <c r="N205" s="672"/>
      <c r="O205" s="672"/>
      <c r="P205" s="672"/>
      <c r="Q205" s="672"/>
      <c r="R205" s="672"/>
      <c r="S205" s="681"/>
    </row>
    <row r="206" spans="1:36" ht="15" x14ac:dyDescent="0.25">
      <c r="B206" s="690">
        <f>B203*B205</f>
        <v>2112000</v>
      </c>
      <c r="C206" s="749">
        <v>0</v>
      </c>
      <c r="D206" s="690">
        <f>D203*D205</f>
        <v>237600</v>
      </c>
      <c r="E206" s="690">
        <f>E203*E205</f>
        <v>1848000</v>
      </c>
      <c r="F206" s="692">
        <f>SUM(B206:E206)</f>
        <v>4197600</v>
      </c>
      <c r="G206" s="690">
        <f>G203*G205</f>
        <v>70000</v>
      </c>
      <c r="H206" s="690"/>
      <c r="I206" s="690">
        <f>I203*I205</f>
        <v>42000</v>
      </c>
      <c r="J206" s="692">
        <f>SUM(G206:I206)</f>
        <v>112000</v>
      </c>
      <c r="M206" s="680"/>
      <c r="N206" s="672"/>
      <c r="O206" s="672"/>
      <c r="P206" s="672"/>
      <c r="Q206" s="672"/>
      <c r="R206" s="672"/>
      <c r="S206" s="681"/>
    </row>
    <row r="207" spans="1:36" ht="15" x14ac:dyDescent="0.25">
      <c r="C207" s="750">
        <v>1440000</v>
      </c>
      <c r="F207" s="629"/>
      <c r="J207" s="629"/>
      <c r="M207" s="699"/>
      <c r="N207" s="700"/>
      <c r="O207" s="700"/>
      <c r="P207" s="700"/>
      <c r="Q207" s="700"/>
      <c r="R207" s="700"/>
      <c r="S207" s="701"/>
      <c r="W207" s="676"/>
      <c r="X207" s="672"/>
      <c r="Y207" s="672"/>
    </row>
    <row r="208" spans="1:36" ht="15" x14ac:dyDescent="0.25">
      <c r="A208" s="679"/>
      <c r="B208" s="620" t="s">
        <v>706</v>
      </c>
      <c r="C208" s="620" t="s">
        <v>707</v>
      </c>
      <c r="D208" s="620" t="s">
        <v>708</v>
      </c>
      <c r="E208" s="620" t="s">
        <v>709</v>
      </c>
      <c r="F208" s="652"/>
      <c r="G208" s="620" t="s">
        <v>710</v>
      </c>
      <c r="H208" s="620"/>
      <c r="I208" s="620" t="s">
        <v>711</v>
      </c>
      <c r="J208" s="629"/>
      <c r="M208" s="561" t="s">
        <v>746</v>
      </c>
      <c r="W208" s="676"/>
      <c r="X208" s="672"/>
      <c r="Y208" s="672"/>
      <c r="Z208" s="672"/>
      <c r="AA208" s="672"/>
    </row>
    <row r="209" spans="1:27" ht="15" x14ac:dyDescent="0.25">
      <c r="A209" s="688" t="s">
        <v>620</v>
      </c>
      <c r="B209" s="624">
        <f>2*20*12*23</f>
        <v>11040</v>
      </c>
      <c r="C209" s="624">
        <f>1*20*12*1</f>
        <v>240</v>
      </c>
      <c r="D209" s="624">
        <f>1*20*12*23</f>
        <v>5520</v>
      </c>
      <c r="E209" s="624">
        <f>2*20*12*23</f>
        <v>11040</v>
      </c>
      <c r="F209" s="695"/>
      <c r="G209" s="624">
        <v>8</v>
      </c>
      <c r="H209" s="624"/>
      <c r="I209" s="624">
        <v>8</v>
      </c>
      <c r="J209" s="629"/>
      <c r="M209" s="673" t="s">
        <v>747</v>
      </c>
      <c r="N209" s="674"/>
      <c r="O209" s="674"/>
      <c r="P209" s="674"/>
      <c r="Q209" s="674"/>
      <c r="R209" s="674"/>
      <c r="S209" s="675"/>
      <c r="W209" s="676"/>
      <c r="X209" s="672"/>
      <c r="Y209" s="672"/>
      <c r="Z209" s="672"/>
      <c r="AA209" s="672"/>
    </row>
    <row r="210" spans="1:27" ht="15" x14ac:dyDescent="0.25">
      <c r="A210" s="688">
        <v>23</v>
      </c>
      <c r="B210" s="620" t="s">
        <v>714</v>
      </c>
      <c r="C210" s="620" t="s">
        <v>714</v>
      </c>
      <c r="D210" s="620" t="s">
        <v>714</v>
      </c>
      <c r="E210" s="620" t="s">
        <v>714</v>
      </c>
      <c r="F210" s="652"/>
      <c r="G210" s="620" t="s">
        <v>715</v>
      </c>
      <c r="H210" s="620"/>
      <c r="I210" s="620" t="s">
        <v>715</v>
      </c>
      <c r="J210" s="629"/>
      <c r="M210" s="680" t="s">
        <v>748</v>
      </c>
      <c r="N210" s="672"/>
      <c r="O210" s="672"/>
      <c r="P210" s="672"/>
      <c r="Q210" s="672"/>
      <c r="R210" s="672"/>
      <c r="S210" s="681"/>
      <c r="W210" s="676"/>
      <c r="X210" s="672"/>
      <c r="Y210" s="672"/>
      <c r="Z210" s="672"/>
      <c r="AA210" s="672"/>
    </row>
    <row r="211" spans="1:27" ht="15" x14ac:dyDescent="0.25">
      <c r="A211" s="689"/>
      <c r="B211" s="690">
        <v>400</v>
      </c>
      <c r="C211" s="690">
        <v>6000</v>
      </c>
      <c r="D211" s="690">
        <v>90</v>
      </c>
      <c r="E211" s="690">
        <v>350</v>
      </c>
      <c r="F211" s="692"/>
      <c r="G211" s="690">
        <v>10000</v>
      </c>
      <c r="H211" s="690"/>
      <c r="I211" s="690">
        <v>6000</v>
      </c>
      <c r="J211" s="629"/>
      <c r="M211" s="680"/>
      <c r="N211" s="672"/>
      <c r="O211" s="672"/>
      <c r="P211" s="672"/>
      <c r="Q211" s="672"/>
      <c r="R211" s="672"/>
      <c r="S211" s="681"/>
      <c r="W211" s="672"/>
      <c r="X211" s="672"/>
      <c r="Y211" s="672"/>
      <c r="Z211" s="672"/>
      <c r="AA211" s="672"/>
    </row>
    <row r="212" spans="1:27" ht="15" x14ac:dyDescent="0.25">
      <c r="B212" s="690">
        <f>B209*B211</f>
        <v>4416000</v>
      </c>
      <c r="C212" s="690">
        <v>0</v>
      </c>
      <c r="D212" s="690">
        <f>D209*D211</f>
        <v>496800</v>
      </c>
      <c r="E212" s="690">
        <f>E209*E211</f>
        <v>3864000</v>
      </c>
      <c r="F212" s="692">
        <f>SUM(B212:E212)</f>
        <v>8776800</v>
      </c>
      <c r="G212" s="690">
        <f>G209*G211</f>
        <v>80000</v>
      </c>
      <c r="H212" s="690"/>
      <c r="I212" s="690">
        <f>I209*I211</f>
        <v>48000</v>
      </c>
      <c r="J212" s="692">
        <f>SUM(G212:I212)</f>
        <v>128000</v>
      </c>
      <c r="M212" s="680"/>
      <c r="N212" s="672"/>
      <c r="O212" s="672"/>
      <c r="P212" s="672"/>
      <c r="Q212" s="672"/>
      <c r="R212" s="672"/>
      <c r="S212" s="681"/>
      <c r="W212" s="672"/>
      <c r="X212" s="672"/>
      <c r="Y212" s="672"/>
      <c r="Z212" s="672"/>
      <c r="AA212" s="672"/>
    </row>
    <row r="213" spans="1:27" x14ac:dyDescent="0.2">
      <c r="C213" s="750">
        <v>1440000</v>
      </c>
      <c r="M213" s="680"/>
      <c r="N213" s="672"/>
      <c r="O213" s="672"/>
      <c r="P213" s="672"/>
      <c r="Q213" s="672"/>
      <c r="R213" s="672"/>
      <c r="S213" s="681"/>
      <c r="W213" s="672"/>
      <c r="X213" s="672"/>
      <c r="Y213" s="672"/>
      <c r="Z213" s="672"/>
      <c r="AA213" s="672"/>
    </row>
    <row r="214" spans="1:27" x14ac:dyDescent="0.2">
      <c r="C214" s="717" t="s">
        <v>809</v>
      </c>
      <c r="M214" s="680"/>
      <c r="N214" s="672"/>
      <c r="O214" s="672"/>
      <c r="P214" s="672"/>
      <c r="Q214" s="672"/>
      <c r="R214" s="672"/>
      <c r="S214" s="681"/>
      <c r="W214" s="672"/>
      <c r="X214" s="672"/>
      <c r="Y214" s="672"/>
      <c r="Z214" s="672"/>
      <c r="AA214" s="672"/>
    </row>
    <row r="215" spans="1:27" x14ac:dyDescent="0.2">
      <c r="C215" s="751">
        <f>SUM(C213+C207+C195+C189+C183)</f>
        <v>7680000</v>
      </c>
      <c r="M215" s="680"/>
      <c r="N215" s="672"/>
      <c r="O215" s="672"/>
      <c r="P215" s="672"/>
      <c r="Q215" s="672"/>
      <c r="R215" s="672"/>
      <c r="S215" s="681"/>
      <c r="W215" s="672"/>
      <c r="X215" s="672"/>
      <c r="Y215" s="672"/>
      <c r="Z215" s="672"/>
      <c r="AA215" s="672"/>
    </row>
    <row r="216" spans="1:27" x14ac:dyDescent="0.2">
      <c r="A216" s="561" t="s">
        <v>749</v>
      </c>
      <c r="M216" s="680"/>
      <c r="N216" s="672"/>
      <c r="O216" s="672"/>
      <c r="P216" s="672"/>
      <c r="Q216" s="672"/>
      <c r="R216" s="672"/>
      <c r="S216" s="681"/>
    </row>
    <row r="217" spans="1:27" x14ac:dyDescent="0.2">
      <c r="M217" s="680"/>
      <c r="N217" s="672"/>
      <c r="O217" s="672"/>
      <c r="P217" s="672"/>
      <c r="Q217" s="672"/>
      <c r="R217" s="672"/>
      <c r="S217" s="681"/>
    </row>
    <row r="218" spans="1:27" x14ac:dyDescent="0.2">
      <c r="M218" s="680"/>
      <c r="N218" s="672"/>
      <c r="O218" s="672"/>
      <c r="P218" s="672"/>
      <c r="Q218" s="672"/>
      <c r="R218" s="672"/>
      <c r="S218" s="681"/>
    </row>
    <row r="219" spans="1:27" x14ac:dyDescent="0.2">
      <c r="M219" s="680"/>
      <c r="N219" s="672"/>
      <c r="O219" s="672"/>
      <c r="P219" s="672"/>
      <c r="Q219" s="672"/>
      <c r="R219" s="672"/>
      <c r="S219" s="681"/>
    </row>
    <row r="220" spans="1:27" x14ac:dyDescent="0.2">
      <c r="M220" s="680"/>
      <c r="N220" s="672"/>
      <c r="O220" s="672"/>
      <c r="P220" s="672"/>
      <c r="Q220" s="672"/>
      <c r="R220" s="672"/>
      <c r="S220" s="681"/>
    </row>
    <row r="221" spans="1:27" x14ac:dyDescent="0.2">
      <c r="M221" s="699"/>
      <c r="N221" s="700"/>
      <c r="O221" s="700"/>
      <c r="P221" s="700"/>
      <c r="Q221" s="700"/>
      <c r="R221" s="700"/>
      <c r="S221" s="701"/>
    </row>
    <row r="223" spans="1:27" x14ac:dyDescent="0.2">
      <c r="M223" s="561" t="s">
        <v>750</v>
      </c>
    </row>
    <row r="224" spans="1:27" x14ac:dyDescent="0.2">
      <c r="M224" s="673" t="s">
        <v>751</v>
      </c>
      <c r="N224" s="674"/>
      <c r="O224" s="674"/>
      <c r="P224" s="674"/>
      <c r="Q224" s="674"/>
      <c r="R224" s="674"/>
      <c r="S224" s="675"/>
    </row>
    <row r="225" spans="13:19" x14ac:dyDescent="0.2">
      <c r="M225" s="680" t="s">
        <v>752</v>
      </c>
      <c r="N225" s="672"/>
      <c r="O225" s="672"/>
      <c r="P225" s="672"/>
      <c r="Q225" s="672"/>
      <c r="R225" s="672"/>
      <c r="S225" s="681"/>
    </row>
    <row r="226" spans="13:19" x14ac:dyDescent="0.2">
      <c r="M226" s="680"/>
      <c r="N226" s="672"/>
      <c r="O226" s="672"/>
      <c r="P226" s="672"/>
      <c r="Q226" s="672"/>
      <c r="R226" s="672"/>
      <c r="S226" s="681"/>
    </row>
    <row r="227" spans="13:19" x14ac:dyDescent="0.2">
      <c r="M227" s="680" t="s">
        <v>753</v>
      </c>
      <c r="N227" s="672"/>
      <c r="O227" s="672"/>
      <c r="P227" s="672"/>
      <c r="Q227" s="672"/>
      <c r="R227" s="672"/>
      <c r="S227" s="681"/>
    </row>
    <row r="228" spans="13:19" x14ac:dyDescent="0.2">
      <c r="M228" s="680" t="s">
        <v>754</v>
      </c>
      <c r="N228" s="672"/>
      <c r="O228" s="672"/>
      <c r="P228" s="672"/>
      <c r="Q228" s="672"/>
      <c r="R228" s="672"/>
      <c r="S228" s="681"/>
    </row>
    <row r="229" spans="13:19" x14ac:dyDescent="0.2">
      <c r="M229" s="680"/>
      <c r="N229" s="672"/>
      <c r="O229" s="672"/>
      <c r="P229" s="672"/>
      <c r="Q229" s="672"/>
      <c r="R229" s="672"/>
      <c r="S229" s="681"/>
    </row>
    <row r="230" spans="13:19" x14ac:dyDescent="0.2">
      <c r="M230" s="680" t="s">
        <v>755</v>
      </c>
      <c r="N230" s="672"/>
      <c r="O230" s="672"/>
      <c r="P230" s="672"/>
      <c r="Q230" s="672"/>
      <c r="R230" s="672"/>
      <c r="S230" s="681"/>
    </row>
    <row r="231" spans="13:19" x14ac:dyDescent="0.2">
      <c r="M231" s="680" t="s">
        <v>756</v>
      </c>
      <c r="N231" s="672"/>
      <c r="O231" s="672"/>
      <c r="P231" s="672"/>
      <c r="Q231" s="672"/>
      <c r="R231" s="672"/>
      <c r="S231" s="681"/>
    </row>
    <row r="232" spans="13:19" x14ac:dyDescent="0.2">
      <c r="M232" s="680" t="s">
        <v>757</v>
      </c>
      <c r="N232" s="672"/>
      <c r="O232" s="672"/>
      <c r="P232" s="672"/>
      <c r="Q232" s="672"/>
      <c r="R232" s="672"/>
      <c r="S232" s="681"/>
    </row>
    <row r="233" spans="13:19" x14ac:dyDescent="0.2">
      <c r="M233" s="680"/>
      <c r="N233" s="672"/>
      <c r="O233" s="672"/>
      <c r="P233" s="672"/>
      <c r="Q233" s="672"/>
      <c r="R233" s="672"/>
      <c r="S233" s="681"/>
    </row>
    <row r="234" spans="13:19" x14ac:dyDescent="0.2">
      <c r="M234" s="680" t="s">
        <v>758</v>
      </c>
      <c r="N234" s="672"/>
      <c r="O234" s="672"/>
      <c r="P234" s="672"/>
      <c r="Q234" s="672"/>
      <c r="R234" s="672"/>
      <c r="S234" s="681"/>
    </row>
    <row r="235" spans="13:19" x14ac:dyDescent="0.2">
      <c r="M235" s="680" t="s">
        <v>759</v>
      </c>
      <c r="N235" s="672"/>
      <c r="O235" s="672"/>
      <c r="P235" s="672"/>
      <c r="Q235" s="672"/>
      <c r="R235" s="672"/>
      <c r="S235" s="681"/>
    </row>
    <row r="236" spans="13:19" x14ac:dyDescent="0.2">
      <c r="M236" s="680"/>
      <c r="N236" s="672"/>
      <c r="O236" s="672"/>
      <c r="P236" s="672"/>
      <c r="Q236" s="672"/>
      <c r="R236" s="672"/>
      <c r="S236" s="681"/>
    </row>
    <row r="237" spans="13:19" x14ac:dyDescent="0.2">
      <c r="M237" s="680"/>
      <c r="N237" s="672"/>
      <c r="O237" s="672"/>
      <c r="P237" s="672"/>
      <c r="Q237" s="672"/>
      <c r="R237" s="672"/>
      <c r="S237" s="681"/>
    </row>
    <row r="238" spans="13:19" x14ac:dyDescent="0.2">
      <c r="M238" s="680"/>
      <c r="N238" s="672"/>
      <c r="O238" s="672"/>
      <c r="P238" s="672"/>
      <c r="Q238" s="672"/>
      <c r="R238" s="672"/>
      <c r="S238" s="681"/>
    </row>
    <row r="239" spans="13:19" x14ac:dyDescent="0.2">
      <c r="M239" s="680"/>
      <c r="N239" s="672"/>
      <c r="O239" s="672"/>
      <c r="P239" s="672"/>
      <c r="Q239" s="672"/>
      <c r="R239" s="672"/>
      <c r="S239" s="681"/>
    </row>
    <row r="240" spans="13:19" x14ac:dyDescent="0.2">
      <c r="M240" s="680"/>
      <c r="N240" s="672"/>
      <c r="O240" s="672"/>
      <c r="P240" s="672"/>
      <c r="Q240" s="672"/>
      <c r="R240" s="672"/>
      <c r="S240" s="681"/>
    </row>
    <row r="241" spans="13:19" x14ac:dyDescent="0.2">
      <c r="M241" s="699"/>
      <c r="N241" s="700"/>
      <c r="O241" s="700"/>
      <c r="P241" s="700"/>
      <c r="Q241" s="700"/>
      <c r="R241" s="700"/>
      <c r="S241" s="701"/>
    </row>
  </sheetData>
  <mergeCells count="121">
    <mergeCell ref="Y66:Y67"/>
    <mergeCell ref="Y68:Y69"/>
    <mergeCell ref="Y70:Y73"/>
    <mergeCell ref="X75:X84"/>
    <mergeCell ref="Y57:Y58"/>
    <mergeCell ref="Y63:Y64"/>
    <mergeCell ref="X35:X41"/>
    <mergeCell ref="Y36:Y38"/>
    <mergeCell ref="Y39:Y40"/>
    <mergeCell ref="X42:X74"/>
    <mergeCell ref="Y42:Y46"/>
    <mergeCell ref="Y47:Y49"/>
    <mergeCell ref="Y50:Y53"/>
    <mergeCell ref="Y54:Y56"/>
    <mergeCell ref="Y59:Y60"/>
    <mergeCell ref="Y61:Y62"/>
    <mergeCell ref="Z29:Z30"/>
    <mergeCell ref="B13:B19"/>
    <mergeCell ref="M13:M19"/>
    <mergeCell ref="Y13:AB15"/>
    <mergeCell ref="C14:C16"/>
    <mergeCell ref="N14:N16"/>
    <mergeCell ref="Y16:Y17"/>
    <mergeCell ref="AA16:AA17"/>
    <mergeCell ref="AB16:AB17"/>
    <mergeCell ref="C17:C18"/>
    <mergeCell ref="N17:N18"/>
    <mergeCell ref="X18:X19"/>
    <mergeCell ref="Y18:Y19"/>
    <mergeCell ref="Z18:Z19"/>
    <mergeCell ref="AB18:AB19"/>
    <mergeCell ref="M46:M53"/>
    <mergeCell ref="N46:N53"/>
    <mergeCell ref="C48:C51"/>
    <mergeCell ref="AB29:AB30"/>
    <mergeCell ref="N30:N31"/>
    <mergeCell ref="X31:X32"/>
    <mergeCell ref="Y31:Y32"/>
    <mergeCell ref="Z31:Z32"/>
    <mergeCell ref="K4:L4"/>
    <mergeCell ref="D9:K9"/>
    <mergeCell ref="AB31:AB32"/>
    <mergeCell ref="X20:X21"/>
    <mergeCell ref="Y20:Y21"/>
    <mergeCell ref="Z20:Z21"/>
    <mergeCell ref="AB20:AB21"/>
    <mergeCell ref="Y24:AB26"/>
    <mergeCell ref="Y27:Y28"/>
    <mergeCell ref="AA27:AA28"/>
    <mergeCell ref="AB27:AB28"/>
    <mergeCell ref="M20:M45"/>
    <mergeCell ref="N20:N22"/>
    <mergeCell ref="N23:N25"/>
    <mergeCell ref="X29:X30"/>
    <mergeCell ref="Y29:Y30"/>
    <mergeCell ref="B53:B62"/>
    <mergeCell ref="B71:B77"/>
    <mergeCell ref="M71:M77"/>
    <mergeCell ref="C72:C74"/>
    <mergeCell ref="N72:N74"/>
    <mergeCell ref="C75:C76"/>
    <mergeCell ref="N75:N76"/>
    <mergeCell ref="B20:B52"/>
    <mergeCell ref="C20:C24"/>
    <mergeCell ref="C28:C31"/>
    <mergeCell ref="C32:C34"/>
    <mergeCell ref="N32:N33"/>
    <mergeCell ref="N34:N35"/>
    <mergeCell ref="C35:C36"/>
    <mergeCell ref="C37:C38"/>
    <mergeCell ref="N37:N38"/>
    <mergeCell ref="C39:C40"/>
    <mergeCell ref="N40:N41"/>
    <mergeCell ref="C41:C42"/>
    <mergeCell ref="N42:N43"/>
    <mergeCell ref="C25:C27"/>
    <mergeCell ref="N26:N29"/>
    <mergeCell ref="C44:C45"/>
    <mergeCell ref="C46:C47"/>
    <mergeCell ref="B78:B104"/>
    <mergeCell ref="C78:C80"/>
    <mergeCell ref="M78:M110"/>
    <mergeCell ref="N78:N82"/>
    <mergeCell ref="C81:C82"/>
    <mergeCell ref="C83:C86"/>
    <mergeCell ref="N83:N85"/>
    <mergeCell ref="N86:N89"/>
    <mergeCell ref="C87:C88"/>
    <mergeCell ref="C89:C90"/>
    <mergeCell ref="N90:N92"/>
    <mergeCell ref="C91:C92"/>
    <mergeCell ref="N93:N94"/>
    <mergeCell ref="C94:C95"/>
    <mergeCell ref="N95:N96"/>
    <mergeCell ref="C97:C98"/>
    <mergeCell ref="N97:N98"/>
    <mergeCell ref="C99:C100"/>
    <mergeCell ref="N99:N100"/>
    <mergeCell ref="C101:C103"/>
    <mergeCell ref="N102:N103"/>
    <mergeCell ref="N104:N105"/>
    <mergeCell ref="B105:B113"/>
    <mergeCell ref="N106:N109"/>
    <mergeCell ref="M111:M120"/>
    <mergeCell ref="B129:E129"/>
    <mergeCell ref="R132:R138"/>
    <mergeCell ref="R139:R145"/>
    <mergeCell ref="R146:R151"/>
    <mergeCell ref="R152:R160"/>
    <mergeCell ref="M162:R162"/>
    <mergeCell ref="AC177:AD177"/>
    <mergeCell ref="AC178:AD178"/>
    <mergeCell ref="AA184:AB184"/>
    <mergeCell ref="Y185:Z185"/>
    <mergeCell ref="AA185:AB185"/>
    <mergeCell ref="AA189:AB189"/>
    <mergeCell ref="AC189:AD189"/>
    <mergeCell ref="AA194:AB194"/>
    <mergeCell ref="AA195:AB195"/>
    <mergeCell ref="AC195:AE195"/>
    <mergeCell ref="AI195:AJ195"/>
  </mergeCells>
  <pageMargins left="0.7" right="0.7" top="0.75" bottom="0.75" header="0.51180555555555496" footer="0.51180555555555496"/>
  <pageSetup firstPageNumber="0" orientation="portrait" horizontalDpi="300" verticalDpi="30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MK62"/>
  <sheetViews>
    <sheetView topLeftCell="A31" zoomScale="80" zoomScaleNormal="80" workbookViewId="0">
      <selection activeCell="I71" sqref="I71"/>
    </sheetView>
  </sheetViews>
  <sheetFormatPr baseColWidth="10" defaultColWidth="9.140625" defaultRowHeight="12.75" x14ac:dyDescent="0.2"/>
  <cols>
    <col min="1" max="1" width="39.42578125" style="385"/>
    <col min="2" max="2" width="15.28515625" style="385"/>
    <col min="3" max="13" width="14.140625" style="385"/>
    <col min="14" max="14" width="15.28515625" style="385"/>
    <col min="15" max="15" width="14.140625" style="385"/>
    <col min="16" max="16" width="17.5703125" style="385"/>
    <col min="17" max="1025" width="11.7109375" style="385"/>
  </cols>
  <sheetData>
    <row r="2" spans="1:14" ht="15.75" x14ac:dyDescent="0.2">
      <c r="A2" s="1126" t="s">
        <v>760</v>
      </c>
      <c r="B2" s="1126"/>
      <c r="C2" s="1126"/>
      <c r="D2" s="1126"/>
    </row>
    <row r="4" spans="1:14" ht="15" x14ac:dyDescent="0.2">
      <c r="A4" s="704" t="s">
        <v>61</v>
      </c>
      <c r="B4" s="705" t="s">
        <v>761</v>
      </c>
      <c r="C4" s="705" t="s">
        <v>762</v>
      </c>
      <c r="D4" s="705" t="s">
        <v>763</v>
      </c>
      <c r="E4" s="705" t="s">
        <v>764</v>
      </c>
      <c r="F4" s="705" t="s">
        <v>765</v>
      </c>
      <c r="G4" s="705" t="s">
        <v>766</v>
      </c>
      <c r="H4" s="705" t="s">
        <v>227</v>
      </c>
      <c r="I4" s="705" t="s">
        <v>767</v>
      </c>
      <c r="J4" s="705" t="s">
        <v>768</v>
      </c>
      <c r="K4" s="705" t="s">
        <v>769</v>
      </c>
      <c r="L4" s="705" t="s">
        <v>770</v>
      </c>
      <c r="M4" s="705" t="s">
        <v>771</v>
      </c>
    </row>
    <row r="5" spans="1:14" ht="15" x14ac:dyDescent="0.25">
      <c r="A5" s="706" t="s">
        <v>772</v>
      </c>
      <c r="B5" s="707"/>
      <c r="C5" s="707"/>
      <c r="D5" s="707">
        <f>+'B) Reajuste Tarifas y Ocupación'!$I$37</f>
        <v>129</v>
      </c>
      <c r="E5" s="707">
        <f>+'B) Reajuste Tarifas y Ocupación'!$I$37</f>
        <v>129</v>
      </c>
      <c r="F5" s="707">
        <f>+'B) Reajuste Tarifas y Ocupación'!$I$37</f>
        <v>129</v>
      </c>
      <c r="G5" s="707">
        <f>+'B) Reajuste Tarifas y Ocupación'!$I$37</f>
        <v>129</v>
      </c>
      <c r="H5" s="707">
        <f>+'B) Reajuste Tarifas y Ocupación'!$I$37</f>
        <v>129</v>
      </c>
      <c r="I5" s="707">
        <f>+'B) Reajuste Tarifas y Ocupación'!$I$37</f>
        <v>129</v>
      </c>
      <c r="J5" s="707">
        <f>+'B) Reajuste Tarifas y Ocupación'!$I$37</f>
        <v>129</v>
      </c>
      <c r="K5" s="707">
        <f>+'B) Reajuste Tarifas y Ocupación'!$I$37</f>
        <v>129</v>
      </c>
      <c r="L5" s="707">
        <f>+'B) Reajuste Tarifas y Ocupación'!$I$37</f>
        <v>129</v>
      </c>
      <c r="M5" s="707">
        <f>+'B) Reajuste Tarifas y Ocupación'!$I$37</f>
        <v>129</v>
      </c>
    </row>
    <row r="6" spans="1:14" ht="15" x14ac:dyDescent="0.25">
      <c r="A6" s="706" t="s">
        <v>773</v>
      </c>
      <c r="B6" s="707">
        <f>+COUNTA('F) Remuneraciones'!$C$11:$C$33)</f>
        <v>23</v>
      </c>
      <c r="C6" s="707">
        <f>+COUNTA('F) Remuneraciones'!$C$11:$C$33)</f>
        <v>23</v>
      </c>
      <c r="D6" s="707">
        <f>+COUNTA('F) Remuneraciones'!$C$11:$C$33)</f>
        <v>23</v>
      </c>
      <c r="E6" s="707">
        <f>+COUNTA('F) Remuneraciones'!$C$11:$C$33)</f>
        <v>23</v>
      </c>
      <c r="F6" s="707">
        <f>+COUNTA('F) Remuneraciones'!$C$11:$C$33)</f>
        <v>23</v>
      </c>
      <c r="G6" s="707">
        <f>+COUNTA('F) Remuneraciones'!$C$11:$C$33)</f>
        <v>23</v>
      </c>
      <c r="H6" s="707">
        <f>+COUNTA('F) Remuneraciones'!$C$11:$C$33)</f>
        <v>23</v>
      </c>
      <c r="I6" s="707">
        <f>+COUNTA('F) Remuneraciones'!$C$11:$C$33)</f>
        <v>23</v>
      </c>
      <c r="J6" s="707">
        <f>+COUNTA('F) Remuneraciones'!$C$11:$C$33)</f>
        <v>23</v>
      </c>
      <c r="K6" s="707">
        <f>+COUNTA('F) Remuneraciones'!$C$11:$C$33)</f>
        <v>23</v>
      </c>
      <c r="L6" s="707">
        <f>+COUNTA('F) Remuneraciones'!$C$11:$C$33)</f>
        <v>23</v>
      </c>
      <c r="M6" s="707">
        <f>+COUNTA('F) Remuneraciones'!$C$11:$C$33)</f>
        <v>23</v>
      </c>
    </row>
    <row r="7" spans="1:14" ht="15" x14ac:dyDescent="0.25">
      <c r="A7" s="706"/>
      <c r="B7" s="708"/>
      <c r="C7" s="708"/>
      <c r="D7" s="708"/>
      <c r="E7" s="708"/>
      <c r="F7" s="708"/>
      <c r="G7" s="708"/>
      <c r="H7" s="708"/>
      <c r="I7" s="708"/>
      <c r="J7" s="708"/>
      <c r="K7" s="708"/>
      <c r="L7" s="708"/>
      <c r="M7" s="708"/>
    </row>
    <row r="8" spans="1:14" ht="30" x14ac:dyDescent="0.2">
      <c r="A8" s="709" t="s">
        <v>774</v>
      </c>
      <c r="B8" s="705" t="s">
        <v>761</v>
      </c>
      <c r="C8" s="705" t="s">
        <v>762</v>
      </c>
      <c r="D8" s="705" t="s">
        <v>763</v>
      </c>
      <c r="E8" s="705" t="s">
        <v>764</v>
      </c>
      <c r="F8" s="705" t="s">
        <v>765</v>
      </c>
      <c r="G8" s="705" t="s">
        <v>766</v>
      </c>
      <c r="H8" s="705" t="s">
        <v>227</v>
      </c>
      <c r="I8" s="705" t="s">
        <v>767</v>
      </c>
      <c r="J8" s="705" t="s">
        <v>768</v>
      </c>
      <c r="K8" s="705" t="s">
        <v>769</v>
      </c>
      <c r="L8" s="705" t="s">
        <v>770</v>
      </c>
      <c r="M8" s="705" t="s">
        <v>771</v>
      </c>
      <c r="N8" s="705" t="s">
        <v>775</v>
      </c>
    </row>
    <row r="9" spans="1:14" ht="15" x14ac:dyDescent="0.25">
      <c r="A9" s="710" t="s">
        <v>776</v>
      </c>
      <c r="B9" s="711">
        <f>+'A) Resumen Ingresos y Egresos'!P32</f>
        <v>1941000</v>
      </c>
      <c r="C9" s="711">
        <f>+'A) Resumen Ingresos y Egresos'!N32*0.7</f>
        <v>10883390</v>
      </c>
      <c r="D9" s="711">
        <f>+'A) Resumen Ingresos y Egresos'!N32*0.3+'A) Resumen Ingresos y Egresos'!O32*0.1</f>
        <v>20212010</v>
      </c>
      <c r="E9" s="711">
        <f>+'A) Resumen Ingresos y Egresos'!$O$32*0.1</f>
        <v>15547700</v>
      </c>
      <c r="F9" s="711">
        <f>+'A) Resumen Ingresos y Egresos'!$O$32*0.1</f>
        <v>15547700</v>
      </c>
      <c r="G9" s="711">
        <f>+'A) Resumen Ingresos y Egresos'!$O$32*0.1</f>
        <v>15547700</v>
      </c>
      <c r="H9" s="711">
        <f>+'A) Resumen Ingresos y Egresos'!$O$32*0.1</f>
        <v>15547700</v>
      </c>
      <c r="I9" s="711">
        <f>+'A) Resumen Ingresos y Egresos'!$O$32*0.1</f>
        <v>15547700</v>
      </c>
      <c r="J9" s="711">
        <f>+'A) Resumen Ingresos y Egresos'!$O$32*0.1</f>
        <v>15547700</v>
      </c>
      <c r="K9" s="711">
        <f>+'A) Resumen Ingresos y Egresos'!$O$32*0.1</f>
        <v>15547700</v>
      </c>
      <c r="L9" s="711">
        <f>+'A) Resumen Ingresos y Egresos'!$O$32*0.1</f>
        <v>15547700</v>
      </c>
      <c r="M9" s="711">
        <f>+'A) Resumen Ingresos y Egresos'!$O$32*0.1</f>
        <v>15547700</v>
      </c>
      <c r="N9" s="712">
        <f>SUM(B9:M9)</f>
        <v>172965700</v>
      </c>
    </row>
    <row r="10" spans="1:14" ht="15" x14ac:dyDescent="0.25">
      <c r="A10" s="710" t="s">
        <v>777</v>
      </c>
      <c r="B10" s="711">
        <f>SUM('F) Remuneraciones'!$H$11:$H$33)/12</f>
        <v>9153250.4386666659</v>
      </c>
      <c r="C10" s="711">
        <f>SUM('F) Remuneraciones'!$H$11:$H$33)/12</f>
        <v>9153250.4386666659</v>
      </c>
      <c r="D10" s="711">
        <f>SUM('F) Remuneraciones'!$H$11:$H$33)/12</f>
        <v>9153250.4386666659</v>
      </c>
      <c r="E10" s="711">
        <f>SUM('F) Remuneraciones'!$H$11:$H$33)/12</f>
        <v>9153250.4386666659</v>
      </c>
      <c r="F10" s="711">
        <f>SUM('F) Remuneraciones'!$H$11:$H$33)/12</f>
        <v>9153250.4386666659</v>
      </c>
      <c r="G10" s="711">
        <f>SUM('F) Remuneraciones'!$H$11:$H$33)/12</f>
        <v>9153250.4386666659</v>
      </c>
      <c r="H10" s="711">
        <f>SUM('F) Remuneraciones'!$H$11:$H$33)/12</f>
        <v>9153250.4386666659</v>
      </c>
      <c r="I10" s="711">
        <f>SUM('F) Remuneraciones'!$H$11:$H$33)/12</f>
        <v>9153250.4386666659</v>
      </c>
      <c r="J10" s="711">
        <f>SUM('F) Remuneraciones'!$H$11:$H$33)/12</f>
        <v>9153250.4386666659</v>
      </c>
      <c r="K10" s="711">
        <f>SUM('F) Remuneraciones'!$H$11:$H$33)/12</f>
        <v>9153250.4386666659</v>
      </c>
      <c r="L10" s="711">
        <f>SUM('F) Remuneraciones'!$H$11:$H$33)/12</f>
        <v>9153250.4386666659</v>
      </c>
      <c r="M10" s="711">
        <f>SUM('F) Remuneraciones'!$H$11:$H$33)/12</f>
        <v>9153250.4386666659</v>
      </c>
      <c r="N10" s="712">
        <f>SUM(B10:M10)</f>
        <v>109839005.26400001</v>
      </c>
    </row>
    <row r="11" spans="1:14" ht="15" x14ac:dyDescent="0.25">
      <c r="A11" s="710" t="s">
        <v>778</v>
      </c>
      <c r="B11" s="711">
        <f>SUM('F) Remuneraciones'!I11:I33)*0.5</f>
        <v>1925658</v>
      </c>
      <c r="C11" s="711">
        <v>0</v>
      </c>
      <c r="D11" s="711">
        <v>0</v>
      </c>
      <c r="E11" s="711">
        <v>0</v>
      </c>
      <c r="F11" s="711">
        <v>0</v>
      </c>
      <c r="G11" s="711">
        <v>0</v>
      </c>
      <c r="H11" s="711">
        <v>0</v>
      </c>
      <c r="I11" s="711">
        <v>0</v>
      </c>
      <c r="J11" s="711">
        <f>SUM('F) Remuneraciones'!J11:J33)*0.5</f>
        <v>666550</v>
      </c>
      <c r="K11" s="711">
        <v>0</v>
      </c>
      <c r="L11" s="711">
        <v>0</v>
      </c>
      <c r="M11" s="711">
        <f>+B11+J11</f>
        <v>2592208</v>
      </c>
      <c r="N11" s="712">
        <f>SUM(B11:M11)</f>
        <v>5184416</v>
      </c>
    </row>
    <row r="12" spans="1:14" ht="15" x14ac:dyDescent="0.25">
      <c r="A12" s="710" t="s">
        <v>779</v>
      </c>
      <c r="B12" s="711">
        <f>(+'C) Costos Directos'!$H$75-'C) Costos Directos'!$D$14)*0.05</f>
        <v>2619933.286632</v>
      </c>
      <c r="C12" s="711">
        <f>(+'C) Costos Directos'!$H$75-'C) Costos Directos'!$D$14)*0.05</f>
        <v>2619933.286632</v>
      </c>
      <c r="D12" s="711">
        <f>(+'C) Costos Directos'!$H$75-'C) Costos Directos'!$D$14)*0.09</f>
        <v>4715879.9159375997</v>
      </c>
      <c r="E12" s="711">
        <f>(+'C) Costos Directos'!$H$75-'C) Costos Directos'!$D$14)*0.09</f>
        <v>4715879.9159375997</v>
      </c>
      <c r="F12" s="711">
        <f>(+'C) Costos Directos'!$H$75-'C) Costos Directos'!$D$14)*0.09</f>
        <v>4715879.9159375997</v>
      </c>
      <c r="G12" s="711">
        <f>(+'C) Costos Directos'!$H$75-'C) Costos Directos'!$D$14)*0.09</f>
        <v>4715879.9159375997</v>
      </c>
      <c r="H12" s="711">
        <f>(+'C) Costos Directos'!$H$75-'C) Costos Directos'!$D$14)*0.09</f>
        <v>4715879.9159375997</v>
      </c>
      <c r="I12" s="711">
        <f>(+'C) Costos Directos'!$H$75-'C) Costos Directos'!$D$14)*0.09</f>
        <v>4715879.9159375997</v>
      </c>
      <c r="J12" s="711">
        <f>(+'C) Costos Directos'!$H$75-'C) Costos Directos'!$D$14)*0.09</f>
        <v>4715879.9159375997</v>
      </c>
      <c r="K12" s="711">
        <f>(+'C) Costos Directos'!$H$75-'C) Costos Directos'!$D$14)*0.09</f>
        <v>4715879.9159375997</v>
      </c>
      <c r="L12" s="711">
        <f>(+'C) Costos Directos'!$H$75-'C) Costos Directos'!$D$14)*0.09</f>
        <v>4715879.9159375997</v>
      </c>
      <c r="M12" s="711">
        <f>(+'C) Costos Directos'!$H$75-'C) Costos Directos'!$D$14)*0.09</f>
        <v>4715879.9159375997</v>
      </c>
      <c r="N12" s="712">
        <f>SUM(B12:M12)</f>
        <v>52398665.732640006</v>
      </c>
    </row>
    <row r="13" spans="1:14" ht="15" x14ac:dyDescent="0.25">
      <c r="A13" s="713" t="s">
        <v>780</v>
      </c>
      <c r="B13" s="714">
        <f t="shared" ref="B13:H13" si="0">+B9-B10-B11-B12</f>
        <v>-11757841.725298665</v>
      </c>
      <c r="C13" s="714">
        <f t="shared" si="0"/>
        <v>-889793.72529866593</v>
      </c>
      <c r="D13" s="714">
        <f t="shared" si="0"/>
        <v>6342879.6453957343</v>
      </c>
      <c r="E13" s="714">
        <f t="shared" si="0"/>
        <v>1678569.6453957343</v>
      </c>
      <c r="F13" s="714">
        <f t="shared" si="0"/>
        <v>1678569.6453957343</v>
      </c>
      <c r="G13" s="714">
        <f t="shared" si="0"/>
        <v>1678569.6453957343</v>
      </c>
      <c r="H13" s="714">
        <f t="shared" si="0"/>
        <v>1678569.6453957343</v>
      </c>
      <c r="I13" s="714">
        <v>0</v>
      </c>
      <c r="J13" s="714">
        <f>+J9-J10-J11-J12</f>
        <v>1012019.6453957343</v>
      </c>
      <c r="K13" s="714">
        <f>+K9-K10-K11-K12</f>
        <v>1678569.6453957343</v>
      </c>
      <c r="L13" s="714">
        <f>+L9-L10-L11-L12</f>
        <v>1678569.6453957343</v>
      </c>
      <c r="M13" s="714">
        <f>+M9-M10-M11-M12</f>
        <v>-913638.35460426565</v>
      </c>
      <c r="N13" s="714">
        <f>+N9-N10-N11-N12</f>
        <v>5543613.0033599809</v>
      </c>
    </row>
    <row r="14" spans="1:14" ht="15" x14ac:dyDescent="0.25">
      <c r="A14" s="715"/>
      <c r="B14" s="716"/>
      <c r="C14" s="716"/>
      <c r="D14" s="716"/>
      <c r="E14" s="716"/>
      <c r="F14" s="716"/>
      <c r="G14" s="716"/>
      <c r="H14" s="716"/>
      <c r="I14" s="716"/>
      <c r="J14" s="716"/>
      <c r="K14" s="716"/>
      <c r="L14" s="716"/>
      <c r="M14" s="716"/>
      <c r="N14" s="716"/>
    </row>
    <row r="15" spans="1:14" ht="15" x14ac:dyDescent="0.25">
      <c r="A15" s="715"/>
      <c r="B15" s="716"/>
      <c r="C15" s="716"/>
      <c r="D15" s="716"/>
      <c r="E15" s="716"/>
      <c r="F15" s="716"/>
      <c r="G15" s="716"/>
      <c r="H15" s="716"/>
      <c r="I15" s="716"/>
      <c r="J15" s="716"/>
      <c r="K15" s="716"/>
      <c r="L15" s="716"/>
      <c r="M15" s="716"/>
      <c r="N15" s="716"/>
    </row>
    <row r="16" spans="1:14" ht="15" x14ac:dyDescent="0.25">
      <c r="A16" s="704" t="s">
        <v>61</v>
      </c>
      <c r="B16" s="705" t="s">
        <v>761</v>
      </c>
      <c r="C16" s="705" t="s">
        <v>762</v>
      </c>
      <c r="D16" s="705" t="s">
        <v>763</v>
      </c>
      <c r="E16" s="705" t="s">
        <v>764</v>
      </c>
      <c r="F16" s="705" t="s">
        <v>765</v>
      </c>
      <c r="G16" s="705" t="s">
        <v>766</v>
      </c>
      <c r="H16" s="705" t="s">
        <v>227</v>
      </c>
      <c r="I16" s="705" t="s">
        <v>767</v>
      </c>
      <c r="J16" s="705" t="s">
        <v>768</v>
      </c>
      <c r="K16" s="705" t="s">
        <v>769</v>
      </c>
      <c r="L16" s="705" t="s">
        <v>770</v>
      </c>
      <c r="M16" s="705" t="s">
        <v>771</v>
      </c>
      <c r="N16" s="716"/>
    </row>
    <row r="17" spans="1:14" ht="15" x14ac:dyDescent="0.25">
      <c r="A17" s="706" t="s">
        <v>772</v>
      </c>
      <c r="B17" s="707"/>
      <c r="C17" s="707"/>
      <c r="D17" s="707">
        <f>+'B) Reajuste Tarifas y Ocupación'!$I$39</f>
        <v>120</v>
      </c>
      <c r="E17" s="707">
        <f>+'B) Reajuste Tarifas y Ocupación'!$I$39</f>
        <v>120</v>
      </c>
      <c r="F17" s="707">
        <f>+'B) Reajuste Tarifas y Ocupación'!$I$39</f>
        <v>120</v>
      </c>
      <c r="G17" s="707">
        <f>+'B) Reajuste Tarifas y Ocupación'!$I$39</f>
        <v>120</v>
      </c>
      <c r="H17" s="707">
        <f>+'B) Reajuste Tarifas y Ocupación'!$I$39</f>
        <v>120</v>
      </c>
      <c r="I17" s="707">
        <f>+'B) Reajuste Tarifas y Ocupación'!$I$39</f>
        <v>120</v>
      </c>
      <c r="J17" s="707">
        <f>+'B) Reajuste Tarifas y Ocupación'!$I$39</f>
        <v>120</v>
      </c>
      <c r="K17" s="707">
        <f>+'B) Reajuste Tarifas y Ocupación'!$I$39</f>
        <v>120</v>
      </c>
      <c r="L17" s="707">
        <f>+'B) Reajuste Tarifas y Ocupación'!$I$39</f>
        <v>120</v>
      </c>
      <c r="M17" s="707">
        <f>+'B) Reajuste Tarifas y Ocupación'!$I$39</f>
        <v>120</v>
      </c>
      <c r="N17" s="716"/>
    </row>
    <row r="18" spans="1:14" ht="15" x14ac:dyDescent="0.25">
      <c r="A18" s="706" t="s">
        <v>773</v>
      </c>
      <c r="B18" s="707">
        <f>+COUNTA('F) Remuneraciones'!$C$34:$C$54)</f>
        <v>21</v>
      </c>
      <c r="C18" s="707">
        <f>+COUNTA('F) Remuneraciones'!$C$34:$C$54)</f>
        <v>21</v>
      </c>
      <c r="D18" s="707">
        <f>+COUNTA('F) Remuneraciones'!$C$34:$C$54)</f>
        <v>21</v>
      </c>
      <c r="E18" s="707">
        <f>+COUNTA('F) Remuneraciones'!$C$34:$C$54)</f>
        <v>21</v>
      </c>
      <c r="F18" s="707">
        <f>+COUNTA('F) Remuneraciones'!$C$34:$C$54)</f>
        <v>21</v>
      </c>
      <c r="G18" s="707">
        <f>+COUNTA('F) Remuneraciones'!$C$34:$C$54)</f>
        <v>21</v>
      </c>
      <c r="H18" s="707">
        <f>+COUNTA('F) Remuneraciones'!$C$34:$C$54)</f>
        <v>21</v>
      </c>
      <c r="I18" s="707">
        <f>+COUNTA('F) Remuneraciones'!$C$34:$C$54)</f>
        <v>21</v>
      </c>
      <c r="J18" s="707">
        <f>+COUNTA('F) Remuneraciones'!$C$34:$C$54)</f>
        <v>21</v>
      </c>
      <c r="K18" s="707">
        <f>+COUNTA('F) Remuneraciones'!$C$34:$C$54)</f>
        <v>21</v>
      </c>
      <c r="L18" s="707">
        <f>+COUNTA('F) Remuneraciones'!$C$34:$C$54)</f>
        <v>21</v>
      </c>
      <c r="M18" s="707">
        <f>+COUNTA('F) Remuneraciones'!$C$34:$C$54)</f>
        <v>21</v>
      </c>
      <c r="N18" s="716"/>
    </row>
    <row r="19" spans="1:14" ht="15" x14ac:dyDescent="0.25">
      <c r="A19" s="706"/>
      <c r="B19" s="708"/>
      <c r="C19" s="708"/>
      <c r="D19" s="708"/>
      <c r="E19" s="708"/>
      <c r="F19" s="708"/>
      <c r="G19" s="708"/>
      <c r="H19" s="708"/>
      <c r="I19" s="708"/>
      <c r="J19" s="708"/>
      <c r="K19" s="708"/>
      <c r="L19" s="708"/>
      <c r="M19" s="708"/>
    </row>
    <row r="20" spans="1:14" ht="30" x14ac:dyDescent="0.2">
      <c r="A20" s="709" t="s">
        <v>781</v>
      </c>
      <c r="B20" s="705" t="s">
        <v>761</v>
      </c>
      <c r="C20" s="705" t="s">
        <v>762</v>
      </c>
      <c r="D20" s="705" t="s">
        <v>763</v>
      </c>
      <c r="E20" s="705" t="s">
        <v>764</v>
      </c>
      <c r="F20" s="705" t="s">
        <v>765</v>
      </c>
      <c r="G20" s="705" t="s">
        <v>766</v>
      </c>
      <c r="H20" s="705" t="s">
        <v>227</v>
      </c>
      <c r="I20" s="705" t="s">
        <v>767</v>
      </c>
      <c r="J20" s="705" t="s">
        <v>768</v>
      </c>
      <c r="K20" s="705" t="s">
        <v>769</v>
      </c>
      <c r="L20" s="705" t="s">
        <v>770</v>
      </c>
      <c r="M20" s="705" t="s">
        <v>771</v>
      </c>
      <c r="N20" s="705" t="s">
        <v>775</v>
      </c>
    </row>
    <row r="21" spans="1:14" ht="15" x14ac:dyDescent="0.25">
      <c r="A21" s="710" t="s">
        <v>776</v>
      </c>
      <c r="B21" s="711">
        <f>+'A) Resumen Ingresos y Egresos'!P39</f>
        <v>1035200</v>
      </c>
      <c r="C21" s="711">
        <f>+'A) Resumen Ingresos y Egresos'!N39*0.7</f>
        <v>11491200</v>
      </c>
      <c r="D21" s="711">
        <f>+'A) Resumen Ingresos y Egresos'!N39*0.3+'A) Resumen Ingresos y Egresos'!O39*0.1</f>
        <v>21340800</v>
      </c>
      <c r="E21" s="711">
        <f>+'A) Resumen Ingresos y Egresos'!$O$39*0.1</f>
        <v>16416000</v>
      </c>
      <c r="F21" s="711">
        <f>+'A) Resumen Ingresos y Egresos'!$O$39*0.1</f>
        <v>16416000</v>
      </c>
      <c r="G21" s="711">
        <f>+'A) Resumen Ingresos y Egresos'!$O$39*0.1</f>
        <v>16416000</v>
      </c>
      <c r="H21" s="711">
        <f>+'A) Resumen Ingresos y Egresos'!$O$39*0.1</f>
        <v>16416000</v>
      </c>
      <c r="I21" s="711">
        <f>+'A) Resumen Ingresos y Egresos'!$O$39*0.1</f>
        <v>16416000</v>
      </c>
      <c r="J21" s="711">
        <f>+'A) Resumen Ingresos y Egresos'!$O$39*0.1</f>
        <v>16416000</v>
      </c>
      <c r="K21" s="711">
        <f>+'A) Resumen Ingresos y Egresos'!$O$39*0.1</f>
        <v>16416000</v>
      </c>
      <c r="L21" s="711">
        <f>+'A) Resumen Ingresos y Egresos'!$O$39*0.1</f>
        <v>16416000</v>
      </c>
      <c r="M21" s="711">
        <f>+'A) Resumen Ingresos y Egresos'!$O$39*0.1</f>
        <v>16416000</v>
      </c>
      <c r="N21" s="712">
        <f>SUM(B21:M21)</f>
        <v>181611200</v>
      </c>
    </row>
    <row r="22" spans="1:14" ht="15" x14ac:dyDescent="0.25">
      <c r="A22" s="710" t="s">
        <v>777</v>
      </c>
      <c r="B22" s="711">
        <f>SUM('F) Remuneraciones'!$H$34:$H$54)/12</f>
        <v>9520080.4793333337</v>
      </c>
      <c r="C22" s="711">
        <f>SUM('F) Remuneraciones'!$H$34:$H$54)/12</f>
        <v>9520080.4793333337</v>
      </c>
      <c r="D22" s="711">
        <f>SUM('F) Remuneraciones'!$H$34:$H$54)/12</f>
        <v>9520080.4793333337</v>
      </c>
      <c r="E22" s="711">
        <f>SUM('F) Remuneraciones'!$H$34:$H$54)/12</f>
        <v>9520080.4793333337</v>
      </c>
      <c r="F22" s="711">
        <f>SUM('F) Remuneraciones'!$H$34:$H$54)/12</f>
        <v>9520080.4793333337</v>
      </c>
      <c r="G22" s="711">
        <f>SUM('F) Remuneraciones'!$H$34:$H$54)/12</f>
        <v>9520080.4793333337</v>
      </c>
      <c r="H22" s="711">
        <f>SUM('F) Remuneraciones'!$H$34:$H$54)/12</f>
        <v>9520080.4793333337</v>
      </c>
      <c r="I22" s="711">
        <f>SUM('F) Remuneraciones'!$H$34:$H$54)/12</f>
        <v>9520080.4793333337</v>
      </c>
      <c r="J22" s="711">
        <f>SUM('F) Remuneraciones'!$H$34:$H$54)/12</f>
        <v>9520080.4793333337</v>
      </c>
      <c r="K22" s="711">
        <f>SUM('F) Remuneraciones'!$H$34:$H$54)/12</f>
        <v>9520080.4793333337</v>
      </c>
      <c r="L22" s="711">
        <f>SUM('F) Remuneraciones'!$H$34:$H$54)/12</f>
        <v>9520080.4793333337</v>
      </c>
      <c r="M22" s="711">
        <f>SUM('F) Remuneraciones'!$H$34:$H$54)/12</f>
        <v>9520080.4793333337</v>
      </c>
      <c r="N22" s="712">
        <f>SUM(B22:M22)</f>
        <v>114240965.75200003</v>
      </c>
    </row>
    <row r="23" spans="1:14" ht="15" x14ac:dyDescent="0.25">
      <c r="A23" s="710" t="s">
        <v>778</v>
      </c>
      <c r="B23" s="711">
        <f>SUM('F) Remuneraciones'!I34:I54)*0.5</f>
        <v>1925658</v>
      </c>
      <c r="C23" s="711">
        <v>0</v>
      </c>
      <c r="D23" s="711">
        <v>0</v>
      </c>
      <c r="E23" s="711">
        <v>0</v>
      </c>
      <c r="F23" s="711">
        <v>0</v>
      </c>
      <c r="G23" s="711">
        <v>0</v>
      </c>
      <c r="H23" s="711">
        <v>0</v>
      </c>
      <c r="I23" s="711">
        <v>0</v>
      </c>
      <c r="J23" s="711">
        <f>SUM('F) Remuneraciones'!J34:J54)*0.5</f>
        <v>666550</v>
      </c>
      <c r="K23" s="711">
        <v>0</v>
      </c>
      <c r="L23" s="711">
        <v>0</v>
      </c>
      <c r="M23" s="711">
        <f>+B23+J23</f>
        <v>2592208</v>
      </c>
      <c r="N23" s="712">
        <f>SUM(B23:M23)</f>
        <v>5184416</v>
      </c>
    </row>
    <row r="24" spans="1:14" ht="15" x14ac:dyDescent="0.25">
      <c r="A24" s="710" t="s">
        <v>779</v>
      </c>
      <c r="B24" s="711">
        <f>(+'C) Costos Directos'!$H$141-'C) Costos Directos'!$D$80)*0.05</f>
        <v>3203814.090876</v>
      </c>
      <c r="C24" s="711">
        <f>(+'C) Costos Directos'!$H$141-'C) Costos Directos'!$D$80)*0.05</f>
        <v>3203814.090876</v>
      </c>
      <c r="D24" s="711">
        <f>(+'C) Costos Directos'!$H$141-'C) Costos Directos'!$D$80)*0.09</f>
        <v>5766865.3635767987</v>
      </c>
      <c r="E24" s="711">
        <f>(+'C) Costos Directos'!$H$141-'C) Costos Directos'!$D$80)*0.09</f>
        <v>5766865.3635767987</v>
      </c>
      <c r="F24" s="711">
        <f>(+'C) Costos Directos'!$H$141-'C) Costos Directos'!$D$80)*0.09</f>
        <v>5766865.3635767987</v>
      </c>
      <c r="G24" s="711">
        <f>(+'C) Costos Directos'!$H$141-'C) Costos Directos'!$D$80)*0.09</f>
        <v>5766865.3635767987</v>
      </c>
      <c r="H24" s="711">
        <f>(+'C) Costos Directos'!$H$141-'C) Costos Directos'!$D$80)*0.09</f>
        <v>5766865.3635767987</v>
      </c>
      <c r="I24" s="711">
        <f>(+'C) Costos Directos'!$H$141-'C) Costos Directos'!$D$80)*0.09</f>
        <v>5766865.3635767987</v>
      </c>
      <c r="J24" s="711">
        <f>(+'C) Costos Directos'!$H$141-'C) Costos Directos'!$D$80)*0.09</f>
        <v>5766865.3635767987</v>
      </c>
      <c r="K24" s="711">
        <f>(+'C) Costos Directos'!$H$141-'C) Costos Directos'!$D$80)*0.09</f>
        <v>5766865.3635767987</v>
      </c>
      <c r="L24" s="711">
        <f>(+'C) Costos Directos'!$H$141-'C) Costos Directos'!$D$80)*0.09</f>
        <v>5766865.3635767987</v>
      </c>
      <c r="M24" s="711">
        <f>(+'C) Costos Directos'!$H$141-'C) Costos Directos'!$D$80)*0.09</f>
        <v>5766865.3635767987</v>
      </c>
      <c r="N24" s="712">
        <f>SUM(B24:M24)</f>
        <v>64076281.817519993</v>
      </c>
    </row>
    <row r="25" spans="1:14" ht="15" x14ac:dyDescent="0.25">
      <c r="A25" s="713" t="s">
        <v>780</v>
      </c>
      <c r="B25" s="714">
        <f t="shared" ref="B25:N25" si="1">+B21-B22-B23-B24</f>
        <v>-13614352.570209334</v>
      </c>
      <c r="C25" s="714">
        <f t="shared" si="1"/>
        <v>-1232694.5702093337</v>
      </c>
      <c r="D25" s="714">
        <f t="shared" si="1"/>
        <v>6053854.1570898676</v>
      </c>
      <c r="E25" s="714">
        <f t="shared" si="1"/>
        <v>1129054.1570898676</v>
      </c>
      <c r="F25" s="714">
        <f t="shared" si="1"/>
        <v>1129054.1570898676</v>
      </c>
      <c r="G25" s="714">
        <f t="shared" si="1"/>
        <v>1129054.1570898676</v>
      </c>
      <c r="H25" s="714">
        <f t="shared" si="1"/>
        <v>1129054.1570898676</v>
      </c>
      <c r="I25" s="714">
        <f t="shared" si="1"/>
        <v>1129054.1570898676</v>
      </c>
      <c r="J25" s="714">
        <f t="shared" si="1"/>
        <v>462504.15708986763</v>
      </c>
      <c r="K25" s="714">
        <f t="shared" si="1"/>
        <v>1129054.1570898676</v>
      </c>
      <c r="L25" s="714">
        <f t="shared" si="1"/>
        <v>1129054.1570898676</v>
      </c>
      <c r="M25" s="714">
        <f t="shared" si="1"/>
        <v>-1463153.8429101324</v>
      </c>
      <c r="N25" s="714">
        <f t="shared" si="1"/>
        <v>-1890463.5695200264</v>
      </c>
    </row>
    <row r="26" spans="1:14" ht="15" x14ac:dyDescent="0.25">
      <c r="A26" s="706"/>
      <c r="B26" s="708"/>
      <c r="C26" s="708"/>
      <c r="D26" s="708"/>
      <c r="E26" s="708"/>
      <c r="F26" s="708"/>
      <c r="G26" s="708"/>
      <c r="H26" s="708"/>
      <c r="I26" s="708"/>
      <c r="J26" s="708"/>
      <c r="K26" s="708"/>
      <c r="L26" s="708"/>
      <c r="M26" s="708"/>
    </row>
    <row r="28" spans="1:14" ht="15" x14ac:dyDescent="0.2">
      <c r="A28" s="704" t="s">
        <v>61</v>
      </c>
      <c r="B28" s="705" t="s">
        <v>761</v>
      </c>
      <c r="C28" s="705" t="s">
        <v>762</v>
      </c>
      <c r="D28" s="705" t="s">
        <v>763</v>
      </c>
      <c r="E28" s="705" t="s">
        <v>764</v>
      </c>
      <c r="F28" s="705" t="s">
        <v>765</v>
      </c>
      <c r="G28" s="705" t="s">
        <v>766</v>
      </c>
      <c r="H28" s="705" t="s">
        <v>227</v>
      </c>
      <c r="I28" s="705" t="s">
        <v>767</v>
      </c>
      <c r="J28" s="705" t="s">
        <v>768</v>
      </c>
      <c r="K28" s="705" t="s">
        <v>769</v>
      </c>
      <c r="L28" s="705" t="s">
        <v>770</v>
      </c>
      <c r="M28" s="705" t="s">
        <v>771</v>
      </c>
    </row>
    <row r="29" spans="1:14" ht="15" x14ac:dyDescent="0.25">
      <c r="A29" s="706" t="s">
        <v>772</v>
      </c>
      <c r="B29" s="707">
        <f>+'B) Reajuste Tarifas y Ocupación'!$I$48</f>
        <v>33</v>
      </c>
      <c r="C29" s="707">
        <f>+'B) Reajuste Tarifas y Ocupación'!$I$48</f>
        <v>33</v>
      </c>
      <c r="D29" s="707">
        <f>+'B) Reajuste Tarifas y Ocupación'!$I$48</f>
        <v>33</v>
      </c>
      <c r="E29" s="707">
        <f>+'B) Reajuste Tarifas y Ocupación'!$I$48</f>
        <v>33</v>
      </c>
      <c r="F29" s="707">
        <f>+'B) Reajuste Tarifas y Ocupación'!$I$48</f>
        <v>33</v>
      </c>
      <c r="G29" s="707">
        <f>+'B) Reajuste Tarifas y Ocupación'!$I$48</f>
        <v>33</v>
      </c>
      <c r="H29" s="707">
        <f>+'B) Reajuste Tarifas y Ocupación'!$I$48</f>
        <v>33</v>
      </c>
      <c r="I29" s="707">
        <f>+'B) Reajuste Tarifas y Ocupación'!$I$48</f>
        <v>33</v>
      </c>
      <c r="J29" s="707">
        <f>+'B) Reajuste Tarifas y Ocupación'!$I$48</f>
        <v>33</v>
      </c>
      <c r="K29" s="707">
        <f>+'B) Reajuste Tarifas y Ocupación'!$I$48</f>
        <v>33</v>
      </c>
      <c r="L29" s="707">
        <f>+'B) Reajuste Tarifas y Ocupación'!$I$48</f>
        <v>33</v>
      </c>
      <c r="M29" s="707">
        <f>+'B) Reajuste Tarifas y Ocupación'!$I$48</f>
        <v>33</v>
      </c>
    </row>
    <row r="30" spans="1:14" ht="15" x14ac:dyDescent="0.25">
      <c r="A30" s="706" t="s">
        <v>773</v>
      </c>
      <c r="B30" s="707">
        <f>+COUNTA('F) Remuneraciones'!$C$75:$C$89)</f>
        <v>11</v>
      </c>
      <c r="C30" s="707">
        <f>+COUNTA('F) Remuneraciones'!$C$75:$C$89)</f>
        <v>11</v>
      </c>
      <c r="D30" s="707">
        <f>+COUNTA('F) Remuneraciones'!$C$75:$C$89)</f>
        <v>11</v>
      </c>
      <c r="E30" s="707">
        <f>+COUNTA('F) Remuneraciones'!$C$75:$C$89)</f>
        <v>11</v>
      </c>
      <c r="F30" s="707">
        <f>+COUNTA('F) Remuneraciones'!$C$75:$C$89)</f>
        <v>11</v>
      </c>
      <c r="G30" s="707">
        <f>+COUNTA('F) Remuneraciones'!$C$75:$C$89)</f>
        <v>11</v>
      </c>
      <c r="H30" s="707">
        <f>+COUNTA('F) Remuneraciones'!$C$75:$C$89)</f>
        <v>11</v>
      </c>
      <c r="I30" s="707">
        <f>+COUNTA('F) Remuneraciones'!$C$75:$C$89)</f>
        <v>11</v>
      </c>
      <c r="J30" s="707">
        <f>+COUNTA('F) Remuneraciones'!$C$75:$C$89)</f>
        <v>11</v>
      </c>
      <c r="K30" s="707">
        <f>+COUNTA('F) Remuneraciones'!$C$75:$C$89)</f>
        <v>11</v>
      </c>
      <c r="L30" s="707">
        <f>+COUNTA('F) Remuneraciones'!$C$75:$C$89)</f>
        <v>11</v>
      </c>
      <c r="M30" s="707">
        <f>+COUNTA('F) Remuneraciones'!$C$75:$C$89)</f>
        <v>11</v>
      </c>
    </row>
    <row r="31" spans="1:14" ht="15" x14ac:dyDescent="0.25">
      <c r="A31" s="706"/>
      <c r="B31" s="708"/>
      <c r="C31" s="708"/>
      <c r="D31" s="708"/>
      <c r="E31" s="708"/>
      <c r="F31" s="708"/>
      <c r="G31" s="708"/>
      <c r="H31" s="708"/>
      <c r="I31" s="708"/>
      <c r="J31" s="708"/>
      <c r="K31" s="708"/>
      <c r="L31" s="708"/>
      <c r="M31" s="708"/>
    </row>
    <row r="32" spans="1:14" ht="30" x14ac:dyDescent="0.2">
      <c r="A32" s="709" t="s">
        <v>782</v>
      </c>
      <c r="B32" s="705" t="s">
        <v>761</v>
      </c>
      <c r="C32" s="705" t="s">
        <v>762</v>
      </c>
      <c r="D32" s="705" t="s">
        <v>763</v>
      </c>
      <c r="E32" s="705" t="s">
        <v>764</v>
      </c>
      <c r="F32" s="705" t="s">
        <v>765</v>
      </c>
      <c r="G32" s="705" t="s">
        <v>766</v>
      </c>
      <c r="H32" s="705" t="s">
        <v>227</v>
      </c>
      <c r="I32" s="705" t="s">
        <v>767</v>
      </c>
      <c r="J32" s="705" t="s">
        <v>768</v>
      </c>
      <c r="K32" s="705" t="s">
        <v>769</v>
      </c>
      <c r="L32" s="705" t="s">
        <v>770</v>
      </c>
      <c r="M32" s="705" t="s">
        <v>771</v>
      </c>
      <c r="N32" s="705" t="s">
        <v>775</v>
      </c>
    </row>
    <row r="33" spans="1:14" ht="15" x14ac:dyDescent="0.25">
      <c r="A33" s="710" t="s">
        <v>776</v>
      </c>
      <c r="B33" s="711">
        <f>+'A) Resumen Ingresos y Egresos'!$N$60/12+'A) Resumen Ingresos y Egresos'!$O$60/12</f>
        <v>10814100</v>
      </c>
      <c r="C33" s="711">
        <f>+'A) Resumen Ingresos y Egresos'!$N$60/12+'A) Resumen Ingresos y Egresos'!$O$60/12</f>
        <v>10814100</v>
      </c>
      <c r="D33" s="711">
        <f>+'A) Resumen Ingresos y Egresos'!$N$60/12+'A) Resumen Ingresos y Egresos'!$O$60/12</f>
        <v>10814100</v>
      </c>
      <c r="E33" s="711">
        <f>+'A) Resumen Ingresos y Egresos'!$N$60/12+'A) Resumen Ingresos y Egresos'!$O$60/12</f>
        <v>10814100</v>
      </c>
      <c r="F33" s="711">
        <f>+'A) Resumen Ingresos y Egresos'!$N$60/12+'A) Resumen Ingresos y Egresos'!$O$60/12</f>
        <v>10814100</v>
      </c>
      <c r="G33" s="711">
        <f>+'A) Resumen Ingresos y Egresos'!$N$60/12+'A) Resumen Ingresos y Egresos'!$O$60/12</f>
        <v>10814100</v>
      </c>
      <c r="H33" s="711">
        <f>+'A) Resumen Ingresos y Egresos'!$N$60/12+'A) Resumen Ingresos y Egresos'!$O$60/12</f>
        <v>10814100</v>
      </c>
      <c r="I33" s="711">
        <f>+'A) Resumen Ingresos y Egresos'!$N$60/12+'A) Resumen Ingresos y Egresos'!$O$60/12</f>
        <v>10814100</v>
      </c>
      <c r="J33" s="711">
        <f>+'A) Resumen Ingresos y Egresos'!$N$60/12+'A) Resumen Ingresos y Egresos'!$O$60/12</f>
        <v>10814100</v>
      </c>
      <c r="K33" s="711">
        <f>+'A) Resumen Ingresos y Egresos'!$N$60/12+'A) Resumen Ingresos y Egresos'!$O$60/12</f>
        <v>10814100</v>
      </c>
      <c r="L33" s="711">
        <f>+'A) Resumen Ingresos y Egresos'!$N$60/12+'A) Resumen Ingresos y Egresos'!$O$60/12</f>
        <v>10814100</v>
      </c>
      <c r="M33" s="711">
        <f>+'A) Resumen Ingresos y Egresos'!$N$60/12+'A) Resumen Ingresos y Egresos'!$O$60/12</f>
        <v>10814100</v>
      </c>
      <c r="N33" s="712">
        <f>SUM(B33:M33)</f>
        <v>129769200</v>
      </c>
    </row>
    <row r="34" spans="1:14" ht="15" x14ac:dyDescent="0.25">
      <c r="A34" s="710" t="s">
        <v>777</v>
      </c>
      <c r="B34" s="711">
        <f>SUM('F) Remuneraciones'!$H$75:$H$89)/12</f>
        <v>5346585.6880000001</v>
      </c>
      <c r="C34" s="711">
        <f>SUM('F) Remuneraciones'!$H$75:$H$89)/12</f>
        <v>5346585.6880000001</v>
      </c>
      <c r="D34" s="711">
        <f>SUM('F) Remuneraciones'!$H$75:$H$89)/12</f>
        <v>5346585.6880000001</v>
      </c>
      <c r="E34" s="711">
        <f>SUM('F) Remuneraciones'!$H$75:$H$89)/12</f>
        <v>5346585.6880000001</v>
      </c>
      <c r="F34" s="711">
        <f>SUM('F) Remuneraciones'!$H$75:$H$89)/12</f>
        <v>5346585.6880000001</v>
      </c>
      <c r="G34" s="711">
        <f>SUM('F) Remuneraciones'!$H$75:$H$89)/12</f>
        <v>5346585.6880000001</v>
      </c>
      <c r="H34" s="711">
        <f>SUM('F) Remuneraciones'!$H$75:$H$89)/12</f>
        <v>5346585.6880000001</v>
      </c>
      <c r="I34" s="711">
        <f>SUM('F) Remuneraciones'!$H$75:$H$89)/12</f>
        <v>5346585.6880000001</v>
      </c>
      <c r="J34" s="711">
        <f>SUM('F) Remuneraciones'!$H$75:$H$89)/12</f>
        <v>5346585.6880000001</v>
      </c>
      <c r="K34" s="711">
        <f>SUM('F) Remuneraciones'!$H$75:$H$89)/12</f>
        <v>5346585.6880000001</v>
      </c>
      <c r="L34" s="711">
        <f>SUM('F) Remuneraciones'!$H$75:$H$89)/12</f>
        <v>5346585.6880000001</v>
      </c>
      <c r="M34" s="711">
        <f>SUM('F) Remuneraciones'!$H$75:$H$89)/12</f>
        <v>5346585.6880000001</v>
      </c>
      <c r="N34" s="712">
        <f>SUM(B34:M34)</f>
        <v>64159028.256000005</v>
      </c>
    </row>
    <row r="35" spans="1:14" ht="15" x14ac:dyDescent="0.25">
      <c r="A35" s="710" t="s">
        <v>778</v>
      </c>
      <c r="B35" s="711">
        <f>SUM('F) Remuneraciones'!I75:I89)*0.5</f>
        <v>1019466</v>
      </c>
      <c r="C35" s="711">
        <v>0</v>
      </c>
      <c r="D35" s="711">
        <v>0</v>
      </c>
      <c r="E35" s="711">
        <v>0</v>
      </c>
      <c r="F35" s="711">
        <v>0</v>
      </c>
      <c r="G35" s="711">
        <v>0</v>
      </c>
      <c r="H35" s="711">
        <v>0</v>
      </c>
      <c r="I35" s="711">
        <v>0</v>
      </c>
      <c r="J35" s="711">
        <f>SUM('F) Remuneraciones'!J75:J89)*0.5</f>
        <v>599895</v>
      </c>
      <c r="K35" s="711">
        <v>0</v>
      </c>
      <c r="L35" s="711">
        <v>0</v>
      </c>
      <c r="M35" s="711">
        <f>+B35+J35</f>
        <v>1619361</v>
      </c>
      <c r="N35" s="712">
        <f>SUM(B35:M35)</f>
        <v>3238722</v>
      </c>
    </row>
    <row r="36" spans="1:14" ht="15" x14ac:dyDescent="0.25">
      <c r="A36" s="710" t="s">
        <v>779</v>
      </c>
      <c r="B36" s="711">
        <f>(+'C) Costos Directos'!$H$339-'C) Costos Directos'!$D$278)/12</f>
        <v>2946298.2085466669</v>
      </c>
      <c r="C36" s="711">
        <f>(+'C) Costos Directos'!$H$339-'C) Costos Directos'!$D$278)/12</f>
        <v>2946298.2085466669</v>
      </c>
      <c r="D36" s="711">
        <f>(+'C) Costos Directos'!$H$339-'C) Costos Directos'!$D$278)/12</f>
        <v>2946298.2085466669</v>
      </c>
      <c r="E36" s="711">
        <f>(+'C) Costos Directos'!$H$339-'C) Costos Directos'!$D$278)/12</f>
        <v>2946298.2085466669</v>
      </c>
      <c r="F36" s="711">
        <f>(+'C) Costos Directos'!$H$339-'C) Costos Directos'!$D$278)/12</f>
        <v>2946298.2085466669</v>
      </c>
      <c r="G36" s="711">
        <f>(+'C) Costos Directos'!$H$339-'C) Costos Directos'!$D$278)/12</f>
        <v>2946298.2085466669</v>
      </c>
      <c r="H36" s="711">
        <f>(+'C) Costos Directos'!$H$339-'C) Costos Directos'!$D$278)/12</f>
        <v>2946298.2085466669</v>
      </c>
      <c r="I36" s="711">
        <f>(+'C) Costos Directos'!$H$339-'C) Costos Directos'!$D$278)/12</f>
        <v>2946298.2085466669</v>
      </c>
      <c r="J36" s="711">
        <f>(+'C) Costos Directos'!$H$339-'C) Costos Directos'!$D$278)/12</f>
        <v>2946298.2085466669</v>
      </c>
      <c r="K36" s="711">
        <f>(+'C) Costos Directos'!$H$339-'C) Costos Directos'!$D$278)/12</f>
        <v>2946298.2085466669</v>
      </c>
      <c r="L36" s="711">
        <f>(+'C) Costos Directos'!$H$339-'C) Costos Directos'!$D$278)/12</f>
        <v>2946298.2085466669</v>
      </c>
      <c r="M36" s="711">
        <f>(+'C) Costos Directos'!$H$339-'C) Costos Directos'!$D$278)/12</f>
        <v>2946298.2085466669</v>
      </c>
      <c r="N36" s="712">
        <f>SUM(B36:M36)</f>
        <v>35355578.502560012</v>
      </c>
    </row>
    <row r="37" spans="1:14" ht="15" x14ac:dyDescent="0.25">
      <c r="A37" s="713" t="s">
        <v>780</v>
      </c>
      <c r="B37" s="714">
        <f t="shared" ref="B37:N37" si="2">+B33-B34-B35-B36</f>
        <v>1501750.103453333</v>
      </c>
      <c r="C37" s="714">
        <f t="shared" si="2"/>
        <v>2521216.103453333</v>
      </c>
      <c r="D37" s="714">
        <f t="shared" si="2"/>
        <v>2521216.103453333</v>
      </c>
      <c r="E37" s="714">
        <f t="shared" si="2"/>
        <v>2521216.103453333</v>
      </c>
      <c r="F37" s="714">
        <f t="shared" si="2"/>
        <v>2521216.103453333</v>
      </c>
      <c r="G37" s="714">
        <f t="shared" si="2"/>
        <v>2521216.103453333</v>
      </c>
      <c r="H37" s="714">
        <f t="shared" si="2"/>
        <v>2521216.103453333</v>
      </c>
      <c r="I37" s="714">
        <f t="shared" si="2"/>
        <v>2521216.103453333</v>
      </c>
      <c r="J37" s="714">
        <f t="shared" si="2"/>
        <v>1921321.103453333</v>
      </c>
      <c r="K37" s="714">
        <f t="shared" si="2"/>
        <v>2521216.103453333</v>
      </c>
      <c r="L37" s="714">
        <f t="shared" si="2"/>
        <v>2521216.103453333</v>
      </c>
      <c r="M37" s="714">
        <f t="shared" si="2"/>
        <v>901855.10345333302</v>
      </c>
      <c r="N37" s="714">
        <f t="shared" si="2"/>
        <v>27015871.241439983</v>
      </c>
    </row>
    <row r="38" spans="1:14" ht="15" x14ac:dyDescent="0.25">
      <c r="A38" s="715"/>
      <c r="B38" s="716"/>
      <c r="C38" s="716"/>
      <c r="D38" s="716"/>
      <c r="E38" s="716"/>
      <c r="F38" s="716"/>
      <c r="G38" s="716"/>
      <c r="H38" s="716"/>
      <c r="I38" s="716"/>
      <c r="J38" s="716"/>
      <c r="K38" s="716"/>
      <c r="L38" s="716"/>
      <c r="M38" s="716"/>
      <c r="N38" s="716"/>
    </row>
    <row r="39" spans="1:14" ht="15" x14ac:dyDescent="0.25">
      <c r="A39" s="715"/>
      <c r="B39" s="716"/>
      <c r="C39" s="716"/>
      <c r="D39" s="716"/>
      <c r="E39" s="716"/>
      <c r="F39" s="716"/>
      <c r="G39" s="716"/>
      <c r="H39" s="716"/>
      <c r="I39" s="716"/>
      <c r="J39" s="716"/>
      <c r="K39" s="716"/>
      <c r="L39" s="716"/>
      <c r="M39" s="716"/>
      <c r="N39" s="716"/>
    </row>
    <row r="40" spans="1:14" ht="15" x14ac:dyDescent="0.25">
      <c r="A40" s="704" t="s">
        <v>61</v>
      </c>
      <c r="B40" s="705" t="s">
        <v>761</v>
      </c>
      <c r="C40" s="705" t="s">
        <v>762</v>
      </c>
      <c r="D40" s="705" t="s">
        <v>763</v>
      </c>
      <c r="E40" s="705" t="s">
        <v>764</v>
      </c>
      <c r="F40" s="705" t="s">
        <v>765</v>
      </c>
      <c r="G40" s="705" t="s">
        <v>766</v>
      </c>
      <c r="H40" s="705" t="s">
        <v>227</v>
      </c>
      <c r="I40" s="705" t="s">
        <v>767</v>
      </c>
      <c r="J40" s="705" t="s">
        <v>768</v>
      </c>
      <c r="K40" s="705" t="s">
        <v>769</v>
      </c>
      <c r="L40" s="705" t="s">
        <v>770</v>
      </c>
      <c r="M40" s="705" t="s">
        <v>771</v>
      </c>
      <c r="N40" s="716"/>
    </row>
    <row r="41" spans="1:14" ht="15" x14ac:dyDescent="0.25">
      <c r="A41" s="706" t="s">
        <v>772</v>
      </c>
      <c r="B41" s="707">
        <f>+'B) Reajuste Tarifas y Ocupación'!$I$51</f>
        <v>66</v>
      </c>
      <c r="C41" s="707">
        <f>+'B) Reajuste Tarifas y Ocupación'!$I$51</f>
        <v>66</v>
      </c>
      <c r="D41" s="707">
        <f>+'B) Reajuste Tarifas y Ocupación'!$I$51</f>
        <v>66</v>
      </c>
      <c r="E41" s="707">
        <f>+'B) Reajuste Tarifas y Ocupación'!$I$51</f>
        <v>66</v>
      </c>
      <c r="F41" s="707">
        <f>+'B) Reajuste Tarifas y Ocupación'!$I$51</f>
        <v>66</v>
      </c>
      <c r="G41" s="707">
        <f>+'B) Reajuste Tarifas y Ocupación'!$I$51</f>
        <v>66</v>
      </c>
      <c r="H41" s="707">
        <f>+'B) Reajuste Tarifas y Ocupación'!$I$51</f>
        <v>66</v>
      </c>
      <c r="I41" s="707">
        <f>+'B) Reajuste Tarifas y Ocupación'!$I$51</f>
        <v>66</v>
      </c>
      <c r="J41" s="707">
        <f>+'B) Reajuste Tarifas y Ocupación'!$I$51</f>
        <v>66</v>
      </c>
      <c r="K41" s="707">
        <f>+'B) Reajuste Tarifas y Ocupación'!$I$51</f>
        <v>66</v>
      </c>
      <c r="L41" s="707">
        <f>+'B) Reajuste Tarifas y Ocupación'!$I$51</f>
        <v>66</v>
      </c>
      <c r="M41" s="707">
        <f>+'B) Reajuste Tarifas y Ocupación'!$I$51</f>
        <v>66</v>
      </c>
      <c r="N41" s="716"/>
    </row>
    <row r="42" spans="1:14" ht="15" x14ac:dyDescent="0.25">
      <c r="A42" s="706" t="s">
        <v>773</v>
      </c>
      <c r="B42" s="707">
        <f>+COUNTA('F) Remuneraciones'!$C$105:$C$125)</f>
        <v>18</v>
      </c>
      <c r="C42" s="707">
        <f>+COUNTA('F) Remuneraciones'!$C$105:$C$125)</f>
        <v>18</v>
      </c>
      <c r="D42" s="707">
        <f>+COUNTA('F) Remuneraciones'!$C$105:$C$125)</f>
        <v>18</v>
      </c>
      <c r="E42" s="707">
        <f>+COUNTA('F) Remuneraciones'!$C$105:$C$125)</f>
        <v>18</v>
      </c>
      <c r="F42" s="707">
        <f>+COUNTA('F) Remuneraciones'!$C$105:$C$125)</f>
        <v>18</v>
      </c>
      <c r="G42" s="707">
        <f>+COUNTA('F) Remuneraciones'!$C$105:$C$125)</f>
        <v>18</v>
      </c>
      <c r="H42" s="707">
        <f>+COUNTA('F) Remuneraciones'!$C$105:$C$125)</f>
        <v>18</v>
      </c>
      <c r="I42" s="707">
        <f>+COUNTA('F) Remuneraciones'!$C$105:$C$125)</f>
        <v>18</v>
      </c>
      <c r="J42" s="707">
        <f>+COUNTA('F) Remuneraciones'!$C$105:$C$125)</f>
        <v>18</v>
      </c>
      <c r="K42" s="707">
        <f>+COUNTA('F) Remuneraciones'!$C$105:$C$125)</f>
        <v>18</v>
      </c>
      <c r="L42" s="707">
        <f>+COUNTA('F) Remuneraciones'!$C$105:$C$125)</f>
        <v>18</v>
      </c>
      <c r="M42" s="707">
        <f>+COUNTA('F) Remuneraciones'!$C$105:$C$125)</f>
        <v>18</v>
      </c>
      <c r="N42" s="716"/>
    </row>
    <row r="43" spans="1:14" ht="15" x14ac:dyDescent="0.25">
      <c r="A43" s="715"/>
      <c r="B43" s="716"/>
      <c r="C43" s="716"/>
      <c r="D43" s="716"/>
      <c r="E43" s="716"/>
      <c r="F43" s="716"/>
      <c r="G43" s="716"/>
      <c r="H43" s="716"/>
      <c r="I43" s="716"/>
      <c r="J43" s="716"/>
      <c r="K43" s="716"/>
      <c r="L43" s="716"/>
      <c r="M43" s="716"/>
      <c r="N43" s="716"/>
    </row>
    <row r="45" spans="1:14" ht="30" x14ac:dyDescent="0.2">
      <c r="A45" s="709" t="s">
        <v>783</v>
      </c>
      <c r="B45" s="705" t="s">
        <v>761</v>
      </c>
      <c r="C45" s="705" t="s">
        <v>762</v>
      </c>
      <c r="D45" s="705" t="s">
        <v>763</v>
      </c>
      <c r="E45" s="705" t="s">
        <v>764</v>
      </c>
      <c r="F45" s="705" t="s">
        <v>765</v>
      </c>
      <c r="G45" s="705" t="s">
        <v>766</v>
      </c>
      <c r="H45" s="705" t="s">
        <v>227</v>
      </c>
      <c r="I45" s="705" t="s">
        <v>767</v>
      </c>
      <c r="J45" s="705" t="s">
        <v>768</v>
      </c>
      <c r="K45" s="705" t="s">
        <v>769</v>
      </c>
      <c r="L45" s="705" t="s">
        <v>770</v>
      </c>
      <c r="M45" s="705" t="s">
        <v>771</v>
      </c>
      <c r="N45" s="705" t="s">
        <v>775</v>
      </c>
    </row>
    <row r="46" spans="1:14" ht="15" x14ac:dyDescent="0.25">
      <c r="A46" s="710" t="s">
        <v>776</v>
      </c>
      <c r="B46" s="711">
        <f>+'A) Resumen Ingresos y Egresos'!$N$63/12+'A) Resumen Ingresos y Egresos'!$O$63/12+'A) Resumen Ingresos y Egresos'!$N$69/12+'A) Resumen Ingresos y Egresos'!$O$69/12</f>
        <v>21628200</v>
      </c>
      <c r="C46" s="711">
        <f>+'A) Resumen Ingresos y Egresos'!$N$63/12+'A) Resumen Ingresos y Egresos'!$O$63/12+'A) Resumen Ingresos y Egresos'!$N$69/12+'A) Resumen Ingresos y Egresos'!$O$69/12</f>
        <v>21628200</v>
      </c>
      <c r="D46" s="711">
        <f>+'A) Resumen Ingresos y Egresos'!$N$63/12+'A) Resumen Ingresos y Egresos'!$O$63/12+'A) Resumen Ingresos y Egresos'!$N$69/12+'A) Resumen Ingresos y Egresos'!$O$69/12</f>
        <v>21628200</v>
      </c>
      <c r="E46" s="711">
        <f>+'A) Resumen Ingresos y Egresos'!$N$63/12+'A) Resumen Ingresos y Egresos'!$O$63/12+'A) Resumen Ingresos y Egresos'!$N$69/12+'A) Resumen Ingresos y Egresos'!$O$69/12</f>
        <v>21628200</v>
      </c>
      <c r="F46" s="711">
        <f>+'A) Resumen Ingresos y Egresos'!$N$63/12+'A) Resumen Ingresos y Egresos'!$O$63/12+'A) Resumen Ingresos y Egresos'!$N$69/12+'A) Resumen Ingresos y Egresos'!$O$69/12</f>
        <v>21628200</v>
      </c>
      <c r="G46" s="711">
        <f>+'A) Resumen Ingresos y Egresos'!$N$63/12+'A) Resumen Ingresos y Egresos'!$O$63/12+'A) Resumen Ingresos y Egresos'!$N$69/12+'A) Resumen Ingresos y Egresos'!$O$69/12</f>
        <v>21628200</v>
      </c>
      <c r="H46" s="711">
        <f>+'A) Resumen Ingresos y Egresos'!$N$63/12+'A) Resumen Ingresos y Egresos'!$O$63/12+'A) Resumen Ingresos y Egresos'!$N$69/12+'A) Resumen Ingresos y Egresos'!$O$69/12</f>
        <v>21628200</v>
      </c>
      <c r="I46" s="711">
        <f>+'A) Resumen Ingresos y Egresos'!$N$63/12+'A) Resumen Ingresos y Egresos'!$O$63/12+'A) Resumen Ingresos y Egresos'!$N$69/12+'A) Resumen Ingresos y Egresos'!$O$69/12</f>
        <v>21628200</v>
      </c>
      <c r="J46" s="711">
        <f>+'A) Resumen Ingresos y Egresos'!$N$63/12+'A) Resumen Ingresos y Egresos'!$O$63/12+'A) Resumen Ingresos y Egresos'!$N$69/12+'A) Resumen Ingresos y Egresos'!$O$69/12</f>
        <v>21628200</v>
      </c>
      <c r="K46" s="711">
        <f>+'A) Resumen Ingresos y Egresos'!$N$63/12+'A) Resumen Ingresos y Egresos'!$O$63/12+'A) Resumen Ingresos y Egresos'!$N$69/12+'A) Resumen Ingresos y Egresos'!$O$69/12</f>
        <v>21628200</v>
      </c>
      <c r="L46" s="711">
        <f>+'A) Resumen Ingresos y Egresos'!$N$63/12+'A) Resumen Ingresos y Egresos'!$O$63/12+'A) Resumen Ingresos y Egresos'!$N$69/12+'A) Resumen Ingresos y Egresos'!$O$69/12</f>
        <v>21628200</v>
      </c>
      <c r="M46" s="711">
        <f>+'A) Resumen Ingresos y Egresos'!$N$63/12+'A) Resumen Ingresos y Egresos'!$O$63/12+'A) Resumen Ingresos y Egresos'!$N$69/12+'A) Resumen Ingresos y Egresos'!$O$69/12</f>
        <v>21628200</v>
      </c>
      <c r="N46" s="712">
        <f>SUM(B46:M46)</f>
        <v>259538400</v>
      </c>
    </row>
    <row r="47" spans="1:14" ht="15" x14ac:dyDescent="0.25">
      <c r="A47" s="710" t="s">
        <v>777</v>
      </c>
      <c r="B47" s="711">
        <f>SUM('F) Remuneraciones'!$H$105:$H$125)/12</f>
        <v>9274123.2319999989</v>
      </c>
      <c r="C47" s="711">
        <f>SUM('F) Remuneraciones'!$H$105:$H$125)/12</f>
        <v>9274123.2319999989</v>
      </c>
      <c r="D47" s="711">
        <f>SUM('F) Remuneraciones'!$H$105:$H$125)/12</f>
        <v>9274123.2319999989</v>
      </c>
      <c r="E47" s="711">
        <f>SUM('F) Remuneraciones'!$H$105:$H$125)/12</f>
        <v>9274123.2319999989</v>
      </c>
      <c r="F47" s="711">
        <f>SUM('F) Remuneraciones'!$H$105:$H$125)/12</f>
        <v>9274123.2319999989</v>
      </c>
      <c r="G47" s="711">
        <f>SUM('F) Remuneraciones'!$H$105:$H$125)/12</f>
        <v>9274123.2319999989</v>
      </c>
      <c r="H47" s="711">
        <f>SUM('F) Remuneraciones'!$H$105:$H$125)/12</f>
        <v>9274123.2319999989</v>
      </c>
      <c r="I47" s="711">
        <f>SUM('F) Remuneraciones'!$H$105:$H$125)/12</f>
        <v>9274123.2319999989</v>
      </c>
      <c r="J47" s="711">
        <f>SUM('F) Remuneraciones'!$H$105:$H$125)/12</f>
        <v>9274123.2319999989</v>
      </c>
      <c r="K47" s="711">
        <f>SUM('F) Remuneraciones'!$H$105:$H$125)/12</f>
        <v>9274123.2319999989</v>
      </c>
      <c r="L47" s="711">
        <f>SUM('F) Remuneraciones'!$H$105:$H$125)/12</f>
        <v>9274123.2319999989</v>
      </c>
      <c r="M47" s="711">
        <f>SUM('F) Remuneraciones'!$H$105:$H$125)/12</f>
        <v>9274123.2319999989</v>
      </c>
      <c r="N47" s="712">
        <f>SUM(B47:M47)</f>
        <v>111289478.78399996</v>
      </c>
    </row>
    <row r="48" spans="1:14" ht="15" x14ac:dyDescent="0.25">
      <c r="A48" s="710" t="s">
        <v>778</v>
      </c>
      <c r="B48" s="711">
        <f>SUM('F) Remuneraciones'!I105:I125)*0.5</f>
        <v>1812384</v>
      </c>
      <c r="C48" s="711">
        <v>0</v>
      </c>
      <c r="D48" s="711">
        <v>0</v>
      </c>
      <c r="E48" s="711">
        <v>0</v>
      </c>
      <c r="F48" s="711">
        <v>0</v>
      </c>
      <c r="G48" s="711">
        <v>0</v>
      </c>
      <c r="H48" s="711">
        <v>0</v>
      </c>
      <c r="I48" s="711">
        <v>0</v>
      </c>
      <c r="J48" s="711">
        <f>SUM('F) Remuneraciones'!J105:J125)*0.5</f>
        <v>933170</v>
      </c>
      <c r="K48" s="711">
        <v>0</v>
      </c>
      <c r="L48" s="711">
        <v>0</v>
      </c>
      <c r="M48" s="711">
        <f>+B48+J48</f>
        <v>2745554</v>
      </c>
      <c r="N48" s="712">
        <f>SUM(B48:M48)</f>
        <v>5491108</v>
      </c>
    </row>
    <row r="49" spans="1:14" ht="15" x14ac:dyDescent="0.25">
      <c r="A49" s="710" t="s">
        <v>779</v>
      </c>
      <c r="B49" s="711">
        <f>(+'C) Costos Directos'!$H$471-'C) Costos Directos'!$D$410)/12</f>
        <v>3923759.5223200009</v>
      </c>
      <c r="C49" s="711">
        <f>(+'C) Costos Directos'!$H$471-'C) Costos Directos'!$D$410)/12</f>
        <v>3923759.5223200009</v>
      </c>
      <c r="D49" s="711">
        <f>(+'C) Costos Directos'!$H$471-'C) Costos Directos'!$D$410)/12</f>
        <v>3923759.5223200009</v>
      </c>
      <c r="E49" s="711">
        <f>(+'C) Costos Directos'!$H$471-'C) Costos Directos'!$D$410)/12</f>
        <v>3923759.5223200009</v>
      </c>
      <c r="F49" s="711">
        <f>(+'C) Costos Directos'!$H$471-'C) Costos Directos'!$D$410)/12</f>
        <v>3923759.5223200009</v>
      </c>
      <c r="G49" s="711">
        <f>(+'C) Costos Directos'!$H$471-'C) Costos Directos'!$D$410)/12</f>
        <v>3923759.5223200009</v>
      </c>
      <c r="H49" s="711">
        <f>(+'C) Costos Directos'!$H$471-'C) Costos Directos'!$D$410)/12</f>
        <v>3923759.5223200009</v>
      </c>
      <c r="I49" s="711">
        <f>(+'C) Costos Directos'!$H$471-'C) Costos Directos'!$D$410)/12</f>
        <v>3923759.5223200009</v>
      </c>
      <c r="J49" s="711">
        <f>(+'C) Costos Directos'!$H$471-'C) Costos Directos'!$D$410)/12</f>
        <v>3923759.5223200009</v>
      </c>
      <c r="K49" s="711">
        <f>(+'C) Costos Directos'!$H$471-'C) Costos Directos'!$D$410)/12</f>
        <v>3923759.5223200009</v>
      </c>
      <c r="L49" s="711">
        <f>(+'C) Costos Directos'!$H$471-'C) Costos Directos'!$D$410)/12</f>
        <v>3923759.5223200009</v>
      </c>
      <c r="M49" s="711">
        <f>(+'C) Costos Directos'!$H$471-'C) Costos Directos'!$D$410)/12</f>
        <v>3923759.5223200009</v>
      </c>
      <c r="N49" s="712">
        <f>SUM(B49:M49)</f>
        <v>47085114.26784002</v>
      </c>
    </row>
    <row r="50" spans="1:14" ht="15" x14ac:dyDescent="0.25">
      <c r="A50" s="713" t="s">
        <v>780</v>
      </c>
      <c r="B50" s="714">
        <f t="shared" ref="B50:N50" si="3">+B46-B47-B48-B49</f>
        <v>6617933.2456800006</v>
      </c>
      <c r="C50" s="714">
        <f t="shared" si="3"/>
        <v>8430317.2456800006</v>
      </c>
      <c r="D50" s="714">
        <f t="shared" si="3"/>
        <v>8430317.2456800006</v>
      </c>
      <c r="E50" s="714">
        <f t="shared" si="3"/>
        <v>8430317.2456800006</v>
      </c>
      <c r="F50" s="714">
        <f t="shared" si="3"/>
        <v>8430317.2456800006</v>
      </c>
      <c r="G50" s="714">
        <f t="shared" si="3"/>
        <v>8430317.2456800006</v>
      </c>
      <c r="H50" s="714">
        <f t="shared" si="3"/>
        <v>8430317.2456800006</v>
      </c>
      <c r="I50" s="714">
        <f t="shared" si="3"/>
        <v>8430317.2456800006</v>
      </c>
      <c r="J50" s="714">
        <f t="shared" si="3"/>
        <v>7497147.2456800006</v>
      </c>
      <c r="K50" s="714">
        <f t="shared" si="3"/>
        <v>8430317.2456800006</v>
      </c>
      <c r="L50" s="714">
        <f t="shared" si="3"/>
        <v>8430317.2456800006</v>
      </c>
      <c r="M50" s="714">
        <f t="shared" si="3"/>
        <v>5684763.2456800006</v>
      </c>
      <c r="N50" s="714">
        <f t="shared" si="3"/>
        <v>95672698.948159993</v>
      </c>
    </row>
    <row r="51" spans="1:14" ht="15" x14ac:dyDescent="0.25">
      <c r="A51" s="715"/>
      <c r="B51" s="716"/>
      <c r="C51" s="716"/>
      <c r="D51" s="716"/>
      <c r="E51" s="716"/>
      <c r="F51" s="716"/>
      <c r="G51" s="716"/>
      <c r="H51" s="716"/>
      <c r="I51" s="716"/>
      <c r="J51" s="716"/>
      <c r="K51" s="716"/>
      <c r="L51" s="716"/>
      <c r="M51" s="716"/>
      <c r="N51" s="716"/>
    </row>
    <row r="53" spans="1:14" ht="15" x14ac:dyDescent="0.2">
      <c r="A53" s="704" t="s">
        <v>61</v>
      </c>
      <c r="B53" s="705" t="s">
        <v>761</v>
      </c>
      <c r="C53" s="705" t="s">
        <v>762</v>
      </c>
      <c r="D53" s="705" t="s">
        <v>763</v>
      </c>
      <c r="E53" s="705" t="s">
        <v>764</v>
      </c>
      <c r="F53" s="705" t="s">
        <v>765</v>
      </c>
      <c r="G53" s="705" t="s">
        <v>766</v>
      </c>
      <c r="H53" s="705" t="s">
        <v>227</v>
      </c>
      <c r="I53" s="705" t="s">
        <v>767</v>
      </c>
      <c r="J53" s="705" t="s">
        <v>768</v>
      </c>
      <c r="K53" s="705" t="s">
        <v>769</v>
      </c>
      <c r="L53" s="705" t="s">
        <v>770</v>
      </c>
      <c r="M53" s="705" t="s">
        <v>771</v>
      </c>
    </row>
    <row r="54" spans="1:14" ht="15" x14ac:dyDescent="0.25">
      <c r="A54" s="706" t="s">
        <v>772</v>
      </c>
      <c r="B54" s="707">
        <f>+'B) Reajuste Tarifas y Ocupación'!$H$50</f>
        <v>19</v>
      </c>
      <c r="C54" s="707">
        <f>+'B) Reajuste Tarifas y Ocupación'!$H$50</f>
        <v>19</v>
      </c>
      <c r="D54" s="707">
        <f>+'B) Reajuste Tarifas y Ocupación'!$H$50</f>
        <v>19</v>
      </c>
      <c r="E54" s="707">
        <f>+'B) Reajuste Tarifas y Ocupación'!$H$50</f>
        <v>19</v>
      </c>
      <c r="F54" s="707">
        <f>+'B) Reajuste Tarifas y Ocupación'!$H$50</f>
        <v>19</v>
      </c>
      <c r="G54" s="707">
        <f>+'B) Reajuste Tarifas y Ocupación'!$H$50</f>
        <v>19</v>
      </c>
      <c r="H54" s="707">
        <f>+'B) Reajuste Tarifas y Ocupación'!$H$50</f>
        <v>19</v>
      </c>
      <c r="I54" s="707">
        <f>+'B) Reajuste Tarifas y Ocupación'!$H$50</f>
        <v>19</v>
      </c>
      <c r="J54" s="707">
        <f>+'B) Reajuste Tarifas y Ocupación'!$H$50</f>
        <v>19</v>
      </c>
      <c r="K54" s="707">
        <f>+'B) Reajuste Tarifas y Ocupación'!$H$50</f>
        <v>19</v>
      </c>
      <c r="L54" s="707">
        <f>+'B) Reajuste Tarifas y Ocupación'!$H$50</f>
        <v>19</v>
      </c>
      <c r="M54" s="707">
        <f>+'B) Reajuste Tarifas y Ocupación'!$H$50</f>
        <v>19</v>
      </c>
    </row>
    <row r="55" spans="1:14" ht="15" x14ac:dyDescent="0.25">
      <c r="A55" s="706" t="s">
        <v>773</v>
      </c>
      <c r="B55" s="707">
        <f>+COUNTA('F) Remuneraciones'!$C$126:$C$140)</f>
        <v>6</v>
      </c>
      <c r="C55" s="707">
        <f>+COUNTA('F) Remuneraciones'!$C$126:$C$140)</f>
        <v>6</v>
      </c>
      <c r="D55" s="707">
        <f>+COUNTA('F) Remuneraciones'!$C$126:$C$140)</f>
        <v>6</v>
      </c>
      <c r="E55" s="707">
        <f>+COUNTA('F) Remuneraciones'!$C$126:$C$140)</f>
        <v>6</v>
      </c>
      <c r="F55" s="707">
        <f>+COUNTA('F) Remuneraciones'!$C$126:$C$140)</f>
        <v>6</v>
      </c>
      <c r="G55" s="707">
        <f>+COUNTA('F) Remuneraciones'!$C$126:$C$140)</f>
        <v>6</v>
      </c>
      <c r="H55" s="707">
        <f>+COUNTA('F) Remuneraciones'!$C$126:$C$140)</f>
        <v>6</v>
      </c>
      <c r="I55" s="707">
        <f>+COUNTA('F) Remuneraciones'!$C$126:$C$140)</f>
        <v>6</v>
      </c>
      <c r="J55" s="707">
        <f>+COUNTA('F) Remuneraciones'!$C$126:$C$140)</f>
        <v>6</v>
      </c>
      <c r="K55" s="707">
        <f>+COUNTA('F) Remuneraciones'!$C$126:$C$140)</f>
        <v>6</v>
      </c>
      <c r="L55" s="707">
        <f>+COUNTA('F) Remuneraciones'!$C$126:$C$140)</f>
        <v>6</v>
      </c>
      <c r="M55" s="707">
        <f>+COUNTA('F) Remuneraciones'!$C$126:$C$140)</f>
        <v>6</v>
      </c>
    </row>
    <row r="57" spans="1:14" ht="30" x14ac:dyDescent="0.2">
      <c r="A57" s="709" t="s">
        <v>784</v>
      </c>
      <c r="B57" s="705" t="s">
        <v>761</v>
      </c>
      <c r="C57" s="705" t="s">
        <v>762</v>
      </c>
      <c r="D57" s="705" t="s">
        <v>763</v>
      </c>
      <c r="E57" s="705" t="s">
        <v>764</v>
      </c>
      <c r="F57" s="705" t="s">
        <v>765</v>
      </c>
      <c r="G57" s="705" t="s">
        <v>766</v>
      </c>
      <c r="H57" s="705" t="s">
        <v>227</v>
      </c>
      <c r="I57" s="705" t="s">
        <v>767</v>
      </c>
      <c r="J57" s="705" t="s">
        <v>768</v>
      </c>
      <c r="K57" s="705" t="s">
        <v>769</v>
      </c>
      <c r="L57" s="705" t="s">
        <v>770</v>
      </c>
      <c r="M57" s="705" t="s">
        <v>771</v>
      </c>
      <c r="N57" s="705" t="s">
        <v>775</v>
      </c>
    </row>
    <row r="58" spans="1:14" ht="15" x14ac:dyDescent="0.25">
      <c r="A58" s="710" t="s">
        <v>776</v>
      </c>
      <c r="B58" s="711">
        <f>+'A) Resumen Ingresos y Egresos'!$O$66/12</f>
        <v>5021700</v>
      </c>
      <c r="C58" s="711">
        <f>+'A) Resumen Ingresos y Egresos'!$O$66/12</f>
        <v>5021700</v>
      </c>
      <c r="D58" s="711">
        <f>+'A) Resumen Ingresos y Egresos'!$O$66/12</f>
        <v>5021700</v>
      </c>
      <c r="E58" s="711">
        <f>+'A) Resumen Ingresos y Egresos'!$O$66/12</f>
        <v>5021700</v>
      </c>
      <c r="F58" s="711">
        <f>+'A) Resumen Ingresos y Egresos'!$O$66/12</f>
        <v>5021700</v>
      </c>
      <c r="G58" s="711">
        <f>+'A) Resumen Ingresos y Egresos'!$O$66/12</f>
        <v>5021700</v>
      </c>
      <c r="H58" s="711">
        <f>+'A) Resumen Ingresos y Egresos'!$O$66/12</f>
        <v>5021700</v>
      </c>
      <c r="I58" s="711">
        <f>+'A) Resumen Ingresos y Egresos'!$O$66/12</f>
        <v>5021700</v>
      </c>
      <c r="J58" s="711">
        <f>+'A) Resumen Ingresos y Egresos'!$O$66/12</f>
        <v>5021700</v>
      </c>
      <c r="K58" s="711">
        <f>+'A) Resumen Ingresos y Egresos'!$O$66/12</f>
        <v>5021700</v>
      </c>
      <c r="L58" s="711">
        <f>+'A) Resumen Ingresos y Egresos'!$O$66/12</f>
        <v>5021700</v>
      </c>
      <c r="M58" s="711">
        <f>+'A) Resumen Ingresos y Egresos'!$O$66/12</f>
        <v>5021700</v>
      </c>
      <c r="N58" s="712">
        <f>SUM(B58:M58)</f>
        <v>60260400</v>
      </c>
    </row>
    <row r="59" spans="1:14" ht="15" x14ac:dyDescent="0.25">
      <c r="A59" s="710" t="s">
        <v>777</v>
      </c>
      <c r="B59" s="711">
        <f>SUM('F) Remuneraciones'!$H$126:$H$140)/12</f>
        <v>4023629.7919999999</v>
      </c>
      <c r="C59" s="711">
        <f>SUM('F) Remuneraciones'!$H$126:$H$140)/12</f>
        <v>4023629.7919999999</v>
      </c>
      <c r="D59" s="711">
        <f>SUM('F) Remuneraciones'!$H$126:$H$140)/12</f>
        <v>4023629.7919999999</v>
      </c>
      <c r="E59" s="711">
        <f>SUM('F) Remuneraciones'!$H$126:$H$140)/12</f>
        <v>4023629.7919999999</v>
      </c>
      <c r="F59" s="711">
        <f>SUM('F) Remuneraciones'!$H$126:$H$140)/12</f>
        <v>4023629.7919999999</v>
      </c>
      <c r="G59" s="711">
        <f>SUM('F) Remuneraciones'!$H$126:$H$140)/12</f>
        <v>4023629.7919999999</v>
      </c>
      <c r="H59" s="711">
        <f>SUM('F) Remuneraciones'!$H$126:$H$140)/12</f>
        <v>4023629.7919999999</v>
      </c>
      <c r="I59" s="711">
        <f>SUM('F) Remuneraciones'!$H$126:$H$140)/12</f>
        <v>4023629.7919999999</v>
      </c>
      <c r="J59" s="711">
        <f>SUM('F) Remuneraciones'!$H$126:$H$140)/12</f>
        <v>4023629.7919999999</v>
      </c>
      <c r="K59" s="711">
        <f>SUM('F) Remuneraciones'!$H$126:$H$140)/12</f>
        <v>4023629.7919999999</v>
      </c>
      <c r="L59" s="711">
        <f>SUM('F) Remuneraciones'!$H$126:$H$140)/12</f>
        <v>4023629.7919999999</v>
      </c>
      <c r="M59" s="711">
        <f>SUM('F) Remuneraciones'!$H$126:$H$140)/12</f>
        <v>4023629.7919999999</v>
      </c>
      <c r="N59" s="712">
        <f>SUM(B59:M59)</f>
        <v>48283557.504000008</v>
      </c>
    </row>
    <row r="60" spans="1:14" ht="15" x14ac:dyDescent="0.25">
      <c r="A60" s="710" t="s">
        <v>778</v>
      </c>
      <c r="B60" s="711">
        <f>SUM('F) Remuneraciones'!I126:I140)*0.5</f>
        <v>679644</v>
      </c>
      <c r="C60" s="711">
        <v>0</v>
      </c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f>SUM('F) Remuneraciones'!J126:J140)*0.5</f>
        <v>399930</v>
      </c>
      <c r="K60" s="711">
        <v>0</v>
      </c>
      <c r="L60" s="711">
        <v>0</v>
      </c>
      <c r="M60" s="711">
        <f>+B60+J60</f>
        <v>1079574</v>
      </c>
      <c r="N60" s="712">
        <f>SUM(B60:M60)</f>
        <v>2159148</v>
      </c>
    </row>
    <row r="61" spans="1:14" ht="15" x14ac:dyDescent="0.25">
      <c r="A61" s="710" t="s">
        <v>779</v>
      </c>
      <c r="B61" s="711">
        <f>(+'C) Costos Directos'!$H$537-'C) Costos Directos'!$D$476)/12</f>
        <v>1160827.0879200001</v>
      </c>
      <c r="C61" s="711">
        <f>(+'C) Costos Directos'!$H$537-'C) Costos Directos'!$D$476)/12</f>
        <v>1160827.0879200001</v>
      </c>
      <c r="D61" s="711">
        <f>(+'C) Costos Directos'!$H$537-'C) Costos Directos'!$D$476)/12</f>
        <v>1160827.0879200001</v>
      </c>
      <c r="E61" s="711">
        <f>(+'C) Costos Directos'!$H$537-'C) Costos Directos'!$D$476)/12</f>
        <v>1160827.0879200001</v>
      </c>
      <c r="F61" s="711">
        <f>(+'C) Costos Directos'!$H$537-'C) Costos Directos'!$D$476)/12</f>
        <v>1160827.0879200001</v>
      </c>
      <c r="G61" s="711">
        <f>(+'C) Costos Directos'!$H$537-'C) Costos Directos'!$D$476)/12</f>
        <v>1160827.0879200001</v>
      </c>
      <c r="H61" s="711">
        <f>(+'C) Costos Directos'!$H$537-'C) Costos Directos'!$D$476)/12</f>
        <v>1160827.0879200001</v>
      </c>
      <c r="I61" s="711">
        <f>(+'C) Costos Directos'!$H$537-'C) Costos Directos'!$D$476)/12</f>
        <v>1160827.0879200001</v>
      </c>
      <c r="J61" s="711">
        <f>(+'C) Costos Directos'!$H$537-'C) Costos Directos'!$D$476)/12</f>
        <v>1160827.0879200001</v>
      </c>
      <c r="K61" s="711">
        <f>(+'C) Costos Directos'!$H$537-'C) Costos Directos'!$D$476)/12</f>
        <v>1160827.0879200001</v>
      </c>
      <c r="L61" s="711">
        <f>(+'C) Costos Directos'!$H$537-'C) Costos Directos'!$D$476)/12</f>
        <v>1160827.0879200001</v>
      </c>
      <c r="M61" s="711">
        <f>(+'C) Costos Directos'!$H$537-'C) Costos Directos'!$D$476)/12</f>
        <v>1160827.0879200001</v>
      </c>
      <c r="N61" s="712">
        <f>SUM(B61:M61)</f>
        <v>13929925.055040004</v>
      </c>
    </row>
    <row r="62" spans="1:14" ht="15" x14ac:dyDescent="0.25">
      <c r="A62" s="713" t="s">
        <v>780</v>
      </c>
      <c r="B62" s="714">
        <f t="shared" ref="B62:N62" si="4">+B58-B59-B60-B61</f>
        <v>-842400.87991999998</v>
      </c>
      <c r="C62" s="714">
        <f t="shared" si="4"/>
        <v>-162756.87991999998</v>
      </c>
      <c r="D62" s="714">
        <f t="shared" si="4"/>
        <v>-162756.87991999998</v>
      </c>
      <c r="E62" s="714">
        <f t="shared" si="4"/>
        <v>-162756.87991999998</v>
      </c>
      <c r="F62" s="714">
        <f t="shared" si="4"/>
        <v>-162756.87991999998</v>
      </c>
      <c r="G62" s="714">
        <f t="shared" si="4"/>
        <v>-162756.87991999998</v>
      </c>
      <c r="H62" s="714">
        <f t="shared" si="4"/>
        <v>-162756.87991999998</v>
      </c>
      <c r="I62" s="714">
        <f t="shared" si="4"/>
        <v>-162756.87991999998</v>
      </c>
      <c r="J62" s="714">
        <f t="shared" si="4"/>
        <v>-562686.87991999998</v>
      </c>
      <c r="K62" s="714">
        <f t="shared" si="4"/>
        <v>-162756.87991999998</v>
      </c>
      <c r="L62" s="714">
        <f t="shared" si="4"/>
        <v>-162756.87991999998</v>
      </c>
      <c r="M62" s="714">
        <f t="shared" si="4"/>
        <v>-1242330.87992</v>
      </c>
      <c r="N62" s="714">
        <f t="shared" si="4"/>
        <v>-4112230.5590400118</v>
      </c>
    </row>
  </sheetData>
  <sheetProtection sheet="1" objects="1" scenarios="1"/>
  <mergeCells count="1">
    <mergeCell ref="A2:D2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56"/>
  <sheetViews>
    <sheetView showGridLines="0" topLeftCell="A13" zoomScale="80" zoomScaleNormal="80" workbookViewId="0">
      <selection activeCell="B56" sqref="B56"/>
    </sheetView>
  </sheetViews>
  <sheetFormatPr baseColWidth="10" defaultColWidth="9.140625" defaultRowHeight="12.75" x14ac:dyDescent="0.2"/>
  <cols>
    <col min="1" max="1025" width="11.7109375" style="3"/>
  </cols>
  <sheetData>
    <row r="1" spans="2:11" x14ac:dyDescent="0.2">
      <c r="H1" s="4"/>
    </row>
    <row r="2" spans="2:11" x14ac:dyDescent="0.2">
      <c r="H2" s="4" t="s">
        <v>1</v>
      </c>
    </row>
    <row r="5" spans="2:11" x14ac:dyDescent="0.2">
      <c r="B5" s="931" t="s">
        <v>2</v>
      </c>
      <c r="C5" s="931"/>
      <c r="D5" s="931"/>
      <c r="E5" s="931"/>
      <c r="F5" s="931"/>
    </row>
    <row r="7" spans="2:11" x14ac:dyDescent="0.2">
      <c r="C7" s="5" t="s">
        <v>3</v>
      </c>
      <c r="D7" s="6"/>
      <c r="E7" s="6"/>
      <c r="F7" s="6"/>
      <c r="G7" s="5"/>
      <c r="H7" s="5"/>
      <c r="I7" s="5"/>
      <c r="J7" s="5"/>
      <c r="K7" s="5"/>
    </row>
    <row r="9" spans="2:11" x14ac:dyDescent="0.2">
      <c r="C9" s="5" t="s">
        <v>4</v>
      </c>
      <c r="D9" s="6"/>
      <c r="E9" s="6"/>
      <c r="F9" s="6"/>
      <c r="G9" s="5"/>
      <c r="H9" s="5"/>
      <c r="I9" s="7"/>
      <c r="J9" s="7"/>
      <c r="K9" s="7"/>
    </row>
    <row r="11" spans="2:11" x14ac:dyDescent="0.2">
      <c r="B11" s="931" t="s">
        <v>5</v>
      </c>
      <c r="C11" s="931"/>
      <c r="D11" s="931"/>
      <c r="E11" s="931"/>
      <c r="F11" s="931"/>
    </row>
    <row r="13" spans="2:11" x14ac:dyDescent="0.2">
      <c r="C13" s="8" t="s">
        <v>6</v>
      </c>
      <c r="D13" s="9"/>
      <c r="E13" s="9"/>
      <c r="F13" s="9"/>
      <c r="G13" s="8"/>
      <c r="H13" s="8"/>
    </row>
    <row r="15" spans="2:11" x14ac:dyDescent="0.2">
      <c r="C15" s="8" t="s">
        <v>7</v>
      </c>
      <c r="D15" s="9"/>
      <c r="E15" s="9"/>
      <c r="F15" s="9"/>
      <c r="G15" s="9"/>
      <c r="H15" s="9"/>
      <c r="I15" s="7"/>
      <c r="J15" s="7"/>
      <c r="K15" s="7"/>
    </row>
    <row r="19" spans="2:16" x14ac:dyDescent="0.2">
      <c r="B19" s="931" t="s">
        <v>8</v>
      </c>
      <c r="C19" s="931"/>
      <c r="D19" s="931"/>
      <c r="E19" s="931"/>
      <c r="F19" s="931"/>
    </row>
    <row r="21" spans="2:16" x14ac:dyDescent="0.2">
      <c r="C21" s="8" t="s">
        <v>9</v>
      </c>
      <c r="D21" s="9"/>
      <c r="E21" s="9"/>
      <c r="F21" s="10"/>
      <c r="G21" s="10"/>
      <c r="H21" s="10"/>
    </row>
    <row r="22" spans="2:16" x14ac:dyDescent="0.2">
      <c r="C22" s="934"/>
      <c r="D22" s="934"/>
      <c r="E22" s="934"/>
      <c r="F22" s="934"/>
      <c r="G22" s="934"/>
      <c r="H22" s="934"/>
      <c r="I22" s="934"/>
      <c r="J22" s="934"/>
      <c r="K22" s="934"/>
    </row>
    <row r="24" spans="2:16" x14ac:dyDescent="0.2">
      <c r="B24" s="931" t="s">
        <v>10</v>
      </c>
      <c r="C24" s="931"/>
      <c r="D24" s="931"/>
      <c r="E24" s="931"/>
      <c r="F24" s="931"/>
    </row>
    <row r="26" spans="2:16" x14ac:dyDescent="0.2">
      <c r="C26" s="5" t="s">
        <v>11</v>
      </c>
      <c r="D26" s="6"/>
      <c r="E26" s="6"/>
      <c r="F26" s="6"/>
      <c r="G26" s="6"/>
      <c r="H26" s="6"/>
      <c r="I26" s="6"/>
      <c r="J26" s="6"/>
    </row>
    <row r="27" spans="2:16" ht="12.75" customHeight="1" x14ac:dyDescent="0.2">
      <c r="C27" s="932" t="s">
        <v>12</v>
      </c>
      <c r="D27" s="932"/>
      <c r="E27" s="932"/>
      <c r="F27" s="932"/>
      <c r="G27" s="932"/>
      <c r="H27" s="932"/>
      <c r="I27" s="932"/>
      <c r="J27" s="932"/>
      <c r="K27" s="932"/>
      <c r="L27" s="932"/>
      <c r="M27" s="932"/>
    </row>
    <row r="28" spans="2:16" ht="12.75" customHeight="1" x14ac:dyDescent="0.2">
      <c r="C28" s="932"/>
      <c r="D28" s="932"/>
      <c r="E28" s="932"/>
      <c r="F28" s="932"/>
      <c r="G28" s="932"/>
      <c r="H28" s="932"/>
      <c r="I28" s="932"/>
      <c r="J28" s="932"/>
      <c r="K28" s="932"/>
      <c r="L28" s="932"/>
      <c r="M28" s="932"/>
    </row>
    <row r="29" spans="2:16" ht="12.75" customHeight="1" x14ac:dyDescent="0.2">
      <c r="C29" s="5" t="s">
        <v>13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10"/>
    </row>
    <row r="30" spans="2:16" ht="12.75" customHeight="1" x14ac:dyDescent="0.2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/>
    </row>
    <row r="31" spans="2:16" ht="12.75" customHeight="1" x14ac:dyDescent="0.2">
      <c r="C31" s="10" t="s">
        <v>14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0"/>
      <c r="O31" s="10"/>
      <c r="P31" s="10"/>
    </row>
    <row r="32" spans="2:16" ht="12.75" customHeight="1" x14ac:dyDescent="0.2">
      <c r="C32" s="12"/>
      <c r="D32" s="12"/>
      <c r="E32" s="12"/>
      <c r="F32" s="12"/>
      <c r="G32" s="12"/>
      <c r="H32" s="12"/>
      <c r="I32" s="11"/>
      <c r="J32" s="11"/>
      <c r="K32" s="11"/>
      <c r="L32" s="11"/>
      <c r="M32" s="11"/>
      <c r="N32" s="10"/>
    </row>
    <row r="33" spans="2:19" ht="12.75" customHeight="1" x14ac:dyDescent="0.2">
      <c r="C33" s="933" t="s">
        <v>15</v>
      </c>
      <c r="D33" s="933"/>
      <c r="E33" s="933"/>
      <c r="F33" s="933"/>
      <c r="G33" s="933"/>
      <c r="H33" s="933"/>
      <c r="I33" s="933"/>
      <c r="J33" s="933"/>
      <c r="K33" s="933"/>
      <c r="L33" s="933"/>
      <c r="M33" s="933"/>
      <c r="N33" s="10"/>
    </row>
    <row r="34" spans="2:19" ht="12.75" customHeight="1" x14ac:dyDescent="0.2">
      <c r="C34" s="14"/>
      <c r="D34" s="14"/>
      <c r="E34" s="14"/>
      <c r="F34" s="14"/>
      <c r="G34" s="14"/>
      <c r="H34" s="14"/>
      <c r="I34" s="5"/>
      <c r="J34" s="5"/>
      <c r="K34" s="5"/>
      <c r="L34" s="5"/>
      <c r="M34" s="5"/>
      <c r="N34" s="10"/>
    </row>
    <row r="35" spans="2:19" ht="12.75" customHeight="1" x14ac:dyDescent="0.2">
      <c r="C35" s="13" t="s">
        <v>16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0"/>
    </row>
    <row r="36" spans="2:19" ht="12.75" customHeight="1" x14ac:dyDescent="0.2">
      <c r="C36" s="12"/>
      <c r="D36" s="12"/>
      <c r="E36" s="12"/>
      <c r="F36" s="12"/>
      <c r="G36" s="12"/>
      <c r="H36" s="12"/>
      <c r="I36" s="11"/>
      <c r="J36" s="11"/>
      <c r="K36" s="11"/>
      <c r="L36" s="11"/>
      <c r="M36" s="11"/>
      <c r="N36" s="10"/>
    </row>
    <row r="37" spans="2:19" ht="12.75" customHeight="1" x14ac:dyDescent="0.2"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2:19" ht="12.75" customHeight="1" x14ac:dyDescent="0.2"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2:19" ht="12.75" customHeight="1" x14ac:dyDescent="0.2">
      <c r="B39" s="10" t="s">
        <v>17</v>
      </c>
      <c r="C39" s="6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2:19" x14ac:dyDescent="0.2">
      <c r="O40" s="934"/>
      <c r="P40" s="934"/>
      <c r="Q40" s="934"/>
      <c r="R40" s="934"/>
      <c r="S40" s="934"/>
    </row>
    <row r="41" spans="2:19" x14ac:dyDescent="0.2">
      <c r="C41" s="935" t="s">
        <v>18</v>
      </c>
      <c r="D41" s="935"/>
      <c r="E41" s="935"/>
      <c r="F41" s="935"/>
    </row>
    <row r="42" spans="2:19" x14ac:dyDescent="0.2">
      <c r="C42" s="934"/>
      <c r="D42" s="934"/>
      <c r="E42" s="934"/>
      <c r="F42" s="934"/>
      <c r="G42" s="934"/>
      <c r="H42" s="934"/>
      <c r="I42" s="934"/>
      <c r="J42" s="934"/>
    </row>
    <row r="44" spans="2:19" x14ac:dyDescent="0.2">
      <c r="B44" s="931" t="s">
        <v>19</v>
      </c>
      <c r="C44" s="931"/>
      <c r="D44" s="931"/>
      <c r="E44" s="931"/>
      <c r="F44" s="931"/>
    </row>
    <row r="46" spans="2:19" x14ac:dyDescent="0.2">
      <c r="C46" s="16" t="s">
        <v>20</v>
      </c>
      <c r="D46" s="17"/>
      <c r="E46" s="17"/>
      <c r="F46" s="17"/>
      <c r="G46" s="17"/>
      <c r="H46" s="17"/>
      <c r="I46" s="17"/>
      <c r="J46" s="17"/>
      <c r="K46" s="18"/>
      <c r="L46" s="18"/>
      <c r="M46" s="18"/>
    </row>
    <row r="50" spans="2:13" x14ac:dyDescent="0.2">
      <c r="B50" s="931" t="s">
        <v>21</v>
      </c>
      <c r="C50" s="931"/>
      <c r="D50" s="931"/>
      <c r="E50" s="931"/>
      <c r="F50" s="931"/>
    </row>
    <row r="52" spans="2:13" x14ac:dyDescent="0.2">
      <c r="C52" s="5" t="s">
        <v>22</v>
      </c>
      <c r="D52" s="6"/>
      <c r="E52" s="6"/>
      <c r="F52" s="6"/>
      <c r="G52" s="10"/>
      <c r="H52" s="10"/>
      <c r="I52" s="10"/>
      <c r="J52" s="10"/>
      <c r="K52" s="10"/>
      <c r="L52" s="10"/>
      <c r="M52" s="10"/>
    </row>
    <row r="54" spans="2:13" x14ac:dyDescent="0.2">
      <c r="B54" s="10" t="s">
        <v>23</v>
      </c>
      <c r="C54" s="10"/>
    </row>
    <row r="56" spans="2:13" x14ac:dyDescent="0.2">
      <c r="B56" s="10" t="s">
        <v>24</v>
      </c>
    </row>
  </sheetData>
  <sheetProtection sheet="1" objects="1" scenarios="1"/>
  <mergeCells count="12">
    <mergeCell ref="B5:F5"/>
    <mergeCell ref="B11:F11"/>
    <mergeCell ref="B19:F19"/>
    <mergeCell ref="C22:K22"/>
    <mergeCell ref="B24:F24"/>
    <mergeCell ref="B44:F44"/>
    <mergeCell ref="B50:F50"/>
    <mergeCell ref="C27:M28"/>
    <mergeCell ref="C33:M33"/>
    <mergeCell ref="O40:S40"/>
    <mergeCell ref="C41:F41"/>
    <mergeCell ref="C42:J42"/>
  </mergeCells>
  <hyperlinks>
    <hyperlink ref="B5" location="'A) Resumen Ingresos y Egresos'!Área_de_impresión" display="A) Resumen Ingresos y Egresos" xr:uid="{00000000-0004-0000-0100-000000000000}"/>
    <hyperlink ref="C7" location="'A) Resumen Ingresos y Egresos'!A6" display="TABLA 1: RESUMEN DE INGRESOS Y EGRESOS DE CENTROS DE BENEFICIOS" xr:uid="{00000000-0004-0000-0100-000001000000}"/>
    <hyperlink ref="C9" location="'A) Resumen Ingresos y Egresos'!A22" display="TABLA 2: DETALLE DE INGRESOS POR PRESTACIÓN Y SEGMENTO" xr:uid="{00000000-0004-0000-0100-000002000000}"/>
    <hyperlink ref="B11" location="'B) Reajuste Tarifas y Ocupación'!A1" display="B) Reajuste Tarifas y Ocupación" xr:uid="{00000000-0004-0000-0100-000003000000}"/>
    <hyperlink ref="C13" location="'B) Reajuste Tarifas y Ocupación'!A8" display="TABLA 3: REAJUSTE DE TARIFAS POR PRESTACIÓN Y SEGMENTO" xr:uid="{00000000-0004-0000-0100-000004000000}"/>
    <hyperlink ref="C15" location="'B) Reajuste Tarifas y Ocupación'!A32" display="TABLA 4: METAS DE OCUPACIÓN POR PRESTACIÓN Y SEGMENTO" xr:uid="{00000000-0004-0000-0100-000005000000}"/>
    <hyperlink ref="B19" location="'C) Costos Directos'!Área_de_impresión" display="C) Costos Directos" xr:uid="{00000000-0004-0000-0100-000006000000}"/>
    <hyperlink ref="C21" location="'C) Costos Directos'!A8" display="TABLA 5: COSTOS DIRECTOS DE CENTROS DE BENEFICIOS" xr:uid="{00000000-0004-0000-0100-000007000000}"/>
    <hyperlink ref="B24" location="'D) Costos Indirectos'!A1" display="D) Costos Indirectos" xr:uid="{00000000-0004-0000-0100-000008000000}"/>
    <hyperlink ref="C26" location="'D) Costos Indirectos'!A9" display="TABLA 6: REMUNERACIONES DEL PERSONAL LEY 18.712 ADMINISTRACION CENTRAL Y APOYO ADMINISTRATIVO ASISTENCIA EDUCACIONAL" xr:uid="{00000000-0004-0000-0100-000009000000}"/>
    <hyperlink ref="C27" location="'D) Costos Indirectos'!M9" display="TABLA 7: DISTRIBUCION COSTOS REMUNERACIONES ADMINISTRACION CENTRAL Y APOYO ADMINISTRATIVO A. EDUCACIONAL" xr:uid="{00000000-0004-0000-0100-00000A000000}"/>
    <hyperlink ref="C29" location="'D) Costos Indirectos'!U9" display="TABLA 8: COSTOS DE OPERACION ADMINISTRACIÓN CENTRAL Y  APOYO ADMINISTRATIVO ASISTENCIA EDUCACIONAL" xr:uid="{00000000-0004-0000-0100-00000B000000}"/>
    <hyperlink ref="C31" location="'D) Costos Indirectos'!Z9" display="TABLA 9: RESUMEN DISTRIBUCION COSTOS REMUNERACIONES ADMINISTRACION CENTRAL Y APOYO ADMINISTRATIVO A. EDUCACIONAL" xr:uid="{00000000-0004-0000-0100-00000C000000}"/>
    <hyperlink ref="C33" location="'D) Costos Indirectos'!AG9" display="TABLA 10: RESUMEN DISTRIBUCION COSTOS OPERACIÓN ADMINISTRACION CENTRAL  Y APOYO ADMINISTRATIVO A. EDUCACIONAL" xr:uid="{00000000-0004-0000-0100-00000D000000}"/>
    <hyperlink ref="C35" location="'D) Costos Indirectos'!AN9" display="TABLA 11: FINANCIAMIENTO ADM. CENTRAL  Y APOYO ADMINISTRATIVO _x000a_(REMUNERACIONES + COSTO OPERACIÓN)" xr:uid="{00000000-0004-0000-0100-00000E000000}"/>
    <hyperlink ref="B39" location="'E) Resumen Tarifado '!A1" display="E) Resumen Tarifado" xr:uid="{00000000-0004-0000-0100-00000F000000}"/>
    <hyperlink ref="C41" location="'E) Resumen Tarifado '!A6" display="TABLA 12: RESUMEN DE TARIFADO" xr:uid="{00000000-0004-0000-0100-000010000000}"/>
    <hyperlink ref="B44" location="'F) Remuneraciones'!A1" display="F) Remuneraciones" xr:uid="{00000000-0004-0000-0100-000011000000}"/>
    <hyperlink ref="C46" location="'F) Remuneraciones'!B7" display="TABLA 13: REMUNERACIONES DEL PERSONAL LEY 18.712 DE CENTROS DE BENEFICIOS" xr:uid="{00000000-0004-0000-0100-000012000000}"/>
    <hyperlink ref="B50" location="'G) Comparación Mercado'!A1" display="G) Comparación Mercado" xr:uid="{00000000-0004-0000-0100-000013000000}"/>
    <hyperlink ref="C52" location="'G) Comparación Mercado'!A12" display="TABLA 14: COMPARACIÓN TARIFAS CON PRECIOS DE MERCADO" xr:uid="{00000000-0004-0000-0100-000014000000}"/>
    <hyperlink ref="B54" location="'H) Detalle Datos'!A1" display="H) Detalle Datos" xr:uid="{00000000-0004-0000-0100-000015000000}"/>
    <hyperlink ref="B56" location="'I) Proyección Mensual'!A1" display="I) Proyección Mensual" xr:uid="{00000000-0004-0000-0100-000016000000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71"/>
  <sheetViews>
    <sheetView showGridLines="0" tabSelected="1" topLeftCell="A2" zoomScale="80" zoomScaleNormal="80" workbookViewId="0">
      <selection activeCell="P18" sqref="P18"/>
    </sheetView>
  </sheetViews>
  <sheetFormatPr baseColWidth="10" defaultColWidth="9.140625" defaultRowHeight="12.75" x14ac:dyDescent="0.2"/>
  <cols>
    <col min="1" max="1" width="38.28515625" style="19"/>
    <col min="2" max="2" width="22.140625" style="19"/>
    <col min="3" max="3" width="21.42578125" style="19"/>
    <col min="4" max="4" width="20" style="19"/>
    <col min="5" max="6" width="19.42578125" style="19"/>
    <col min="7" max="7" width="18.42578125" style="19"/>
    <col min="8" max="8" width="18.85546875" style="19"/>
    <col min="9" max="9" width="18.5703125" style="19"/>
    <col min="10" max="11" width="19.140625" style="19"/>
    <col min="12" max="12" width="17" style="19"/>
    <col min="13" max="13" width="18" style="19"/>
    <col min="14" max="14" width="17.85546875" style="19"/>
    <col min="15" max="15" width="18.85546875" style="19"/>
    <col min="16" max="16" width="16.42578125" style="19"/>
    <col min="17" max="17" width="20.28515625" style="19"/>
    <col min="18" max="18" width="16.28515625" style="19"/>
    <col min="19" max="1025" width="11.7109375" style="19"/>
    <col min="1026" max="16384" width="9.140625" style="797"/>
  </cols>
  <sheetData>
    <row r="1" spans="1:247" s="21" customFormat="1" x14ac:dyDescent="0.2">
      <c r="A1" s="20"/>
      <c r="C1" s="22"/>
      <c r="D1" s="22"/>
      <c r="E1" s="4" t="s">
        <v>25</v>
      </c>
      <c r="F1" s="4"/>
      <c r="G1" s="22"/>
      <c r="H1" s="22"/>
      <c r="IL1" s="19"/>
      <c r="IM1" s="19"/>
    </row>
    <row r="2" spans="1:247" x14ac:dyDescent="0.2">
      <c r="A2" s="23"/>
      <c r="B2" s="21"/>
      <c r="C2" s="22"/>
      <c r="D2" s="22"/>
      <c r="E2" s="4" t="s">
        <v>26</v>
      </c>
      <c r="F2" s="4"/>
      <c r="G2" s="22"/>
      <c r="H2" s="22"/>
      <c r="I2" s="21"/>
      <c r="J2" s="21"/>
      <c r="K2" s="21"/>
      <c r="L2" s="22"/>
      <c r="M2" s="22"/>
    </row>
    <row r="4" spans="1:247" ht="18.75" customHeight="1" x14ac:dyDescent="0.2">
      <c r="A4" s="24"/>
      <c r="B4" s="25"/>
      <c r="C4" s="957" t="s">
        <v>27</v>
      </c>
      <c r="D4" s="957"/>
      <c r="E4" s="958" t="s">
        <v>28</v>
      </c>
      <c r="F4" s="958"/>
      <c r="G4" s="958"/>
      <c r="L4" s="26"/>
    </row>
    <row r="5" spans="1:247" x14ac:dyDescent="0.2">
      <c r="G5" s="27"/>
      <c r="H5" s="788"/>
      <c r="I5" s="22"/>
      <c r="J5" s="22"/>
      <c r="K5" s="22"/>
      <c r="L5" s="26"/>
    </row>
    <row r="6" spans="1:247" ht="15.75" x14ac:dyDescent="0.2">
      <c r="A6" s="959" t="s">
        <v>3</v>
      </c>
      <c r="B6" s="959"/>
      <c r="C6" s="959"/>
      <c r="D6" s="959"/>
      <c r="G6" s="27"/>
      <c r="H6" s="788"/>
      <c r="I6" s="22"/>
      <c r="J6" s="22"/>
      <c r="K6" s="22"/>
      <c r="L6" s="26"/>
    </row>
    <row r="7" spans="1:247" x14ac:dyDescent="0.2">
      <c r="B7" s="22"/>
      <c r="C7" s="22"/>
      <c r="E7" s="30"/>
      <c r="F7" s="22"/>
      <c r="G7" s="22"/>
      <c r="H7" s="22"/>
      <c r="I7" s="22"/>
      <c r="M7" s="31"/>
    </row>
    <row r="8" spans="1:247" ht="39" customHeight="1" x14ac:dyDescent="0.2">
      <c r="A8" s="32" t="s">
        <v>29</v>
      </c>
      <c r="B8" s="33" t="str">
        <f>+N24</f>
        <v>Ingreso por Matrícula</v>
      </c>
      <c r="C8" s="34" t="str">
        <f>+O24</f>
        <v>Ingreso por Mensualidad</v>
      </c>
      <c r="D8" s="34" t="s">
        <v>30</v>
      </c>
      <c r="E8" s="35" t="s">
        <v>31</v>
      </c>
      <c r="F8" s="36" t="s">
        <v>32</v>
      </c>
      <c r="G8" s="37" t="s">
        <v>33</v>
      </c>
      <c r="H8" s="36" t="s">
        <v>34</v>
      </c>
      <c r="I8" s="38" t="s">
        <v>35</v>
      </c>
      <c r="L8" s="38" t="s">
        <v>36</v>
      </c>
      <c r="N8" s="39"/>
    </row>
    <row r="9" spans="1:247" x14ac:dyDescent="0.2">
      <c r="A9" s="40" t="str">
        <f>+'B) Reajuste Tarifas y Ocupación'!A12</f>
        <v>Jardín Infantil Lobito Marino</v>
      </c>
      <c r="B9" s="41">
        <f>+N32</f>
        <v>15547700</v>
      </c>
      <c r="C9" s="42">
        <f>+O32</f>
        <v>155477000</v>
      </c>
      <c r="D9" s="41">
        <f>+P32</f>
        <v>1941000</v>
      </c>
      <c r="E9" s="43">
        <f>+B9+D9+C9</f>
        <v>172965700</v>
      </c>
      <c r="F9" s="44">
        <f>+'C) Costos Directos'!H75</f>
        <v>167195538.99664</v>
      </c>
      <c r="G9" s="45">
        <f>+IFERROR('D) Costos Indirectos'!$AQ$15*(F9/$F$17),0)</f>
        <v>25175215.955520201</v>
      </c>
      <c r="H9" s="46">
        <f>+F9+G9</f>
        <v>192370754.95216021</v>
      </c>
      <c r="I9" s="47">
        <f>E9-H9</f>
        <v>-19405054.952160209</v>
      </c>
      <c r="J9" s="48"/>
      <c r="L9" s="49">
        <f t="shared" ref="L9:L16" si="0">+IFERROR(G9/$G$17,0)</f>
        <v>0.23896363741526302</v>
      </c>
      <c r="N9" s="50"/>
    </row>
    <row r="10" spans="1:247" x14ac:dyDescent="0.2">
      <c r="A10" s="40" t="str">
        <f>+'B) Reajuste Tarifas y Ocupación'!A14</f>
        <v>Jardín Infantil Los Delfines</v>
      </c>
      <c r="B10" s="41">
        <f>+N39</f>
        <v>16416000</v>
      </c>
      <c r="C10" s="42">
        <f>+O39</f>
        <v>164160000</v>
      </c>
      <c r="D10" s="41">
        <f>+P39</f>
        <v>1035200</v>
      </c>
      <c r="E10" s="43">
        <f>+B10+D10+C10</f>
        <v>181611200</v>
      </c>
      <c r="F10" s="51">
        <f>+'C) Costos Directos'!H141</f>
        <v>183501663.56952</v>
      </c>
      <c r="G10" s="45">
        <f>+IFERROR('D) Costos Indirectos'!$AQ$15*(F10/$F$17),0)</f>
        <v>27630486.054132815</v>
      </c>
      <c r="H10" s="46">
        <f>+F10+G10</f>
        <v>211132149.62365282</v>
      </c>
      <c r="I10" s="47">
        <f>E10-H10</f>
        <v>-29520949.623652816</v>
      </c>
      <c r="J10" s="48"/>
      <c r="L10" s="49">
        <f t="shared" si="0"/>
        <v>0.26226910874222303</v>
      </c>
      <c r="N10" s="50"/>
      <c r="O10" s="52"/>
    </row>
    <row r="11" spans="1:247" x14ac:dyDescent="0.2">
      <c r="A11" s="40" t="str">
        <f>+'B) Reajuste Tarifas y Ocupación'!A16</f>
        <v>Jardín Infantil Pecesitos de Colores</v>
      </c>
      <c r="B11" s="41">
        <f>+N43</f>
        <v>792300</v>
      </c>
      <c r="C11" s="41">
        <f>+O43</f>
        <v>7923000</v>
      </c>
      <c r="D11" s="41">
        <f>+P43</f>
        <v>0</v>
      </c>
      <c r="E11" s="43">
        <f>+B11+D11+C11</f>
        <v>8715300</v>
      </c>
      <c r="F11" s="51">
        <f>+'C) Costos Directos'!H207</f>
        <v>17980512.728</v>
      </c>
      <c r="G11" s="45">
        <f>+IFERROR('D) Costos Indirectos'!$AQ$15*(F11/$F$17),0)</f>
        <v>2707388.5681093233</v>
      </c>
      <c r="H11" s="46">
        <f>+F11+G11</f>
        <v>20687901.296109322</v>
      </c>
      <c r="I11" s="47">
        <f>E11-H11</f>
        <v>-11972601.296109322</v>
      </c>
      <c r="J11" s="48"/>
      <c r="L11" s="49">
        <f t="shared" si="0"/>
        <v>2.5698584722171691E-2</v>
      </c>
      <c r="N11" s="50"/>
      <c r="O11" s="52"/>
    </row>
    <row r="12" spans="1:247" x14ac:dyDescent="0.2">
      <c r="A12" s="40" t="str">
        <f>+'B) Reajuste Tarifas y Ocupación'!A17</f>
        <v>Jardín Infantil Caracolito de Mar</v>
      </c>
      <c r="B12" s="53"/>
      <c r="C12" s="54"/>
      <c r="D12" s="53"/>
      <c r="E12" s="55"/>
      <c r="F12" s="56"/>
      <c r="G12" s="57"/>
      <c r="H12" s="57"/>
      <c r="I12" s="58"/>
      <c r="J12" s="48"/>
      <c r="L12" s="49">
        <f t="shared" si="0"/>
        <v>0</v>
      </c>
      <c r="N12" s="59"/>
      <c r="O12" s="52"/>
    </row>
    <row r="13" spans="1:247" x14ac:dyDescent="0.2">
      <c r="A13" s="40" t="s">
        <v>37</v>
      </c>
      <c r="B13" s="41">
        <f>+N53+N59</f>
        <v>0</v>
      </c>
      <c r="C13" s="41">
        <f>+O53+O59</f>
        <v>129769200</v>
      </c>
      <c r="D13" s="41">
        <f>+P53+P59</f>
        <v>0</v>
      </c>
      <c r="E13" s="43">
        <f>+B13+D13+C13</f>
        <v>129769200</v>
      </c>
      <c r="F13" s="51">
        <f>+'C) Costos Directos'!H339</f>
        <v>102753328.75856</v>
      </c>
      <c r="G13" s="45">
        <f>+IFERROR('D) Costos Indirectos'!$AQ$15*(F13/$F$17),0)</f>
        <v>15471927.404099571</v>
      </c>
      <c r="H13" s="46">
        <f>+F13+G13</f>
        <v>118225256.16265957</v>
      </c>
      <c r="I13" s="47">
        <f>E13-H13</f>
        <v>11543943.837340429</v>
      </c>
      <c r="J13" s="48"/>
      <c r="L13" s="49">
        <f t="shared" si="0"/>
        <v>0.146859834562723</v>
      </c>
      <c r="N13" s="59"/>
      <c r="O13" s="52"/>
    </row>
    <row r="14" spans="1:247" x14ac:dyDescent="0.2">
      <c r="A14" s="40" t="s">
        <v>38</v>
      </c>
      <c r="B14" s="53"/>
      <c r="C14" s="54"/>
      <c r="D14" s="53"/>
      <c r="E14" s="55"/>
      <c r="F14" s="56"/>
      <c r="G14" s="57"/>
      <c r="H14" s="57"/>
      <c r="I14" s="58"/>
      <c r="J14" s="48"/>
      <c r="L14" s="49">
        <f t="shared" si="0"/>
        <v>0</v>
      </c>
      <c r="N14" s="59"/>
      <c r="O14" s="52"/>
    </row>
    <row r="15" spans="1:247" x14ac:dyDescent="0.2">
      <c r="A15" s="40" t="s">
        <v>39</v>
      </c>
      <c r="B15" s="60">
        <f>+N63+N69</f>
        <v>0</v>
      </c>
      <c r="C15" s="60">
        <f>+O63+O69</f>
        <v>259538400</v>
      </c>
      <c r="D15" s="60">
        <f>+P63+P69</f>
        <v>0</v>
      </c>
      <c r="E15" s="61">
        <f>+B15+D15+C15</f>
        <v>259538400</v>
      </c>
      <c r="F15" s="51">
        <f>+'C) Costos Directos'!H471</f>
        <v>163865701.05184001</v>
      </c>
      <c r="G15" s="45">
        <f>+IFERROR('D) Costos Indirectos'!$AQ$15*(F15/$F$17),0)</f>
        <v>24673830.632321417</v>
      </c>
      <c r="H15" s="46">
        <f>+F15+G15</f>
        <v>188539531.68416142</v>
      </c>
      <c r="I15" s="47">
        <f>E15-H15</f>
        <v>70998868.315838575</v>
      </c>
      <c r="J15" s="48"/>
      <c r="L15" s="49">
        <f t="shared" si="0"/>
        <v>0.2342044782171892</v>
      </c>
      <c r="N15" s="59"/>
      <c r="O15" s="52"/>
    </row>
    <row r="16" spans="1:247" x14ac:dyDescent="0.2">
      <c r="A16" s="40" t="s">
        <v>40</v>
      </c>
      <c r="B16" s="60">
        <f>+N66</f>
        <v>0</v>
      </c>
      <c r="C16" s="60">
        <f>+O66</f>
        <v>60260400</v>
      </c>
      <c r="D16" s="60">
        <f>+P66</f>
        <v>0</v>
      </c>
      <c r="E16" s="62">
        <f>+B16+D16+C16</f>
        <v>60260400</v>
      </c>
      <c r="F16" s="51">
        <f>+'C) Costos Directos'!H537</f>
        <v>64372630.559040003</v>
      </c>
      <c r="G16" s="45">
        <f>+IFERROR('D) Costos Indirectos'!$AQ$15*(F16/$F$17),0)</f>
        <v>9692811.6962577533</v>
      </c>
      <c r="H16" s="63">
        <f>+F16+G16</f>
        <v>74065442.25529775</v>
      </c>
      <c r="I16" s="64">
        <f>E16-H16</f>
        <v>-13805042.25529775</v>
      </c>
      <c r="J16" s="48"/>
      <c r="L16" s="49">
        <f t="shared" si="0"/>
        <v>9.2004356340429957E-2</v>
      </c>
      <c r="N16" s="59"/>
      <c r="O16" s="52"/>
    </row>
    <row r="17" spans="1:247" s="21" customFormat="1" ht="15" x14ac:dyDescent="0.2">
      <c r="A17" s="65" t="s">
        <v>41</v>
      </c>
      <c r="B17" s="66">
        <f t="shared" ref="B17:D17" si="1">SUM(B9:B16)</f>
        <v>32756000</v>
      </c>
      <c r="C17" s="66">
        <f t="shared" si="1"/>
        <v>777128000</v>
      </c>
      <c r="D17" s="66">
        <f t="shared" si="1"/>
        <v>2976200</v>
      </c>
      <c r="E17" s="67">
        <f>SUM(E9:E16)</f>
        <v>812860200</v>
      </c>
      <c r="F17" s="66">
        <f>SUM(F9:F16)</f>
        <v>699669375.66359985</v>
      </c>
      <c r="G17" s="66">
        <f>SUM(G9:G16)</f>
        <v>105351660.31044109</v>
      </c>
      <c r="H17" s="66">
        <f>SUM(H9:H16)</f>
        <v>805021035.9740411</v>
      </c>
      <c r="I17" s="66">
        <f>SUM(I9:I16)</f>
        <v>7839164.0259589106</v>
      </c>
      <c r="J17" s="68"/>
      <c r="L17" s="69">
        <f>SUM(L9:L16)</f>
        <v>0.99999999999999989</v>
      </c>
      <c r="N17" s="31"/>
      <c r="O17" s="52"/>
      <c r="IB17" s="19"/>
      <c r="IC17" s="19"/>
      <c r="ID17" s="19"/>
      <c r="IE17" s="19"/>
      <c r="IF17" s="19"/>
      <c r="IG17" s="19"/>
      <c r="IH17" s="19"/>
    </row>
    <row r="18" spans="1:247" ht="15.75" customHeight="1" x14ac:dyDescent="0.2">
      <c r="A18" s="70"/>
      <c r="B18" s="70"/>
      <c r="C18" s="48"/>
      <c r="D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247" ht="15.75" customHeight="1" x14ac:dyDescent="0.2">
      <c r="A19" s="70"/>
      <c r="B19" s="70"/>
      <c r="C19" s="70"/>
      <c r="D19" s="48"/>
      <c r="F19" s="48"/>
      <c r="G19" s="48"/>
      <c r="H19" s="48"/>
      <c r="I19" s="48"/>
      <c r="J19" s="48"/>
      <c r="K19" s="48"/>
      <c r="L19" s="48"/>
      <c r="M19" s="48"/>
      <c r="N19" s="48"/>
      <c r="O19" s="68"/>
    </row>
    <row r="20" spans="1:247" ht="15.75" customHeight="1" x14ac:dyDescent="0.2">
      <c r="A20" s="70"/>
      <c r="B20" s="70"/>
      <c r="C20" s="70"/>
      <c r="D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247" ht="15.75" customHeight="1" x14ac:dyDescent="0.2">
      <c r="A21" s="70"/>
      <c r="B21" s="70"/>
      <c r="C21" s="70"/>
      <c r="D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247" ht="15.75" customHeight="1" x14ac:dyDescent="0.2">
      <c r="A22" s="959" t="s">
        <v>4</v>
      </c>
      <c r="B22" s="959"/>
      <c r="C22" s="959"/>
      <c r="D22" s="959"/>
      <c r="F22" s="48"/>
      <c r="G22" s="48"/>
      <c r="H22" s="48"/>
      <c r="I22" s="48"/>
      <c r="J22" s="48"/>
      <c r="K22" s="48"/>
      <c r="L22" s="48"/>
      <c r="M22" s="48"/>
      <c r="N22" s="48"/>
    </row>
    <row r="23" spans="1:247" s="21" customFormat="1" x14ac:dyDescent="0.2">
      <c r="B23" s="22"/>
      <c r="C23" s="22"/>
      <c r="D23" s="22"/>
      <c r="E23" s="22"/>
      <c r="F23" s="22"/>
      <c r="G23" s="22"/>
      <c r="H23" s="22"/>
      <c r="I23" s="71"/>
      <c r="J23" s="71"/>
      <c r="K23" s="71"/>
      <c r="L23" s="26"/>
      <c r="M23" s="26"/>
      <c r="O23" s="72"/>
      <c r="P23" s="72"/>
      <c r="IL23" s="19"/>
      <c r="IM23" s="19"/>
    </row>
    <row r="24" spans="1:247" s="73" customFormat="1" ht="15.75" customHeight="1" x14ac:dyDescent="0.2">
      <c r="A24" s="960" t="s">
        <v>29</v>
      </c>
      <c r="B24" s="961" t="s">
        <v>42</v>
      </c>
      <c r="C24" s="962" t="s">
        <v>43</v>
      </c>
      <c r="D24" s="963" t="s">
        <v>44</v>
      </c>
      <c r="E24" s="963"/>
      <c r="F24" s="963"/>
      <c r="G24" s="963"/>
      <c r="H24" s="963"/>
      <c r="I24" s="952" t="s">
        <v>45</v>
      </c>
      <c r="J24" s="952"/>
      <c r="K24" s="952"/>
      <c r="L24" s="952"/>
      <c r="M24" s="952"/>
      <c r="N24" s="953" t="s">
        <v>46</v>
      </c>
      <c r="O24" s="954" t="s">
        <v>47</v>
      </c>
      <c r="P24" s="955" t="s">
        <v>30</v>
      </c>
      <c r="Q24" s="956" t="s">
        <v>48</v>
      </c>
    </row>
    <row r="25" spans="1:247" ht="39" thickBot="1" x14ac:dyDescent="0.25">
      <c r="A25" s="960"/>
      <c r="B25" s="961"/>
      <c r="C25" s="962"/>
      <c r="D25" s="74" t="s">
        <v>49</v>
      </c>
      <c r="E25" s="75" t="s">
        <v>50</v>
      </c>
      <c r="F25" s="75" t="s">
        <v>51</v>
      </c>
      <c r="G25" s="75" t="s">
        <v>52</v>
      </c>
      <c r="H25" s="76" t="s">
        <v>53</v>
      </c>
      <c r="I25" s="74" t="s">
        <v>49</v>
      </c>
      <c r="J25" s="75" t="s">
        <v>50</v>
      </c>
      <c r="K25" s="75" t="s">
        <v>51</v>
      </c>
      <c r="L25" s="75" t="s">
        <v>52</v>
      </c>
      <c r="M25" s="77" t="s">
        <v>53</v>
      </c>
      <c r="N25" s="953"/>
      <c r="O25" s="954"/>
      <c r="P25" s="955"/>
      <c r="Q25" s="956"/>
    </row>
    <row r="26" spans="1:247" ht="12.75" customHeight="1" thickBot="1" x14ac:dyDescent="0.25">
      <c r="A26" s="950" t="str">
        <f>+'B) Reajuste Tarifas y Ocupación'!A12</f>
        <v>Jardín Infantil Lobito Marino</v>
      </c>
      <c r="B26" s="951" t="str">
        <f>+'B) Reajuste Tarifas y Ocupación'!B12</f>
        <v>Media jornada</v>
      </c>
      <c r="C26" s="78" t="s">
        <v>54</v>
      </c>
      <c r="D26" s="79">
        <f t="shared" ref="D26:H27" si="2">+I26</f>
        <v>83800</v>
      </c>
      <c r="E26" s="80">
        <f t="shared" si="2"/>
        <v>100500</v>
      </c>
      <c r="F26" s="80">
        <f t="shared" si="2"/>
        <v>100500</v>
      </c>
      <c r="G26" s="80">
        <f t="shared" si="2"/>
        <v>112300</v>
      </c>
      <c r="H26" s="82">
        <f t="shared" si="2"/>
        <v>165200</v>
      </c>
      <c r="I26" s="752">
        <f>+'B) Reajuste Tarifas y Ocupación'!M12</f>
        <v>83800</v>
      </c>
      <c r="J26" s="80">
        <f>+'B) Reajuste Tarifas y Ocupación'!N12</f>
        <v>100500</v>
      </c>
      <c r="K26" s="80">
        <f>+'B) Reajuste Tarifas y Ocupación'!O12</f>
        <v>100500</v>
      </c>
      <c r="L26" s="80">
        <f>+'B) Reajuste Tarifas y Ocupación'!P12</f>
        <v>112300</v>
      </c>
      <c r="M26" s="82">
        <f>+'B) Reajuste Tarifas y Ocupación'!Q12</f>
        <v>165200</v>
      </c>
      <c r="N26" s="83"/>
      <c r="O26" s="84"/>
      <c r="P26" s="85">
        <f>+'B) Reajuste Tarifas y Ocupación'!C12</f>
        <v>79200</v>
      </c>
      <c r="Q26" s="939"/>
    </row>
    <row r="27" spans="1:247" ht="13.5" thickBot="1" x14ac:dyDescent="0.25">
      <c r="A27" s="950"/>
      <c r="B27" s="951"/>
      <c r="C27" s="86" t="s">
        <v>55</v>
      </c>
      <c r="D27" s="87">
        <f t="shared" si="2"/>
        <v>41</v>
      </c>
      <c r="E27" s="88">
        <f t="shared" si="2"/>
        <v>0</v>
      </c>
      <c r="F27" s="88">
        <f t="shared" si="2"/>
        <v>0</v>
      </c>
      <c r="G27" s="88">
        <f t="shared" si="2"/>
        <v>2</v>
      </c>
      <c r="H27" s="89">
        <f t="shared" si="2"/>
        <v>1</v>
      </c>
      <c r="I27" s="753">
        <f>+'B) Reajuste Tarifas y Ocupación'!C36</f>
        <v>41</v>
      </c>
      <c r="J27" s="88">
        <f>+'B) Reajuste Tarifas y Ocupación'!D36</f>
        <v>0</v>
      </c>
      <c r="K27" s="88">
        <f>+'B) Reajuste Tarifas y Ocupación'!E36</f>
        <v>0</v>
      </c>
      <c r="L27" s="88">
        <f>+'B) Reajuste Tarifas y Ocupación'!F36</f>
        <v>2</v>
      </c>
      <c r="M27" s="89">
        <f>+'B) Reajuste Tarifas y Ocupación'!G36</f>
        <v>1</v>
      </c>
      <c r="N27" s="90"/>
      <c r="O27" s="91"/>
      <c r="P27" s="92"/>
      <c r="Q27" s="939"/>
    </row>
    <row r="28" spans="1:247" ht="13.5" thickBot="1" x14ac:dyDescent="0.25">
      <c r="A28" s="950"/>
      <c r="B28" s="951"/>
      <c r="C28" s="93" t="s">
        <v>56</v>
      </c>
      <c r="D28" s="94">
        <f>D27*D26</f>
        <v>3435800</v>
      </c>
      <c r="E28" s="95">
        <f>E27*E26</f>
        <v>0</v>
      </c>
      <c r="F28" s="95">
        <f>F27*F26</f>
        <v>0</v>
      </c>
      <c r="G28" s="95">
        <f>G27*G26</f>
        <v>224600</v>
      </c>
      <c r="H28" s="96">
        <f>H27*H26</f>
        <v>165200</v>
      </c>
      <c r="I28" s="754">
        <f>I27*I26*10</f>
        <v>34358000</v>
      </c>
      <c r="J28" s="95">
        <f>J27*J26*10</f>
        <v>0</v>
      </c>
      <c r="K28" s="95">
        <f>K27*K26*10</f>
        <v>0</v>
      </c>
      <c r="L28" s="95">
        <f>L27*L26*10</f>
        <v>2246000</v>
      </c>
      <c r="M28" s="96">
        <f>M27*M26*10</f>
        <v>1652000</v>
      </c>
      <c r="N28" s="97">
        <f>SUM(D28:H28)</f>
        <v>3825600</v>
      </c>
      <c r="O28" s="98">
        <f>SUM(I28:M28)</f>
        <v>38256000</v>
      </c>
      <c r="P28" s="95">
        <f>P27*P26</f>
        <v>0</v>
      </c>
      <c r="Q28" s="99">
        <f>N28+O28+P28</f>
        <v>42081600</v>
      </c>
    </row>
    <row r="29" spans="1:247" ht="13.5" thickBot="1" x14ac:dyDescent="0.25">
      <c r="A29" s="950"/>
      <c r="B29" s="940" t="str">
        <f>+'B) Reajuste Tarifas y Ocupación'!B13</f>
        <v>Jornada completa</v>
      </c>
      <c r="C29" s="86" t="s">
        <v>54</v>
      </c>
      <c r="D29" s="100">
        <f t="shared" ref="D29:H30" si="3">+I29</f>
        <v>136800</v>
      </c>
      <c r="E29" s="101">
        <f t="shared" si="3"/>
        <v>164200</v>
      </c>
      <c r="F29" s="101">
        <f t="shared" si="3"/>
        <v>164200</v>
      </c>
      <c r="G29" s="101">
        <f t="shared" si="3"/>
        <v>230900</v>
      </c>
      <c r="H29" s="102">
        <f t="shared" si="3"/>
        <v>344400</v>
      </c>
      <c r="I29" s="755">
        <f>+'B) Reajuste Tarifas y Ocupación'!M13</f>
        <v>136800</v>
      </c>
      <c r="J29" s="101">
        <f>+'B) Reajuste Tarifas y Ocupación'!N13</f>
        <v>164200</v>
      </c>
      <c r="K29" s="101">
        <f>+'B) Reajuste Tarifas y Ocupación'!O13</f>
        <v>164200</v>
      </c>
      <c r="L29" s="101">
        <f>+'B) Reajuste Tarifas y Ocupación'!P13</f>
        <v>230900</v>
      </c>
      <c r="M29" s="102">
        <f>+'B) Reajuste Tarifas y Ocupación'!Q13</f>
        <v>344400</v>
      </c>
      <c r="N29" s="90"/>
      <c r="O29" s="91"/>
      <c r="P29" s="103">
        <f>+'B) Reajuste Tarifas y Ocupación'!C13</f>
        <v>129400</v>
      </c>
      <c r="Q29" s="941"/>
    </row>
    <row r="30" spans="1:247" ht="13.5" thickBot="1" x14ac:dyDescent="0.25">
      <c r="A30" s="950"/>
      <c r="B30" s="940"/>
      <c r="C30" s="86" t="s">
        <v>55</v>
      </c>
      <c r="D30" s="87">
        <f t="shared" si="3"/>
        <v>84</v>
      </c>
      <c r="E30" s="88">
        <f t="shared" si="3"/>
        <v>0</v>
      </c>
      <c r="F30" s="88">
        <f t="shared" si="3"/>
        <v>0</v>
      </c>
      <c r="G30" s="88">
        <f t="shared" si="3"/>
        <v>1</v>
      </c>
      <c r="H30" s="89">
        <f t="shared" si="3"/>
        <v>0</v>
      </c>
      <c r="I30" s="753">
        <f>+'B) Reajuste Tarifas y Ocupación'!C37</f>
        <v>84</v>
      </c>
      <c r="J30" s="88">
        <f>+'B) Reajuste Tarifas y Ocupación'!D37</f>
        <v>0</v>
      </c>
      <c r="K30" s="88">
        <f>+'B) Reajuste Tarifas y Ocupación'!E37</f>
        <v>0</v>
      </c>
      <c r="L30" s="88">
        <f>+'B) Reajuste Tarifas y Ocupación'!F37</f>
        <v>1</v>
      </c>
      <c r="M30" s="89">
        <f>+'B) Reajuste Tarifas y Ocupación'!G37</f>
        <v>0</v>
      </c>
      <c r="N30" s="90"/>
      <c r="O30" s="91"/>
      <c r="P30" s="92">
        <v>15</v>
      </c>
      <c r="Q30" s="941"/>
    </row>
    <row r="31" spans="1:247" ht="13.5" thickBot="1" x14ac:dyDescent="0.25">
      <c r="A31" s="950"/>
      <c r="B31" s="940"/>
      <c r="C31" s="93" t="s">
        <v>56</v>
      </c>
      <c r="D31" s="94">
        <f>D30*D29</f>
        <v>11491200</v>
      </c>
      <c r="E31" s="95">
        <f>E30*E29</f>
        <v>0</v>
      </c>
      <c r="F31" s="95">
        <f>F30*F29</f>
        <v>0</v>
      </c>
      <c r="G31" s="95">
        <f>G30*G29</f>
        <v>230900</v>
      </c>
      <c r="H31" s="96">
        <f>H30*H29</f>
        <v>0</v>
      </c>
      <c r="I31" s="754">
        <f>I30*I29*10</f>
        <v>114912000</v>
      </c>
      <c r="J31" s="95">
        <f>J30*J29*10</f>
        <v>0</v>
      </c>
      <c r="K31" s="95">
        <f>K30*K29*10</f>
        <v>0</v>
      </c>
      <c r="L31" s="95">
        <f>L30*L29*10</f>
        <v>2309000</v>
      </c>
      <c r="M31" s="96">
        <f>M30*M29*10</f>
        <v>0</v>
      </c>
      <c r="N31" s="97">
        <f>SUM(D31:H31)</f>
        <v>11722100</v>
      </c>
      <c r="O31" s="98">
        <f>SUM(I31:M31)</f>
        <v>117221000</v>
      </c>
      <c r="P31" s="95">
        <f>P30*P29</f>
        <v>1941000</v>
      </c>
      <c r="Q31" s="99">
        <f>N31+O31+P31</f>
        <v>130884100</v>
      </c>
    </row>
    <row r="32" spans="1:247" ht="15" x14ac:dyDescent="0.2">
      <c r="A32" s="950"/>
      <c r="B32" s="947" t="s">
        <v>57</v>
      </c>
      <c r="C32" s="947"/>
      <c r="D32" s="104">
        <f t="shared" ref="D32:Q32" si="4">+D28+D31</f>
        <v>14927000</v>
      </c>
      <c r="E32" s="105">
        <f t="shared" si="4"/>
        <v>0</v>
      </c>
      <c r="F32" s="105">
        <f t="shared" si="4"/>
        <v>0</v>
      </c>
      <c r="G32" s="105">
        <f t="shared" si="4"/>
        <v>455500</v>
      </c>
      <c r="H32" s="106">
        <f t="shared" si="4"/>
        <v>165200</v>
      </c>
      <c r="I32" s="107">
        <f t="shared" si="4"/>
        <v>149270000</v>
      </c>
      <c r="J32" s="105">
        <f t="shared" si="4"/>
        <v>0</v>
      </c>
      <c r="K32" s="105">
        <f t="shared" si="4"/>
        <v>0</v>
      </c>
      <c r="L32" s="105">
        <f t="shared" si="4"/>
        <v>4555000</v>
      </c>
      <c r="M32" s="106">
        <f t="shared" si="4"/>
        <v>1652000</v>
      </c>
      <c r="N32" s="107">
        <f t="shared" si="4"/>
        <v>15547700</v>
      </c>
      <c r="O32" s="105">
        <f t="shared" si="4"/>
        <v>155477000</v>
      </c>
      <c r="P32" s="105">
        <f t="shared" si="4"/>
        <v>1941000</v>
      </c>
      <c r="Q32" s="106">
        <f t="shared" si="4"/>
        <v>172965700</v>
      </c>
    </row>
    <row r="33" spans="1:17" x14ac:dyDescent="0.2">
      <c r="A33" s="946" t="str">
        <f>+'B) Reajuste Tarifas y Ocupación'!A14</f>
        <v>Jardín Infantil Los Delfines</v>
      </c>
      <c r="B33" s="940" t="str">
        <f>+'B) Reajuste Tarifas y Ocupación'!B14</f>
        <v>Media jornada</v>
      </c>
      <c r="C33" s="86" t="s">
        <v>54</v>
      </c>
      <c r="D33" s="100">
        <f t="shared" ref="D33:H34" si="5">+I33</f>
        <v>83800</v>
      </c>
      <c r="E33" s="101">
        <f t="shared" si="5"/>
        <v>100500</v>
      </c>
      <c r="F33" s="101">
        <f t="shared" si="5"/>
        <v>100500</v>
      </c>
      <c r="G33" s="101">
        <f t="shared" si="5"/>
        <v>112300</v>
      </c>
      <c r="H33" s="102">
        <f t="shared" si="5"/>
        <v>165200</v>
      </c>
      <c r="I33" s="755">
        <f>+'B) Reajuste Tarifas y Ocupación'!M14</f>
        <v>83800</v>
      </c>
      <c r="J33" s="101">
        <f>+'B) Reajuste Tarifas y Ocupación'!N14</f>
        <v>100500</v>
      </c>
      <c r="K33" s="101">
        <f>+'B) Reajuste Tarifas y Ocupación'!O14</f>
        <v>100500</v>
      </c>
      <c r="L33" s="101">
        <f>+'B) Reajuste Tarifas y Ocupación'!P14</f>
        <v>112300</v>
      </c>
      <c r="M33" s="102">
        <f>+'B) Reajuste Tarifas y Ocupación'!Q14</f>
        <v>165200</v>
      </c>
      <c r="N33" s="90"/>
      <c r="O33" s="91"/>
      <c r="P33" s="103">
        <f>+'B) Reajuste Tarifas y Ocupación'!C14</f>
        <v>79200</v>
      </c>
      <c r="Q33" s="941"/>
    </row>
    <row r="34" spans="1:17" x14ac:dyDescent="0.2">
      <c r="A34" s="946"/>
      <c r="B34" s="940"/>
      <c r="C34" s="86" t="s">
        <v>55</v>
      </c>
      <c r="D34" s="87">
        <f t="shared" si="5"/>
        <v>0</v>
      </c>
      <c r="E34" s="88">
        <f t="shared" si="5"/>
        <v>0</v>
      </c>
      <c r="F34" s="88">
        <f t="shared" si="5"/>
        <v>0</v>
      </c>
      <c r="G34" s="88">
        <f t="shared" si="5"/>
        <v>0</v>
      </c>
      <c r="H34" s="89">
        <f t="shared" si="5"/>
        <v>0</v>
      </c>
      <c r="I34" s="753">
        <f>+'B) Reajuste Tarifas y Ocupación'!C38</f>
        <v>0</v>
      </c>
      <c r="J34" s="88">
        <f>+'B) Reajuste Tarifas y Ocupación'!D38</f>
        <v>0</v>
      </c>
      <c r="K34" s="88">
        <f>+'B) Reajuste Tarifas y Ocupación'!E38</f>
        <v>0</v>
      </c>
      <c r="L34" s="88">
        <f>+'B) Reajuste Tarifas y Ocupación'!F38</f>
        <v>0</v>
      </c>
      <c r="M34" s="89">
        <f>+'B) Reajuste Tarifas y Ocupación'!G38</f>
        <v>0</v>
      </c>
      <c r="N34" s="90"/>
      <c r="O34" s="91"/>
      <c r="P34" s="798">
        <v>0</v>
      </c>
      <c r="Q34" s="941"/>
    </row>
    <row r="35" spans="1:17" x14ac:dyDescent="0.2">
      <c r="A35" s="946"/>
      <c r="B35" s="940"/>
      <c r="C35" s="93" t="s">
        <v>56</v>
      </c>
      <c r="D35" s="94">
        <f>D34*D33</f>
        <v>0</v>
      </c>
      <c r="E35" s="95">
        <f>E34*E33</f>
        <v>0</v>
      </c>
      <c r="F35" s="95">
        <f>F34*F33</f>
        <v>0</v>
      </c>
      <c r="G35" s="95">
        <f>G34*G33</f>
        <v>0</v>
      </c>
      <c r="H35" s="96">
        <f>H34*H33</f>
        <v>0</v>
      </c>
      <c r="I35" s="754">
        <f>I34*I33*10</f>
        <v>0</v>
      </c>
      <c r="J35" s="95">
        <f>J34*J33*10</f>
        <v>0</v>
      </c>
      <c r="K35" s="95">
        <f>K34*K33*10</f>
        <v>0</v>
      </c>
      <c r="L35" s="95">
        <f>L34*L33*10</f>
        <v>0</v>
      </c>
      <c r="M35" s="96">
        <f>M34*M33*10</f>
        <v>0</v>
      </c>
      <c r="N35" s="97">
        <f>SUM(D35:H35)</f>
        <v>0</v>
      </c>
      <c r="O35" s="98">
        <f>SUM(I35:M35)</f>
        <v>0</v>
      </c>
      <c r="P35" s="95">
        <f>P34*P33</f>
        <v>0</v>
      </c>
      <c r="Q35" s="99">
        <f>N35+O35+P35</f>
        <v>0</v>
      </c>
    </row>
    <row r="36" spans="1:17" x14ac:dyDescent="0.2">
      <c r="A36" s="946"/>
      <c r="B36" s="940" t="str">
        <f>+'B) Reajuste Tarifas y Ocupación'!B13</f>
        <v>Jornada completa</v>
      </c>
      <c r="C36" s="86" t="s">
        <v>54</v>
      </c>
      <c r="D36" s="100">
        <f t="shared" ref="D36:H37" si="6">+I36</f>
        <v>136800</v>
      </c>
      <c r="E36" s="101">
        <f t="shared" si="6"/>
        <v>164200</v>
      </c>
      <c r="F36" s="101">
        <f t="shared" si="6"/>
        <v>164200</v>
      </c>
      <c r="G36" s="101">
        <f t="shared" si="6"/>
        <v>230900</v>
      </c>
      <c r="H36" s="102">
        <f t="shared" si="6"/>
        <v>344400</v>
      </c>
      <c r="I36" s="755">
        <f>+'B) Reajuste Tarifas y Ocupación'!M15</f>
        <v>136800</v>
      </c>
      <c r="J36" s="101">
        <f>+'B) Reajuste Tarifas y Ocupación'!N15</f>
        <v>164200</v>
      </c>
      <c r="K36" s="101">
        <f>+'B) Reajuste Tarifas y Ocupación'!O15</f>
        <v>164200</v>
      </c>
      <c r="L36" s="101">
        <f>+'B) Reajuste Tarifas y Ocupación'!P15</f>
        <v>230900</v>
      </c>
      <c r="M36" s="102">
        <f>+'B) Reajuste Tarifas y Ocupación'!Q15</f>
        <v>344400</v>
      </c>
      <c r="N36" s="90"/>
      <c r="O36" s="91"/>
      <c r="P36" s="103">
        <f>+'B) Reajuste Tarifas y Ocupación'!C15</f>
        <v>129400</v>
      </c>
      <c r="Q36" s="941"/>
    </row>
    <row r="37" spans="1:17" x14ac:dyDescent="0.2">
      <c r="A37" s="946"/>
      <c r="B37" s="940"/>
      <c r="C37" s="86" t="s">
        <v>55</v>
      </c>
      <c r="D37" s="87">
        <f t="shared" si="6"/>
        <v>120</v>
      </c>
      <c r="E37" s="88">
        <f t="shared" si="6"/>
        <v>0</v>
      </c>
      <c r="F37" s="88">
        <f t="shared" si="6"/>
        <v>0</v>
      </c>
      <c r="G37" s="88">
        <f t="shared" si="6"/>
        <v>0</v>
      </c>
      <c r="H37" s="89">
        <f t="shared" si="6"/>
        <v>0</v>
      </c>
      <c r="I37" s="753">
        <f>+'B) Reajuste Tarifas y Ocupación'!C39</f>
        <v>120</v>
      </c>
      <c r="J37" s="88">
        <f>+'B) Reajuste Tarifas y Ocupación'!D39</f>
        <v>0</v>
      </c>
      <c r="K37" s="88">
        <f>+'B) Reajuste Tarifas y Ocupación'!E39</f>
        <v>0</v>
      </c>
      <c r="L37" s="88">
        <f>+'B) Reajuste Tarifas y Ocupación'!F39</f>
        <v>0</v>
      </c>
      <c r="M37" s="89">
        <f>+'B) Reajuste Tarifas y Ocupación'!G39</f>
        <v>0</v>
      </c>
      <c r="N37" s="90"/>
      <c r="O37" s="91"/>
      <c r="P37" s="92">
        <v>8</v>
      </c>
      <c r="Q37" s="941"/>
    </row>
    <row r="38" spans="1:17" x14ac:dyDescent="0.2">
      <c r="A38" s="946"/>
      <c r="B38" s="940"/>
      <c r="C38" s="93" t="s">
        <v>56</v>
      </c>
      <c r="D38" s="94">
        <f>D37*D36</f>
        <v>16416000</v>
      </c>
      <c r="E38" s="95">
        <f>E37*E36</f>
        <v>0</v>
      </c>
      <c r="F38" s="95">
        <f>F37*F36</f>
        <v>0</v>
      </c>
      <c r="G38" s="95">
        <f>G37*G36</f>
        <v>0</v>
      </c>
      <c r="H38" s="96">
        <f>H37*H36</f>
        <v>0</v>
      </c>
      <c r="I38" s="754">
        <f>I37*I36*10</f>
        <v>164160000</v>
      </c>
      <c r="J38" s="95">
        <f>J37*J36*10</f>
        <v>0</v>
      </c>
      <c r="K38" s="95">
        <f>K37*K36*10</f>
        <v>0</v>
      </c>
      <c r="L38" s="95">
        <f>L37*L36*10</f>
        <v>0</v>
      </c>
      <c r="M38" s="96">
        <f>M37*M36*10</f>
        <v>0</v>
      </c>
      <c r="N38" s="97">
        <f>SUM(D38:H38)</f>
        <v>16416000</v>
      </c>
      <c r="O38" s="98">
        <f>SUM(I38:M38)</f>
        <v>164160000</v>
      </c>
      <c r="P38" s="95">
        <f>P37*P36</f>
        <v>1035200</v>
      </c>
      <c r="Q38" s="99">
        <f>N38+O38+P38</f>
        <v>181611200</v>
      </c>
    </row>
    <row r="39" spans="1:17" ht="15" x14ac:dyDescent="0.2">
      <c r="A39" s="946"/>
      <c r="B39" s="947" t="s">
        <v>57</v>
      </c>
      <c r="C39" s="947"/>
      <c r="D39" s="104">
        <f t="shared" ref="D39:Q39" si="7">+D35+D38</f>
        <v>16416000</v>
      </c>
      <c r="E39" s="105">
        <f t="shared" si="7"/>
        <v>0</v>
      </c>
      <c r="F39" s="105">
        <f t="shared" si="7"/>
        <v>0</v>
      </c>
      <c r="G39" s="105">
        <f t="shared" si="7"/>
        <v>0</v>
      </c>
      <c r="H39" s="106">
        <f t="shared" si="7"/>
        <v>0</v>
      </c>
      <c r="I39" s="107">
        <f t="shared" si="7"/>
        <v>164160000</v>
      </c>
      <c r="J39" s="105">
        <f t="shared" si="7"/>
        <v>0</v>
      </c>
      <c r="K39" s="105">
        <f t="shared" si="7"/>
        <v>0</v>
      </c>
      <c r="L39" s="105">
        <f t="shared" si="7"/>
        <v>0</v>
      </c>
      <c r="M39" s="106">
        <f t="shared" si="7"/>
        <v>0</v>
      </c>
      <c r="N39" s="107">
        <f t="shared" si="7"/>
        <v>16416000</v>
      </c>
      <c r="O39" s="105">
        <f>+O35+O38</f>
        <v>164160000</v>
      </c>
      <c r="P39" s="105">
        <f t="shared" si="7"/>
        <v>1035200</v>
      </c>
      <c r="Q39" s="106">
        <f t="shared" si="7"/>
        <v>181611200</v>
      </c>
    </row>
    <row r="40" spans="1:17" x14ac:dyDescent="0.2">
      <c r="A40" s="946" t="str">
        <f>+'B) Reajuste Tarifas y Ocupación'!A16</f>
        <v>Jardín Infantil Pecesitos de Colores</v>
      </c>
      <c r="B40" s="940" t="str">
        <f>+'B) Reajuste Tarifas y Ocupación'!B16</f>
        <v>Media jornada</v>
      </c>
      <c r="C40" s="86" t="s">
        <v>54</v>
      </c>
      <c r="D40" s="100">
        <f t="shared" ref="D40:H41" si="8">+I40</f>
        <v>33700</v>
      </c>
      <c r="E40" s="101">
        <f t="shared" si="8"/>
        <v>40400</v>
      </c>
      <c r="F40" s="101">
        <f t="shared" si="8"/>
        <v>40400</v>
      </c>
      <c r="G40" s="101">
        <f t="shared" si="8"/>
        <v>42300</v>
      </c>
      <c r="H40" s="102">
        <f t="shared" si="8"/>
        <v>50600</v>
      </c>
      <c r="I40" s="755">
        <f>+'B) Reajuste Tarifas y Ocupación'!M16</f>
        <v>33700</v>
      </c>
      <c r="J40" s="101">
        <f>+'B) Reajuste Tarifas y Ocupación'!N16</f>
        <v>40400</v>
      </c>
      <c r="K40" s="101">
        <f>+'B) Reajuste Tarifas y Ocupación'!O16</f>
        <v>40400</v>
      </c>
      <c r="L40" s="101">
        <f>+'B) Reajuste Tarifas y Ocupación'!P16</f>
        <v>42300</v>
      </c>
      <c r="M40" s="102">
        <f>+'B) Reajuste Tarifas y Ocupación'!Q16</f>
        <v>50600</v>
      </c>
      <c r="N40" s="90"/>
      <c r="O40" s="91"/>
      <c r="P40" s="103">
        <f>+'B) Reajuste Tarifas y Ocupación'!C19</f>
        <v>0</v>
      </c>
      <c r="Q40" s="941"/>
    </row>
    <row r="41" spans="1:17" x14ac:dyDescent="0.2">
      <c r="A41" s="946"/>
      <c r="B41" s="940"/>
      <c r="C41" s="86" t="s">
        <v>55</v>
      </c>
      <c r="D41" s="87">
        <f>+I41</f>
        <v>21</v>
      </c>
      <c r="E41" s="88">
        <f t="shared" si="8"/>
        <v>0</v>
      </c>
      <c r="F41" s="88">
        <f t="shared" si="8"/>
        <v>0</v>
      </c>
      <c r="G41" s="88">
        <f t="shared" si="8"/>
        <v>2</v>
      </c>
      <c r="H41" s="89">
        <f t="shared" si="8"/>
        <v>0</v>
      </c>
      <c r="I41" s="753">
        <f>+'B) Reajuste Tarifas y Ocupación'!C40</f>
        <v>21</v>
      </c>
      <c r="J41" s="88">
        <f>+'B) Reajuste Tarifas y Ocupación'!D40</f>
        <v>0</v>
      </c>
      <c r="K41" s="88">
        <f>+'B) Reajuste Tarifas y Ocupación'!E40</f>
        <v>0</v>
      </c>
      <c r="L41" s="88">
        <f>+'B) Reajuste Tarifas y Ocupación'!F40</f>
        <v>2</v>
      </c>
      <c r="M41" s="89">
        <f>+'B) Reajuste Tarifas y Ocupación'!G40</f>
        <v>0</v>
      </c>
      <c r="N41" s="90"/>
      <c r="O41" s="91"/>
      <c r="P41" s="92">
        <v>0</v>
      </c>
      <c r="Q41" s="941"/>
    </row>
    <row r="42" spans="1:17" x14ac:dyDescent="0.2">
      <c r="A42" s="946"/>
      <c r="B42" s="940"/>
      <c r="C42" s="93" t="s">
        <v>56</v>
      </c>
      <c r="D42" s="94">
        <f>D41*D40</f>
        <v>707700</v>
      </c>
      <c r="E42" s="95">
        <f>E41*E40</f>
        <v>0</v>
      </c>
      <c r="F42" s="95">
        <f>F41*F40</f>
        <v>0</v>
      </c>
      <c r="G42" s="95">
        <f>G41*G40</f>
        <v>84600</v>
      </c>
      <c r="H42" s="96">
        <f>H41*H40</f>
        <v>0</v>
      </c>
      <c r="I42" s="754">
        <f>I41*I40*10</f>
        <v>7077000</v>
      </c>
      <c r="J42" s="95">
        <f>J41*J40*10</f>
        <v>0</v>
      </c>
      <c r="K42" s="95">
        <f>K41*K40*10</f>
        <v>0</v>
      </c>
      <c r="L42" s="95">
        <f>L41*L40*10</f>
        <v>846000</v>
      </c>
      <c r="M42" s="96">
        <f>M41*M40*10</f>
        <v>0</v>
      </c>
      <c r="N42" s="97">
        <f>SUM(D42:H42)</f>
        <v>792300</v>
      </c>
      <c r="O42" s="98">
        <f>SUM(I42:M42)</f>
        <v>7923000</v>
      </c>
      <c r="P42" s="95">
        <f>P41*P40</f>
        <v>0</v>
      </c>
      <c r="Q42" s="99">
        <f>N42+O42+P42</f>
        <v>8715300</v>
      </c>
    </row>
    <row r="43" spans="1:17" ht="15.75" customHeight="1" x14ac:dyDescent="0.2">
      <c r="A43" s="946"/>
      <c r="B43" s="947" t="s">
        <v>57</v>
      </c>
      <c r="C43" s="947"/>
      <c r="D43" s="104">
        <f t="shared" ref="D43:Q43" si="9">+D42</f>
        <v>707700</v>
      </c>
      <c r="E43" s="105">
        <f t="shared" si="9"/>
        <v>0</v>
      </c>
      <c r="F43" s="105">
        <f t="shared" si="9"/>
        <v>0</v>
      </c>
      <c r="G43" s="105">
        <f t="shared" si="9"/>
        <v>84600</v>
      </c>
      <c r="H43" s="106">
        <f t="shared" si="9"/>
        <v>0</v>
      </c>
      <c r="I43" s="107">
        <f t="shared" si="9"/>
        <v>7077000</v>
      </c>
      <c r="J43" s="105">
        <f t="shared" si="9"/>
        <v>0</v>
      </c>
      <c r="K43" s="105">
        <f t="shared" si="9"/>
        <v>0</v>
      </c>
      <c r="L43" s="105">
        <f t="shared" si="9"/>
        <v>846000</v>
      </c>
      <c r="M43" s="106">
        <f t="shared" si="9"/>
        <v>0</v>
      </c>
      <c r="N43" s="107">
        <f t="shared" si="9"/>
        <v>792300</v>
      </c>
      <c r="O43" s="105">
        <f t="shared" si="9"/>
        <v>7923000</v>
      </c>
      <c r="P43" s="105">
        <f t="shared" si="9"/>
        <v>0</v>
      </c>
      <c r="Q43" s="106">
        <f t="shared" si="9"/>
        <v>8715300</v>
      </c>
    </row>
    <row r="44" spans="1:17" ht="13.5" thickBot="1" x14ac:dyDescent="0.25">
      <c r="A44" s="948" t="str">
        <f>+'B) Reajuste Tarifas y Ocupación'!A17</f>
        <v>Jardín Infantil Caracolito de Mar</v>
      </c>
      <c r="B44" s="940" t="str">
        <f>+'B) Reajuste Tarifas y Ocupación'!B17</f>
        <v>Media jornada</v>
      </c>
      <c r="C44" s="86" t="s">
        <v>54</v>
      </c>
      <c r="D44" s="108"/>
      <c r="E44" s="109"/>
      <c r="F44" s="109"/>
      <c r="G44" s="109"/>
      <c r="H44" s="110"/>
      <c r="I44" s="756"/>
      <c r="J44" s="109"/>
      <c r="K44" s="109"/>
      <c r="L44" s="109"/>
      <c r="M44" s="110"/>
      <c r="N44" s="90"/>
      <c r="O44" s="91"/>
      <c r="P44" s="109"/>
      <c r="Q44" s="949"/>
    </row>
    <row r="45" spans="1:17" ht="13.5" thickBot="1" x14ac:dyDescent="0.25">
      <c r="A45" s="948"/>
      <c r="B45" s="940"/>
      <c r="C45" s="86" t="s">
        <v>55</v>
      </c>
      <c r="D45" s="111"/>
      <c r="E45" s="112"/>
      <c r="F45" s="112"/>
      <c r="G45" s="112"/>
      <c r="H45" s="113"/>
      <c r="I45" s="757"/>
      <c r="J45" s="112"/>
      <c r="K45" s="112"/>
      <c r="L45" s="112"/>
      <c r="M45" s="113"/>
      <c r="N45" s="90"/>
      <c r="O45" s="91"/>
      <c r="P45" s="114"/>
      <c r="Q45" s="949"/>
    </row>
    <row r="46" spans="1:17" ht="13.5" thickBot="1" x14ac:dyDescent="0.25">
      <c r="A46" s="948"/>
      <c r="B46" s="940"/>
      <c r="C46" s="93" t="s">
        <v>56</v>
      </c>
      <c r="D46" s="115">
        <f>D45*D44</f>
        <v>0</v>
      </c>
      <c r="E46" s="116">
        <f>E45*E44</f>
        <v>0</v>
      </c>
      <c r="F46" s="116">
        <f>F45*F44</f>
        <v>0</v>
      </c>
      <c r="G46" s="116">
        <f>G45*G44</f>
        <v>0</v>
      </c>
      <c r="H46" s="117">
        <f>H45*H44</f>
        <v>0</v>
      </c>
      <c r="I46" s="758">
        <f>I45*I44*10</f>
        <v>0</v>
      </c>
      <c r="J46" s="116">
        <f>J45*J44*10</f>
        <v>0</v>
      </c>
      <c r="K46" s="116">
        <f>K45*K44*10</f>
        <v>0</v>
      </c>
      <c r="L46" s="116">
        <f>L45*L44*10</f>
        <v>0</v>
      </c>
      <c r="M46" s="117">
        <f>M45*M44*10</f>
        <v>0</v>
      </c>
      <c r="N46" s="118">
        <f>SUM(D46:H46)</f>
        <v>0</v>
      </c>
      <c r="O46" s="119">
        <f>SUM(I46:M46)</f>
        <v>0</v>
      </c>
      <c r="P46" s="116">
        <f>P45*P44</f>
        <v>0</v>
      </c>
      <c r="Q46" s="120">
        <f>N46+O46+P46</f>
        <v>0</v>
      </c>
    </row>
    <row r="47" spans="1:17" ht="13.5" thickBot="1" x14ac:dyDescent="0.25">
      <c r="A47" s="948"/>
      <c r="B47" s="940" t="str">
        <f>+'B) Reajuste Tarifas y Ocupación'!B18</f>
        <v>Jornada completa</v>
      </c>
      <c r="C47" s="86" t="s">
        <v>54</v>
      </c>
      <c r="D47" s="108"/>
      <c r="E47" s="109"/>
      <c r="F47" s="109"/>
      <c r="G47" s="109"/>
      <c r="H47" s="110"/>
      <c r="I47" s="756"/>
      <c r="J47" s="109"/>
      <c r="K47" s="109"/>
      <c r="L47" s="109"/>
      <c r="M47" s="110"/>
      <c r="N47" s="90"/>
      <c r="O47" s="91"/>
      <c r="P47" s="109"/>
      <c r="Q47" s="949"/>
    </row>
    <row r="48" spans="1:17" ht="13.5" thickBot="1" x14ac:dyDescent="0.25">
      <c r="A48" s="948"/>
      <c r="B48" s="940"/>
      <c r="C48" s="86" t="s">
        <v>55</v>
      </c>
      <c r="D48" s="111"/>
      <c r="E48" s="112"/>
      <c r="F48" s="112"/>
      <c r="G48" s="112"/>
      <c r="H48" s="113"/>
      <c r="I48" s="757"/>
      <c r="J48" s="112"/>
      <c r="K48" s="112"/>
      <c r="L48" s="112"/>
      <c r="M48" s="113"/>
      <c r="N48" s="90"/>
      <c r="O48" s="91"/>
      <c r="P48" s="114"/>
      <c r="Q48" s="949"/>
    </row>
    <row r="49" spans="1:17" ht="13.5" thickBot="1" x14ac:dyDescent="0.25">
      <c r="A49" s="948"/>
      <c r="B49" s="940"/>
      <c r="C49" s="93" t="s">
        <v>56</v>
      </c>
      <c r="D49" s="115">
        <f>D48*D47</f>
        <v>0</v>
      </c>
      <c r="E49" s="116">
        <f>E48*E47</f>
        <v>0</v>
      </c>
      <c r="F49" s="116">
        <f>F48*F47</f>
        <v>0</v>
      </c>
      <c r="G49" s="116">
        <f>G48*G47</f>
        <v>0</v>
      </c>
      <c r="H49" s="117">
        <f>H48*H47</f>
        <v>0</v>
      </c>
      <c r="I49" s="758">
        <f>I48*I47*10</f>
        <v>0</v>
      </c>
      <c r="J49" s="116">
        <f>J48*J47*10</f>
        <v>0</v>
      </c>
      <c r="K49" s="116">
        <f>K48*K47*10</f>
        <v>0</v>
      </c>
      <c r="L49" s="116">
        <f>L48*L47*10</f>
        <v>0</v>
      </c>
      <c r="M49" s="117">
        <f>M48*M47*10</f>
        <v>0</v>
      </c>
      <c r="N49" s="118">
        <f>SUM(D49:H49)</f>
        <v>0</v>
      </c>
      <c r="O49" s="119">
        <f>SUM(I49:M49)</f>
        <v>0</v>
      </c>
      <c r="P49" s="116">
        <f>P48*P47</f>
        <v>0</v>
      </c>
      <c r="Q49" s="120">
        <f>N49+O49+P49</f>
        <v>0</v>
      </c>
    </row>
    <row r="50" spans="1:17" ht="15.75" thickBot="1" x14ac:dyDescent="0.25">
      <c r="A50" s="948"/>
      <c r="B50" s="945" t="s">
        <v>57</v>
      </c>
      <c r="C50" s="945"/>
      <c r="D50" s="121">
        <f t="shared" ref="D50:Q50" si="10">+D46+D49</f>
        <v>0</v>
      </c>
      <c r="E50" s="122">
        <f t="shared" si="10"/>
        <v>0</v>
      </c>
      <c r="F50" s="122">
        <f t="shared" si="10"/>
        <v>0</v>
      </c>
      <c r="G50" s="122">
        <f t="shared" si="10"/>
        <v>0</v>
      </c>
      <c r="H50" s="123">
        <f t="shared" si="10"/>
        <v>0</v>
      </c>
      <c r="I50" s="124">
        <f t="shared" si="10"/>
        <v>0</v>
      </c>
      <c r="J50" s="122">
        <f t="shared" si="10"/>
        <v>0</v>
      </c>
      <c r="K50" s="122">
        <f t="shared" si="10"/>
        <v>0</v>
      </c>
      <c r="L50" s="122">
        <f t="shared" si="10"/>
        <v>0</v>
      </c>
      <c r="M50" s="123">
        <f t="shared" si="10"/>
        <v>0</v>
      </c>
      <c r="N50" s="124">
        <f t="shared" si="10"/>
        <v>0</v>
      </c>
      <c r="O50" s="122">
        <f t="shared" si="10"/>
        <v>0</v>
      </c>
      <c r="P50" s="122">
        <f t="shared" si="10"/>
        <v>0</v>
      </c>
      <c r="Q50" s="123">
        <f t="shared" si="10"/>
        <v>0</v>
      </c>
    </row>
    <row r="51" spans="1:17" ht="13.5" thickBot="1" x14ac:dyDescent="0.25">
      <c r="A51" s="943" t="str">
        <f>+'B) Reajuste Tarifas y Ocupación'!A22</f>
        <v>Sala Cuna Caracolito de Mar</v>
      </c>
      <c r="B51" s="938" t="str">
        <f>+'B) Reajuste Tarifas y Ocupación'!B22</f>
        <v>Diurna</v>
      </c>
      <c r="C51" s="125" t="s">
        <v>54</v>
      </c>
      <c r="D51" s="799"/>
      <c r="E51" s="800">
        <f t="shared" ref="E51:H52" si="11">+J51</f>
        <v>393300</v>
      </c>
      <c r="F51" s="800">
        <f t="shared" si="11"/>
        <v>393300</v>
      </c>
      <c r="G51" s="800">
        <f t="shared" si="11"/>
        <v>409600</v>
      </c>
      <c r="H51" s="801">
        <f t="shared" si="11"/>
        <v>491600</v>
      </c>
      <c r="I51" s="802">
        <f>+'B) Reajuste Tarifas y Ocupación'!M22</f>
        <v>327700</v>
      </c>
      <c r="J51" s="800">
        <f>+'B) Reajuste Tarifas y Ocupación'!N22</f>
        <v>393300</v>
      </c>
      <c r="K51" s="800">
        <f>+'B) Reajuste Tarifas y Ocupación'!O22</f>
        <v>393300</v>
      </c>
      <c r="L51" s="800">
        <f>+'B) Reajuste Tarifas y Ocupación'!P22</f>
        <v>409600</v>
      </c>
      <c r="M51" s="801">
        <f>+'B) Reajuste Tarifas y Ocupación'!Q22</f>
        <v>491600</v>
      </c>
      <c r="N51" s="126"/>
      <c r="O51" s="127"/>
      <c r="P51" s="128"/>
      <c r="Q51" s="944"/>
    </row>
    <row r="52" spans="1:17" x14ac:dyDescent="0.2">
      <c r="A52" s="943"/>
      <c r="B52" s="938"/>
      <c r="C52" s="86" t="s">
        <v>55</v>
      </c>
      <c r="D52" s="803"/>
      <c r="E52" s="88">
        <f t="shared" si="11"/>
        <v>0</v>
      </c>
      <c r="F52" s="88">
        <f t="shared" si="11"/>
        <v>0</v>
      </c>
      <c r="G52" s="88">
        <f t="shared" si="11"/>
        <v>0</v>
      </c>
      <c r="H52" s="89">
        <f t="shared" si="11"/>
        <v>0</v>
      </c>
      <c r="I52" s="87">
        <f>+'B) Reajuste Tarifas y Ocupación'!C46</f>
        <v>33</v>
      </c>
      <c r="J52" s="88">
        <f>+'B) Reajuste Tarifas y Ocupación'!D46</f>
        <v>0</v>
      </c>
      <c r="K52" s="88">
        <f>+'B) Reajuste Tarifas y Ocupación'!E46</f>
        <v>0</v>
      </c>
      <c r="L52" s="88">
        <f>+'B) Reajuste Tarifas y Ocupación'!F46</f>
        <v>0</v>
      </c>
      <c r="M52" s="89">
        <f>+'B) Reajuste Tarifas y Ocupación'!G46</f>
        <v>0</v>
      </c>
      <c r="N52" s="90"/>
      <c r="O52" s="91"/>
      <c r="P52" s="112"/>
      <c r="Q52" s="944"/>
    </row>
    <row r="53" spans="1:17" x14ac:dyDescent="0.2">
      <c r="A53" s="943"/>
      <c r="B53" s="938"/>
      <c r="C53" s="93" t="s">
        <v>56</v>
      </c>
      <c r="D53" s="94">
        <f>D52*D51</f>
        <v>0</v>
      </c>
      <c r="E53" s="95">
        <f>E52*E51</f>
        <v>0</v>
      </c>
      <c r="F53" s="95">
        <f>F52*F51</f>
        <v>0</v>
      </c>
      <c r="G53" s="95">
        <f>G52*G51</f>
        <v>0</v>
      </c>
      <c r="H53" s="96">
        <f>H52*H51</f>
        <v>0</v>
      </c>
      <c r="I53" s="94">
        <f>I52*I51*12</f>
        <v>129769200</v>
      </c>
      <c r="J53" s="95">
        <f>J52*J51*12</f>
        <v>0</v>
      </c>
      <c r="K53" s="95">
        <f>K52*K51*12</f>
        <v>0</v>
      </c>
      <c r="L53" s="95">
        <f>L52*L51*12</f>
        <v>0</v>
      </c>
      <c r="M53" s="96">
        <f>M52*M51*12</f>
        <v>0</v>
      </c>
      <c r="N53" s="97">
        <f>SUM(D53:H53)</f>
        <v>0</v>
      </c>
      <c r="O53" s="98">
        <f>SUM(I53:M53)</f>
        <v>129769200</v>
      </c>
      <c r="P53" s="129">
        <f>P52*P51</f>
        <v>0</v>
      </c>
      <c r="Q53" s="99">
        <f>N53+O53+P53</f>
        <v>129769200</v>
      </c>
    </row>
    <row r="54" spans="1:17" x14ac:dyDescent="0.2">
      <c r="A54" s="943"/>
      <c r="B54" s="940" t="str">
        <f>+'B) Reajuste Tarifas y Ocupación'!B23</f>
        <v>Nocturna</v>
      </c>
      <c r="C54" s="86" t="s">
        <v>54</v>
      </c>
      <c r="D54" s="803"/>
      <c r="E54" s="804"/>
      <c r="F54" s="804"/>
      <c r="G54" s="804"/>
      <c r="H54" s="805"/>
      <c r="I54" s="803"/>
      <c r="J54" s="804"/>
      <c r="K54" s="804"/>
      <c r="L54" s="804"/>
      <c r="M54" s="805"/>
      <c r="N54" s="90"/>
      <c r="O54" s="91"/>
      <c r="P54" s="109"/>
      <c r="Q54" s="941"/>
    </row>
    <row r="55" spans="1:17" x14ac:dyDescent="0.2">
      <c r="A55" s="943"/>
      <c r="B55" s="940"/>
      <c r="C55" s="86" t="s">
        <v>55</v>
      </c>
      <c r="D55" s="803"/>
      <c r="E55" s="112"/>
      <c r="F55" s="112"/>
      <c r="G55" s="112"/>
      <c r="H55" s="113"/>
      <c r="I55" s="111"/>
      <c r="J55" s="112"/>
      <c r="K55" s="112"/>
      <c r="L55" s="112"/>
      <c r="M55" s="113"/>
      <c r="N55" s="90"/>
      <c r="O55" s="91"/>
      <c r="P55" s="112"/>
      <c r="Q55" s="941"/>
    </row>
    <row r="56" spans="1:17" x14ac:dyDescent="0.2">
      <c r="A56" s="943"/>
      <c r="B56" s="940"/>
      <c r="C56" s="93" t="s">
        <v>56</v>
      </c>
      <c r="D56" s="94">
        <f>D55*D54</f>
        <v>0</v>
      </c>
      <c r="E56" s="95">
        <f>E55*E54</f>
        <v>0</v>
      </c>
      <c r="F56" s="95">
        <f>F55*F54</f>
        <v>0</v>
      </c>
      <c r="G56" s="95">
        <f>G55*G54</f>
        <v>0</v>
      </c>
      <c r="H56" s="96">
        <f>H55*H54</f>
        <v>0</v>
      </c>
      <c r="I56" s="94">
        <f>I55*I54*12</f>
        <v>0</v>
      </c>
      <c r="J56" s="95">
        <f>J55*J54*12</f>
        <v>0</v>
      </c>
      <c r="K56" s="95">
        <f>K55*K54*12</f>
        <v>0</v>
      </c>
      <c r="L56" s="95">
        <f>L55*L54*12</f>
        <v>0</v>
      </c>
      <c r="M56" s="96">
        <f>M55*M54*12</f>
        <v>0</v>
      </c>
      <c r="N56" s="97">
        <f>SUM(D56:H56)</f>
        <v>0</v>
      </c>
      <c r="O56" s="98">
        <f>SUM(I56:M56)</f>
        <v>0</v>
      </c>
      <c r="P56" s="95">
        <f>P55*P54</f>
        <v>0</v>
      </c>
      <c r="Q56" s="99">
        <f>N56+O56+P56</f>
        <v>0</v>
      </c>
    </row>
    <row r="57" spans="1:17" x14ac:dyDescent="0.2">
      <c r="A57" s="943"/>
      <c r="B57" s="940" t="str">
        <f>+'B) Reajuste Tarifas y Ocupación'!B24</f>
        <v>Media Jornada</v>
      </c>
      <c r="C57" s="86" t="s">
        <v>54</v>
      </c>
      <c r="D57" s="803"/>
      <c r="E57" s="806">
        <f t="shared" ref="E57:H58" si="12">+J57</f>
        <v>236000</v>
      </c>
      <c r="F57" s="806">
        <f t="shared" si="12"/>
        <v>236000</v>
      </c>
      <c r="G57" s="806">
        <f t="shared" si="12"/>
        <v>295000</v>
      </c>
      <c r="H57" s="807">
        <f t="shared" si="12"/>
        <v>393300</v>
      </c>
      <c r="I57" s="808">
        <f>+'B) Reajuste Tarifas y Ocupación'!M24</f>
        <v>196700</v>
      </c>
      <c r="J57" s="806">
        <f>+'B) Reajuste Tarifas y Ocupación'!N24</f>
        <v>236000</v>
      </c>
      <c r="K57" s="806">
        <f>+'B) Reajuste Tarifas y Ocupación'!O24</f>
        <v>236000</v>
      </c>
      <c r="L57" s="806">
        <f>+'B) Reajuste Tarifas y Ocupación'!P24</f>
        <v>295000</v>
      </c>
      <c r="M57" s="807">
        <f>+'B) Reajuste Tarifas y Ocupación'!Q24</f>
        <v>393300</v>
      </c>
      <c r="N57" s="90"/>
      <c r="O57" s="91"/>
      <c r="P57" s="109"/>
      <c r="Q57" s="941"/>
    </row>
    <row r="58" spans="1:17" x14ac:dyDescent="0.2">
      <c r="A58" s="943"/>
      <c r="B58" s="940"/>
      <c r="C58" s="86" t="s">
        <v>55</v>
      </c>
      <c r="D58" s="803"/>
      <c r="E58" s="88">
        <f t="shared" si="12"/>
        <v>0</v>
      </c>
      <c r="F58" s="88">
        <f t="shared" si="12"/>
        <v>0</v>
      </c>
      <c r="G58" s="88">
        <f t="shared" si="12"/>
        <v>0</v>
      </c>
      <c r="H58" s="89">
        <f t="shared" si="12"/>
        <v>0</v>
      </c>
      <c r="I58" s="87">
        <f>+'B) Reajuste Tarifas y Ocupación'!C48</f>
        <v>0</v>
      </c>
      <c r="J58" s="88">
        <f>+'B) Reajuste Tarifas y Ocupación'!D48</f>
        <v>0</v>
      </c>
      <c r="K58" s="88">
        <f>+'B) Reajuste Tarifas y Ocupación'!E48</f>
        <v>0</v>
      </c>
      <c r="L58" s="88">
        <f>+'B) Reajuste Tarifas y Ocupación'!F48</f>
        <v>0</v>
      </c>
      <c r="M58" s="89">
        <f>+'B) Reajuste Tarifas y Ocupación'!G48</f>
        <v>0</v>
      </c>
      <c r="N58" s="90"/>
      <c r="O58" s="91"/>
      <c r="P58" s="112"/>
      <c r="Q58" s="941"/>
    </row>
    <row r="59" spans="1:17" x14ac:dyDescent="0.2">
      <c r="A59" s="943"/>
      <c r="B59" s="940"/>
      <c r="C59" s="93" t="s">
        <v>56</v>
      </c>
      <c r="D59" s="94">
        <f>D58*D57</f>
        <v>0</v>
      </c>
      <c r="E59" s="95">
        <f>E58*E57</f>
        <v>0</v>
      </c>
      <c r="F59" s="95">
        <f>F58*F57</f>
        <v>0</v>
      </c>
      <c r="G59" s="95">
        <f>G58*G57</f>
        <v>0</v>
      </c>
      <c r="H59" s="96">
        <f>H58*H57</f>
        <v>0</v>
      </c>
      <c r="I59" s="94">
        <f>I58*I57*12</f>
        <v>0</v>
      </c>
      <c r="J59" s="95">
        <f>J58*J57*12</f>
        <v>0</v>
      </c>
      <c r="K59" s="95">
        <f>K58*K57*12</f>
        <v>0</v>
      </c>
      <c r="L59" s="95">
        <f>L58*L57*12</f>
        <v>0</v>
      </c>
      <c r="M59" s="96">
        <f>M58*M57*12</f>
        <v>0</v>
      </c>
      <c r="N59" s="97">
        <f>SUM(D59:H59)</f>
        <v>0</v>
      </c>
      <c r="O59" s="98">
        <f>SUM(I59:M59)</f>
        <v>0</v>
      </c>
      <c r="P59" s="129">
        <f>P58*P57</f>
        <v>0</v>
      </c>
      <c r="Q59" s="99">
        <f>N59+O59+P59</f>
        <v>0</v>
      </c>
    </row>
    <row r="60" spans="1:17" ht="15" x14ac:dyDescent="0.2">
      <c r="A60" s="943"/>
      <c r="B60" s="945" t="s">
        <v>57</v>
      </c>
      <c r="C60" s="945"/>
      <c r="D60" s="130">
        <f t="shared" ref="D60:Q60" si="13">SUM(D53,D56,D59)</f>
        <v>0</v>
      </c>
      <c r="E60" s="131">
        <f t="shared" si="13"/>
        <v>0</v>
      </c>
      <c r="F60" s="131">
        <f t="shared" si="13"/>
        <v>0</v>
      </c>
      <c r="G60" s="131">
        <f t="shared" si="13"/>
        <v>0</v>
      </c>
      <c r="H60" s="132">
        <f t="shared" si="13"/>
        <v>0</v>
      </c>
      <c r="I60" s="130">
        <f t="shared" si="13"/>
        <v>129769200</v>
      </c>
      <c r="J60" s="131">
        <f t="shared" si="13"/>
        <v>0</v>
      </c>
      <c r="K60" s="131">
        <f t="shared" si="13"/>
        <v>0</v>
      </c>
      <c r="L60" s="131">
        <f t="shared" si="13"/>
        <v>0</v>
      </c>
      <c r="M60" s="132">
        <f t="shared" si="13"/>
        <v>0</v>
      </c>
      <c r="N60" s="133">
        <f t="shared" si="13"/>
        <v>0</v>
      </c>
      <c r="O60" s="134">
        <f t="shared" si="13"/>
        <v>129769200</v>
      </c>
      <c r="P60" s="135">
        <f t="shared" si="13"/>
        <v>0</v>
      </c>
      <c r="Q60" s="136">
        <f t="shared" si="13"/>
        <v>129769200</v>
      </c>
    </row>
    <row r="61" spans="1:17" ht="12.75" customHeight="1" x14ac:dyDescent="0.2">
      <c r="A61" s="937" t="str">
        <f>+'B) Reajuste Tarifas y Ocupación'!A25</f>
        <v>Sala Cuna Mar Azul</v>
      </c>
      <c r="B61" s="938" t="str">
        <f>+'B) Reajuste Tarifas y Ocupación'!B25</f>
        <v>Diurna</v>
      </c>
      <c r="C61" s="125" t="s">
        <v>54</v>
      </c>
      <c r="D61" s="799"/>
      <c r="E61" s="800">
        <f t="shared" ref="E61:H62" si="14">+J61</f>
        <v>393300</v>
      </c>
      <c r="F61" s="800">
        <f t="shared" si="14"/>
        <v>393300</v>
      </c>
      <c r="G61" s="800">
        <f t="shared" si="14"/>
        <v>409600</v>
      </c>
      <c r="H61" s="801">
        <f t="shared" si="14"/>
        <v>491600</v>
      </c>
      <c r="I61" s="802">
        <f>+'B) Reajuste Tarifas y Ocupación'!M25</f>
        <v>327700</v>
      </c>
      <c r="J61" s="800">
        <f>+'B) Reajuste Tarifas y Ocupación'!N25</f>
        <v>393300</v>
      </c>
      <c r="K61" s="800">
        <f>+'B) Reajuste Tarifas y Ocupación'!O25</f>
        <v>393300</v>
      </c>
      <c r="L61" s="800">
        <f>+'B) Reajuste Tarifas y Ocupación'!P25</f>
        <v>409600</v>
      </c>
      <c r="M61" s="801">
        <f>+'B) Reajuste Tarifas y Ocupación'!Q25</f>
        <v>491600</v>
      </c>
      <c r="N61" s="83"/>
      <c r="O61" s="84"/>
      <c r="P61" s="137"/>
      <c r="Q61" s="939"/>
    </row>
    <row r="62" spans="1:17" x14ac:dyDescent="0.2">
      <c r="A62" s="937"/>
      <c r="B62" s="938"/>
      <c r="C62" s="86" t="s">
        <v>55</v>
      </c>
      <c r="D62" s="803"/>
      <c r="E62" s="88">
        <f t="shared" si="14"/>
        <v>0</v>
      </c>
      <c r="F62" s="88">
        <f t="shared" si="14"/>
        <v>0</v>
      </c>
      <c r="G62" s="88">
        <f t="shared" si="14"/>
        <v>0</v>
      </c>
      <c r="H62" s="89">
        <f t="shared" si="14"/>
        <v>0</v>
      </c>
      <c r="I62" s="87">
        <f>+'B) Reajuste Tarifas y Ocupación'!C49</f>
        <v>66</v>
      </c>
      <c r="J62" s="88">
        <f>+'B) Reajuste Tarifas y Ocupación'!D49</f>
        <v>0</v>
      </c>
      <c r="K62" s="88">
        <f>+'B) Reajuste Tarifas y Ocupación'!E49</f>
        <v>0</v>
      </c>
      <c r="L62" s="88">
        <f>+'B) Reajuste Tarifas y Ocupación'!F49</f>
        <v>0</v>
      </c>
      <c r="M62" s="89">
        <f>+'B) Reajuste Tarifas y Ocupación'!G49</f>
        <v>0</v>
      </c>
      <c r="N62" s="90"/>
      <c r="O62" s="91"/>
      <c r="P62" s="112"/>
      <c r="Q62" s="939"/>
    </row>
    <row r="63" spans="1:17" x14ac:dyDescent="0.2">
      <c r="A63" s="937"/>
      <c r="B63" s="938"/>
      <c r="C63" s="93" t="s">
        <v>56</v>
      </c>
      <c r="D63" s="809">
        <f>D62*D61</f>
        <v>0</v>
      </c>
      <c r="E63" s="95">
        <f>E62*E61</f>
        <v>0</v>
      </c>
      <c r="F63" s="95">
        <f>F62*F61</f>
        <v>0</v>
      </c>
      <c r="G63" s="95">
        <f>G62*G61</f>
        <v>0</v>
      </c>
      <c r="H63" s="96">
        <f>H62*H61</f>
        <v>0</v>
      </c>
      <c r="I63" s="94">
        <f>I62*I61*12</f>
        <v>259538400</v>
      </c>
      <c r="J63" s="95">
        <f>J62*J61*12</f>
        <v>0</v>
      </c>
      <c r="K63" s="95">
        <f>K62*K61*12</f>
        <v>0</v>
      </c>
      <c r="L63" s="95">
        <f>L62*L61*12</f>
        <v>0</v>
      </c>
      <c r="M63" s="96">
        <f>M62*M61*12</f>
        <v>0</v>
      </c>
      <c r="N63" s="97">
        <f>SUM(D63:H63)</f>
        <v>0</v>
      </c>
      <c r="O63" s="98">
        <f>SUM(I63:M63)</f>
        <v>259538400</v>
      </c>
      <c r="P63" s="129">
        <f>P62*P61</f>
        <v>0</v>
      </c>
      <c r="Q63" s="99">
        <f>N63+O63+P63</f>
        <v>259538400</v>
      </c>
    </row>
    <row r="64" spans="1:17" x14ac:dyDescent="0.2">
      <c r="A64" s="937"/>
      <c r="B64" s="940" t="str">
        <f>+'B) Reajuste Tarifas y Ocupación'!B26</f>
        <v>Nocturna</v>
      </c>
      <c r="C64" s="86" t="s">
        <v>54</v>
      </c>
      <c r="D64" s="803"/>
      <c r="E64" s="804"/>
      <c r="F64" s="804"/>
      <c r="G64" s="804"/>
      <c r="H64" s="805"/>
      <c r="I64" s="808">
        <f>+'B) Reajuste Tarifas y Ocupación'!M26</f>
        <v>264300</v>
      </c>
      <c r="J64" s="804"/>
      <c r="K64" s="804"/>
      <c r="L64" s="804"/>
      <c r="M64" s="805"/>
      <c r="N64" s="90"/>
      <c r="O64" s="91"/>
      <c r="P64" s="109"/>
      <c r="Q64" s="941"/>
    </row>
    <row r="65" spans="1:17" x14ac:dyDescent="0.2">
      <c r="A65" s="937"/>
      <c r="B65" s="940"/>
      <c r="C65" s="86" t="s">
        <v>55</v>
      </c>
      <c r="D65" s="803"/>
      <c r="E65" s="112"/>
      <c r="F65" s="112"/>
      <c r="G65" s="112"/>
      <c r="H65" s="113"/>
      <c r="I65" s="87">
        <f>+'B) Reajuste Tarifas y Ocupación'!C50</f>
        <v>19</v>
      </c>
      <c r="J65" s="112"/>
      <c r="K65" s="112"/>
      <c r="L65" s="112"/>
      <c r="M65" s="113"/>
      <c r="N65" s="90"/>
      <c r="O65" s="91"/>
      <c r="P65" s="112"/>
      <c r="Q65" s="941"/>
    </row>
    <row r="66" spans="1:17" x14ac:dyDescent="0.2">
      <c r="A66" s="937"/>
      <c r="B66" s="940"/>
      <c r="C66" s="93" t="s">
        <v>56</v>
      </c>
      <c r="D66" s="809">
        <f>D65*D64</f>
        <v>0</v>
      </c>
      <c r="E66" s="95">
        <f>E65*E64</f>
        <v>0</v>
      </c>
      <c r="F66" s="95">
        <f>F65*F64</f>
        <v>0</v>
      </c>
      <c r="G66" s="95">
        <f>G65*G64</f>
        <v>0</v>
      </c>
      <c r="H66" s="96">
        <f>H65*H64</f>
        <v>0</v>
      </c>
      <c r="I66" s="94">
        <f>I65*I64*12</f>
        <v>60260400</v>
      </c>
      <c r="J66" s="95">
        <f>J65*J64*12</f>
        <v>0</v>
      </c>
      <c r="K66" s="95">
        <f>K65*K64*12</f>
        <v>0</v>
      </c>
      <c r="L66" s="95">
        <f>L65*L64*12</f>
        <v>0</v>
      </c>
      <c r="M66" s="96">
        <f>M65*M64*12</f>
        <v>0</v>
      </c>
      <c r="N66" s="138">
        <f>SUM(D66:H66)</f>
        <v>0</v>
      </c>
      <c r="O66" s="98">
        <f>SUM(I66:M66)</f>
        <v>60260400</v>
      </c>
      <c r="P66" s="129">
        <f>P65*P64</f>
        <v>0</v>
      </c>
      <c r="Q66" s="99">
        <f>N66+O66+P66</f>
        <v>60260400</v>
      </c>
    </row>
    <row r="67" spans="1:17" x14ac:dyDescent="0.2">
      <c r="A67" s="937"/>
      <c r="B67" s="940" t="str">
        <f>+'B) Reajuste Tarifas y Ocupación'!B27</f>
        <v>Media Jornada</v>
      </c>
      <c r="C67" s="86" t="s">
        <v>54</v>
      </c>
      <c r="D67" s="803"/>
      <c r="E67" s="806">
        <f t="shared" ref="E67:H68" si="15">+J67</f>
        <v>236000</v>
      </c>
      <c r="F67" s="806">
        <f t="shared" si="15"/>
        <v>236000</v>
      </c>
      <c r="G67" s="806">
        <f t="shared" si="15"/>
        <v>295000</v>
      </c>
      <c r="H67" s="807">
        <f t="shared" si="15"/>
        <v>393300</v>
      </c>
      <c r="I67" s="808">
        <f>+'B) Reajuste Tarifas y Ocupación'!M27</f>
        <v>196700</v>
      </c>
      <c r="J67" s="806">
        <f>+'B) Reajuste Tarifas y Ocupación'!N27</f>
        <v>236000</v>
      </c>
      <c r="K67" s="806">
        <f>+'B) Reajuste Tarifas y Ocupación'!O27</f>
        <v>236000</v>
      </c>
      <c r="L67" s="806">
        <f>+'B) Reajuste Tarifas y Ocupación'!P27</f>
        <v>295000</v>
      </c>
      <c r="M67" s="807">
        <f>+'B) Reajuste Tarifas y Ocupación'!Q27</f>
        <v>393300</v>
      </c>
      <c r="N67" s="90"/>
      <c r="O67" s="91"/>
      <c r="P67" s="109"/>
      <c r="Q67" s="941"/>
    </row>
    <row r="68" spans="1:17" x14ac:dyDescent="0.2">
      <c r="A68" s="937"/>
      <c r="B68" s="940"/>
      <c r="C68" s="86" t="s">
        <v>55</v>
      </c>
      <c r="D68" s="803"/>
      <c r="E68" s="88">
        <f t="shared" si="15"/>
        <v>0</v>
      </c>
      <c r="F68" s="88">
        <f t="shared" si="15"/>
        <v>0</v>
      </c>
      <c r="G68" s="88">
        <f t="shared" si="15"/>
        <v>0</v>
      </c>
      <c r="H68" s="89">
        <f t="shared" si="15"/>
        <v>0</v>
      </c>
      <c r="I68" s="87">
        <f>+'B) Reajuste Tarifas y Ocupación'!C51</f>
        <v>0</v>
      </c>
      <c r="J68" s="88">
        <f>+'B) Reajuste Tarifas y Ocupación'!D51</f>
        <v>0</v>
      </c>
      <c r="K68" s="88">
        <f>+'B) Reajuste Tarifas y Ocupación'!E51</f>
        <v>0</v>
      </c>
      <c r="L68" s="88">
        <f>+'B) Reajuste Tarifas y Ocupación'!F51</f>
        <v>0</v>
      </c>
      <c r="M68" s="89">
        <f>+'B) Reajuste Tarifas y Ocupación'!G51</f>
        <v>0</v>
      </c>
      <c r="N68" s="90"/>
      <c r="O68" s="91"/>
      <c r="P68" s="112"/>
      <c r="Q68" s="941"/>
    </row>
    <row r="69" spans="1:17" x14ac:dyDescent="0.2">
      <c r="A69" s="937"/>
      <c r="B69" s="940"/>
      <c r="C69" s="93" t="s">
        <v>56</v>
      </c>
      <c r="D69" s="809">
        <f>D68*D67</f>
        <v>0</v>
      </c>
      <c r="E69" s="95">
        <f>E68*E67</f>
        <v>0</v>
      </c>
      <c r="F69" s="95">
        <f>F68*F67</f>
        <v>0</v>
      </c>
      <c r="G69" s="95">
        <f>G68*G67</f>
        <v>0</v>
      </c>
      <c r="H69" s="96">
        <f>H68*H67</f>
        <v>0</v>
      </c>
      <c r="I69" s="94">
        <f>I68*I67*12</f>
        <v>0</v>
      </c>
      <c r="J69" s="95">
        <f>J68*J67*12</f>
        <v>0</v>
      </c>
      <c r="K69" s="95">
        <f>K68*K67*12</f>
        <v>0</v>
      </c>
      <c r="L69" s="95">
        <f>L68*L67*12</f>
        <v>0</v>
      </c>
      <c r="M69" s="96">
        <f>M68*M67*12</f>
        <v>0</v>
      </c>
      <c r="N69" s="97">
        <f>SUM(D69:H69)</f>
        <v>0</v>
      </c>
      <c r="O69" s="98">
        <f>SUM(I69:M69)</f>
        <v>0</v>
      </c>
      <c r="P69" s="129">
        <f>P68*P67</f>
        <v>0</v>
      </c>
      <c r="Q69" s="99">
        <f>N69+O69+P69</f>
        <v>0</v>
      </c>
    </row>
    <row r="70" spans="1:17" ht="15" x14ac:dyDescent="0.2">
      <c r="A70" s="937"/>
      <c r="B70" s="942" t="s">
        <v>57</v>
      </c>
      <c r="C70" s="942"/>
      <c r="D70" s="139">
        <f t="shared" ref="D70:Q70" si="16">SUM(D63,D66,D69)</f>
        <v>0</v>
      </c>
      <c r="E70" s="131">
        <f t="shared" si="16"/>
        <v>0</v>
      </c>
      <c r="F70" s="131">
        <f t="shared" si="16"/>
        <v>0</v>
      </c>
      <c r="G70" s="131">
        <f t="shared" si="16"/>
        <v>0</v>
      </c>
      <c r="H70" s="132">
        <f t="shared" si="16"/>
        <v>0</v>
      </c>
      <c r="I70" s="130">
        <f t="shared" si="16"/>
        <v>319798800</v>
      </c>
      <c r="J70" s="131">
        <f t="shared" si="16"/>
        <v>0</v>
      </c>
      <c r="K70" s="131">
        <f t="shared" si="16"/>
        <v>0</v>
      </c>
      <c r="L70" s="131">
        <f t="shared" si="16"/>
        <v>0</v>
      </c>
      <c r="M70" s="132">
        <f t="shared" si="16"/>
        <v>0</v>
      </c>
      <c r="N70" s="133">
        <f t="shared" si="16"/>
        <v>0</v>
      </c>
      <c r="O70" s="134">
        <f t="shared" si="16"/>
        <v>319798800</v>
      </c>
      <c r="P70" s="135">
        <f t="shared" si="16"/>
        <v>0</v>
      </c>
      <c r="Q70" s="136">
        <f t="shared" si="16"/>
        <v>319798800</v>
      </c>
    </row>
    <row r="71" spans="1:17" ht="15" customHeight="1" x14ac:dyDescent="0.2">
      <c r="A71" s="936" t="s">
        <v>58</v>
      </c>
      <c r="B71" s="936"/>
      <c r="C71" s="936"/>
      <c r="D71" s="140">
        <f t="shared" ref="D71:Q71" si="17">+D32+D39+D43+D50+D60+D70</f>
        <v>32050700</v>
      </c>
      <c r="E71" s="141">
        <f t="shared" si="17"/>
        <v>0</v>
      </c>
      <c r="F71" s="141">
        <f t="shared" si="17"/>
        <v>0</v>
      </c>
      <c r="G71" s="141">
        <f t="shared" si="17"/>
        <v>540100</v>
      </c>
      <c r="H71" s="142">
        <f t="shared" si="17"/>
        <v>165200</v>
      </c>
      <c r="I71" s="143">
        <f t="shared" si="17"/>
        <v>770075000</v>
      </c>
      <c r="J71" s="141">
        <f t="shared" si="17"/>
        <v>0</v>
      </c>
      <c r="K71" s="141">
        <f t="shared" si="17"/>
        <v>0</v>
      </c>
      <c r="L71" s="141">
        <f t="shared" si="17"/>
        <v>5401000</v>
      </c>
      <c r="M71" s="144">
        <f t="shared" si="17"/>
        <v>1652000</v>
      </c>
      <c r="N71" s="140">
        <f t="shared" si="17"/>
        <v>32756000</v>
      </c>
      <c r="O71" s="141">
        <f t="shared" si="17"/>
        <v>777128000</v>
      </c>
      <c r="P71" s="141">
        <f t="shared" si="17"/>
        <v>2976200</v>
      </c>
      <c r="Q71" s="144">
        <f t="shared" si="17"/>
        <v>812860200</v>
      </c>
    </row>
  </sheetData>
  <sheetProtection algorithmName="SHA-512" hashValue="oloB08jwLNmLXLDkulSTCHaVR76w2YyEsVnKo7jZHopAEGSqV1Q780vS6Va/8vTtvTLqm+hX6Irf/0rDgdidQQ==" saltValue="vpMxmtbK37O0drCW3kNqWQ==" spinCount="100000" sheet="1" objects="1" scenarios="1"/>
  <mergeCells count="52">
    <mergeCell ref="C4:D4"/>
    <mergeCell ref="E4:G4"/>
    <mergeCell ref="A6:D6"/>
    <mergeCell ref="A22:D22"/>
    <mergeCell ref="A24:A25"/>
    <mergeCell ref="B24:B25"/>
    <mergeCell ref="C24:C25"/>
    <mergeCell ref="D24:H24"/>
    <mergeCell ref="I24:M24"/>
    <mergeCell ref="N24:N25"/>
    <mergeCell ref="O24:O25"/>
    <mergeCell ref="P24:P25"/>
    <mergeCell ref="Q24:Q25"/>
    <mergeCell ref="A26:A32"/>
    <mergeCell ref="B26:B28"/>
    <mergeCell ref="Q26:Q27"/>
    <mergeCell ref="B29:B31"/>
    <mergeCell ref="Q29:Q30"/>
    <mergeCell ref="B32:C32"/>
    <mergeCell ref="A33:A39"/>
    <mergeCell ref="B33:B35"/>
    <mergeCell ref="Q33:Q34"/>
    <mergeCell ref="B36:B38"/>
    <mergeCell ref="Q36:Q37"/>
    <mergeCell ref="B39:C39"/>
    <mergeCell ref="A40:A43"/>
    <mergeCell ref="B40:B42"/>
    <mergeCell ref="Q40:Q41"/>
    <mergeCell ref="B43:C43"/>
    <mergeCell ref="A44:A50"/>
    <mergeCell ref="B44:B46"/>
    <mergeCell ref="Q44:Q45"/>
    <mergeCell ref="B47:B49"/>
    <mergeCell ref="Q47:Q48"/>
    <mergeCell ref="B50:C50"/>
    <mergeCell ref="A51:A60"/>
    <mergeCell ref="B51:B53"/>
    <mergeCell ref="Q51:Q52"/>
    <mergeCell ref="B54:B56"/>
    <mergeCell ref="Q54:Q55"/>
    <mergeCell ref="B57:B59"/>
    <mergeCell ref="Q57:Q58"/>
    <mergeCell ref="B60:C60"/>
    <mergeCell ref="A71:C71"/>
    <mergeCell ref="A61:A70"/>
    <mergeCell ref="B61:B63"/>
    <mergeCell ref="Q61:Q62"/>
    <mergeCell ref="B64:B66"/>
    <mergeCell ref="Q64:Q65"/>
    <mergeCell ref="B67:B69"/>
    <mergeCell ref="Q67:Q68"/>
    <mergeCell ref="B70:C70"/>
  </mergeCells>
  <conditionalFormatting sqref="B17:I17 C18:D18 B12:F13 D19:D21 F18:N22 J9:J16 B9:I10 H12:I13 G13 E15:I16 E11 G11:I11">
    <cfRule type="cellIs" dxfId="7" priority="2" operator="lessThan">
      <formula>0</formula>
    </cfRule>
  </conditionalFormatting>
  <conditionalFormatting sqref="B15:D16">
    <cfRule type="cellIs" dxfId="6" priority="3" operator="lessThan">
      <formula>0</formula>
    </cfRule>
  </conditionalFormatting>
  <conditionalFormatting sqref="B14:F14 H14:I14">
    <cfRule type="cellIs" dxfId="5" priority="4" operator="lessThan">
      <formula>0</formula>
    </cfRule>
  </conditionalFormatting>
  <conditionalFormatting sqref="G12">
    <cfRule type="cellIs" dxfId="4" priority="5" operator="lessThan">
      <formula>0</formula>
    </cfRule>
  </conditionalFormatting>
  <conditionalFormatting sqref="G14">
    <cfRule type="cellIs" dxfId="3" priority="6" operator="lessThan">
      <formula>0</formula>
    </cfRule>
  </conditionalFormatting>
  <conditionalFormatting sqref="B11:D11 F11">
    <cfRule type="cellIs" dxfId="2" priority="7" operator="lessThan">
      <formula>0</formula>
    </cfRule>
  </conditionalFormatting>
  <pageMargins left="0.196527777777778" right="0.196527777777778" top="0.27500000000000002" bottom="0.196527777777778" header="0.196527777777778" footer="0.51180555555555496"/>
  <pageSetup firstPageNumber="0" fitToHeight="14" orientation="landscape" horizontalDpi="300" verticalDpi="300" r:id="rId1"/>
  <headerFooter>
    <oddHeader>&amp;LSEPT - 2004&amp;CDIRECTIVA D.B.S.A.
ORDINARIA&amp;R02-BS/0307/02
Pag &amp;P de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51"/>
  <sheetViews>
    <sheetView showGridLines="0" zoomScale="80" zoomScaleNormal="80" workbookViewId="0">
      <selection activeCell="H50" sqref="H50"/>
    </sheetView>
  </sheetViews>
  <sheetFormatPr baseColWidth="10" defaultColWidth="9.140625" defaultRowHeight="12.75" x14ac:dyDescent="0.2"/>
  <cols>
    <col min="1" max="1" width="58.42578125" style="145"/>
    <col min="2" max="2" width="35" style="145"/>
    <col min="3" max="3" width="12.7109375" style="145"/>
    <col min="4" max="4" width="14" style="145"/>
    <col min="5" max="5" width="16" style="145"/>
    <col min="6" max="6" width="15" style="145"/>
    <col min="7" max="7" width="15.28515625" style="145"/>
    <col min="8" max="8" width="12.28515625" style="145"/>
    <col min="9" max="9" width="15" style="145"/>
    <col min="10" max="10" width="17.85546875" style="145" customWidth="1"/>
    <col min="11" max="12" width="12.28515625" style="145"/>
    <col min="13" max="13" width="14.28515625" style="145"/>
    <col min="14" max="15" width="15" style="145"/>
    <col min="16" max="18" width="12.28515625" style="145"/>
    <col min="19" max="19" width="33.7109375" style="145"/>
    <col min="20" max="20" width="34" style="145"/>
    <col min="21" max="21" width="14.140625" style="145"/>
    <col min="22" max="23" width="15" style="145"/>
    <col min="24" max="24" width="13.28515625" style="145"/>
    <col min="25" max="1025" width="11.7109375" style="145"/>
    <col min="1026" max="16384" width="9.140625" style="797"/>
  </cols>
  <sheetData>
    <row r="1" spans="1:256" s="21" customFormat="1" x14ac:dyDescent="0.2">
      <c r="A1" s="20"/>
      <c r="C1" s="22"/>
      <c r="D1" s="22"/>
      <c r="E1" s="22"/>
      <c r="F1" s="4" t="s">
        <v>59</v>
      </c>
      <c r="G1" s="22"/>
      <c r="S1" s="20"/>
      <c r="IU1" s="19"/>
      <c r="IV1" s="19"/>
    </row>
    <row r="2" spans="1:256" x14ac:dyDescent="0.2">
      <c r="A2" s="23"/>
      <c r="B2" s="21"/>
      <c r="C2" s="22"/>
      <c r="D2" s="22"/>
      <c r="E2" s="22"/>
      <c r="F2" s="4" t="s">
        <v>60</v>
      </c>
      <c r="G2" s="22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3"/>
      <c r="T2" s="21"/>
      <c r="U2" s="21"/>
      <c r="V2" s="22"/>
      <c r="W2" s="22"/>
      <c r="X2" s="22"/>
      <c r="IU2" s="19"/>
      <c r="IV2" s="19"/>
    </row>
    <row r="3" spans="1:256" x14ac:dyDescent="0.2">
      <c r="A3" s="19"/>
      <c r="B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9"/>
      <c r="IU3" s="19"/>
      <c r="IV3" s="19"/>
    </row>
    <row r="4" spans="1:256" x14ac:dyDescent="0.2">
      <c r="A4" s="24"/>
      <c r="B4" s="25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4"/>
      <c r="T4" s="25"/>
      <c r="U4" s="22"/>
      <c r="V4" s="22"/>
      <c r="W4" s="22"/>
      <c r="X4" s="22"/>
      <c r="Y4" s="22"/>
      <c r="IL4" s="19"/>
      <c r="IM4" s="19"/>
      <c r="IN4" s="19"/>
      <c r="IO4" s="19"/>
      <c r="IP4" s="19"/>
      <c r="IQ4" s="19"/>
    </row>
    <row r="5" spans="1:256" ht="18" customHeight="1" x14ac:dyDescent="0.2">
      <c r="A5" s="24"/>
      <c r="B5" s="25"/>
      <c r="C5" s="989" t="s">
        <v>27</v>
      </c>
      <c r="D5" s="989"/>
      <c r="E5" s="788"/>
      <c r="F5" s="990" t="s">
        <v>61</v>
      </c>
      <c r="G5" s="990"/>
      <c r="R5" s="21"/>
      <c r="S5" s="24"/>
      <c r="T5" s="25"/>
      <c r="V5" s="26"/>
      <c r="W5" s="26"/>
      <c r="IL5" s="19"/>
      <c r="IM5" s="19"/>
      <c r="IN5" s="19"/>
      <c r="IO5" s="19"/>
      <c r="IP5" s="19"/>
      <c r="IQ5" s="19"/>
    </row>
    <row r="6" spans="1:256" ht="18" customHeight="1" x14ac:dyDescent="0.2">
      <c r="A6" s="24"/>
      <c r="B6" s="25"/>
      <c r="C6" s="788"/>
      <c r="D6" s="788"/>
      <c r="E6" s="788"/>
      <c r="F6" s="4"/>
      <c r="G6" s="4"/>
      <c r="R6" s="21"/>
      <c r="S6" s="24"/>
      <c r="T6" s="25"/>
      <c r="V6" s="26"/>
      <c r="W6" s="26"/>
      <c r="IL6" s="19"/>
      <c r="IM6" s="19"/>
      <c r="IN6" s="19"/>
      <c r="IO6" s="19"/>
      <c r="IP6" s="19"/>
      <c r="IQ6" s="19"/>
    </row>
    <row r="7" spans="1:256" ht="18" customHeight="1" x14ac:dyDescent="0.2">
      <c r="A7" s="24"/>
      <c r="B7" s="25"/>
      <c r="C7" s="788"/>
      <c r="D7" s="788"/>
      <c r="E7" s="788"/>
      <c r="F7" s="4"/>
      <c r="G7" s="4"/>
      <c r="R7" s="21"/>
      <c r="S7" s="24"/>
      <c r="T7" s="25"/>
      <c r="V7" s="146"/>
      <c r="W7" s="146"/>
      <c r="IL7" s="19"/>
      <c r="IM7" s="19"/>
      <c r="IN7" s="19"/>
      <c r="IO7" s="19"/>
      <c r="IP7" s="19"/>
      <c r="IQ7" s="19"/>
    </row>
    <row r="8" spans="1:256" s="21" customFormat="1" ht="15.75" x14ac:dyDescent="0.2">
      <c r="A8" s="973" t="s">
        <v>6</v>
      </c>
      <c r="B8" s="973"/>
      <c r="C8" s="973"/>
      <c r="D8" s="973"/>
      <c r="E8" s="785"/>
      <c r="F8" s="4"/>
      <c r="G8" s="4"/>
      <c r="IL8" s="19"/>
      <c r="IM8" s="19"/>
      <c r="IN8" s="19"/>
      <c r="IO8" s="19"/>
      <c r="IP8" s="19"/>
      <c r="IQ8" s="19"/>
    </row>
    <row r="9" spans="1:256" ht="13.5" customHeight="1" x14ac:dyDescent="0.2"/>
    <row r="10" spans="1:256" ht="15.75" customHeight="1" x14ac:dyDescent="0.2">
      <c r="A10" s="970" t="s">
        <v>62</v>
      </c>
      <c r="B10" s="983" t="s">
        <v>42</v>
      </c>
      <c r="C10" s="952" t="s">
        <v>63</v>
      </c>
      <c r="D10" s="952"/>
      <c r="E10" s="952"/>
      <c r="F10" s="952"/>
      <c r="G10" s="952"/>
      <c r="H10" s="985" t="s">
        <v>64</v>
      </c>
      <c r="I10" s="985"/>
      <c r="J10" s="985"/>
      <c r="K10" s="985"/>
      <c r="L10" s="985"/>
      <c r="M10" s="952" t="s">
        <v>65</v>
      </c>
      <c r="N10" s="952"/>
      <c r="O10" s="952"/>
      <c r="P10" s="952"/>
      <c r="Q10" s="952"/>
      <c r="R10" s="147"/>
    </row>
    <row r="11" spans="1:256" ht="70.5" customHeight="1" x14ac:dyDescent="0.2">
      <c r="A11" s="970"/>
      <c r="B11" s="983"/>
      <c r="C11" s="74" t="s">
        <v>49</v>
      </c>
      <c r="D11" s="75" t="s">
        <v>50</v>
      </c>
      <c r="E11" s="75" t="s">
        <v>51</v>
      </c>
      <c r="F11" s="75" t="s">
        <v>52</v>
      </c>
      <c r="G11" s="76" t="s">
        <v>53</v>
      </c>
      <c r="H11" s="787" t="s">
        <v>49</v>
      </c>
      <c r="I11" s="148" t="s">
        <v>50</v>
      </c>
      <c r="J11" s="148" t="s">
        <v>51</v>
      </c>
      <c r="K11" s="149" t="s">
        <v>52</v>
      </c>
      <c r="L11" s="150" t="s">
        <v>53</v>
      </c>
      <c r="M11" s="151" t="s">
        <v>49</v>
      </c>
      <c r="N11" s="75" t="s">
        <v>50</v>
      </c>
      <c r="O11" s="75" t="s">
        <v>51</v>
      </c>
      <c r="P11" s="75" t="s">
        <v>52</v>
      </c>
      <c r="Q11" s="77" t="s">
        <v>53</v>
      </c>
      <c r="R11" s="147"/>
    </row>
    <row r="12" spans="1:256" ht="13.5" customHeight="1" x14ac:dyDescent="0.2">
      <c r="A12" s="976" t="s">
        <v>66</v>
      </c>
      <c r="B12" s="152" t="s">
        <v>67</v>
      </c>
      <c r="C12" s="153">
        <v>79200</v>
      </c>
      <c r="D12" s="154">
        <v>95100</v>
      </c>
      <c r="E12" s="154">
        <v>95100</v>
      </c>
      <c r="F12" s="154">
        <v>106200</v>
      </c>
      <c r="G12" s="155">
        <v>156200</v>
      </c>
      <c r="H12" s="156">
        <v>5.7000000000000002E-2</v>
      </c>
      <c r="I12" s="157">
        <f>+H12</f>
        <v>5.7000000000000002E-2</v>
      </c>
      <c r="J12" s="157">
        <f>+H12</f>
        <v>5.7000000000000002E-2</v>
      </c>
      <c r="K12" s="157">
        <f>+H12</f>
        <v>5.7000000000000002E-2</v>
      </c>
      <c r="L12" s="158">
        <f>+H12</f>
        <v>5.7000000000000002E-2</v>
      </c>
      <c r="M12" s="159">
        <f>CEILING(C12*(1+H12),100)</f>
        <v>83800</v>
      </c>
      <c r="N12" s="160">
        <f>+CEILING(C12*(1.2)*(1+I12),100)</f>
        <v>100500</v>
      </c>
      <c r="O12" s="160">
        <f>+CEILING(C12*(1.2)*(1+J12),100)</f>
        <v>100500</v>
      </c>
      <c r="P12" s="160">
        <f t="shared" ref="P12:Q16" si="0">+CEILING(F12*(1+K12),100)</f>
        <v>112300</v>
      </c>
      <c r="Q12" s="161">
        <f t="shared" si="0"/>
        <v>165200</v>
      </c>
      <c r="R12" s="162"/>
    </row>
    <row r="13" spans="1:256" ht="13.5" customHeight="1" x14ac:dyDescent="0.2">
      <c r="A13" s="976"/>
      <c r="B13" s="163" t="s">
        <v>68</v>
      </c>
      <c r="C13" s="164">
        <v>129400</v>
      </c>
      <c r="D13" s="165">
        <v>155300</v>
      </c>
      <c r="E13" s="165">
        <v>155300</v>
      </c>
      <c r="F13" s="165">
        <v>218400</v>
      </c>
      <c r="G13" s="166">
        <v>325800</v>
      </c>
      <c r="H13" s="167">
        <v>5.7000000000000002E-2</v>
      </c>
      <c r="I13" s="168">
        <f>+H13</f>
        <v>5.7000000000000002E-2</v>
      </c>
      <c r="J13" s="168">
        <f>+H13</f>
        <v>5.7000000000000002E-2</v>
      </c>
      <c r="K13" s="168">
        <f>+H13</f>
        <v>5.7000000000000002E-2</v>
      </c>
      <c r="L13" s="169">
        <f>+H13</f>
        <v>5.7000000000000002E-2</v>
      </c>
      <c r="M13" s="170">
        <f>CEILING(C13*(1+H13),100)</f>
        <v>136800</v>
      </c>
      <c r="N13" s="171">
        <f>+CEILING(C13*(1.2)*(1+I13),100)</f>
        <v>164200</v>
      </c>
      <c r="O13" s="171">
        <f>+CEILING(C13*(1.2)*(1+J13),100)</f>
        <v>164200</v>
      </c>
      <c r="P13" s="171">
        <f t="shared" si="0"/>
        <v>230900</v>
      </c>
      <c r="Q13" s="172">
        <f t="shared" si="0"/>
        <v>344400</v>
      </c>
    </row>
    <row r="14" spans="1:256" ht="12.75" customHeight="1" x14ac:dyDescent="0.2">
      <c r="A14" s="976" t="s">
        <v>69</v>
      </c>
      <c r="B14" s="152" t="s">
        <v>67</v>
      </c>
      <c r="C14" s="153">
        <v>79200</v>
      </c>
      <c r="D14" s="154">
        <v>95100</v>
      </c>
      <c r="E14" s="154">
        <v>95100</v>
      </c>
      <c r="F14" s="154">
        <v>106200</v>
      </c>
      <c r="G14" s="155">
        <v>156200</v>
      </c>
      <c r="H14" s="156">
        <v>5.7000000000000002E-2</v>
      </c>
      <c r="I14" s="157">
        <f>+H14</f>
        <v>5.7000000000000002E-2</v>
      </c>
      <c r="J14" s="157">
        <f>+H14</f>
        <v>5.7000000000000002E-2</v>
      </c>
      <c r="K14" s="157">
        <f>+H14</f>
        <v>5.7000000000000002E-2</v>
      </c>
      <c r="L14" s="158">
        <f>+H14</f>
        <v>5.7000000000000002E-2</v>
      </c>
      <c r="M14" s="173">
        <f>CEILING(C14*(1+H14),100)</f>
        <v>83800</v>
      </c>
      <c r="N14" s="174">
        <f>+CEILING(C14*(1.2)*(1+I14),100)</f>
        <v>100500</v>
      </c>
      <c r="O14" s="174">
        <f>+CEILING(C14*(1.2)*(1+J14),100)</f>
        <v>100500</v>
      </c>
      <c r="P14" s="174">
        <f t="shared" si="0"/>
        <v>112300</v>
      </c>
      <c r="Q14" s="175">
        <f t="shared" si="0"/>
        <v>165200</v>
      </c>
      <c r="R14" s="176"/>
    </row>
    <row r="15" spans="1:256" ht="12.75" customHeight="1" x14ac:dyDescent="0.2">
      <c r="A15" s="976"/>
      <c r="B15" s="163" t="s">
        <v>68</v>
      </c>
      <c r="C15" s="177">
        <v>129400</v>
      </c>
      <c r="D15" s="178">
        <v>155300</v>
      </c>
      <c r="E15" s="178">
        <v>155300</v>
      </c>
      <c r="F15" s="178">
        <v>218400</v>
      </c>
      <c r="G15" s="179">
        <v>325800</v>
      </c>
      <c r="H15" s="180">
        <v>5.7000000000000002E-2</v>
      </c>
      <c r="I15" s="181">
        <f>+H15</f>
        <v>5.7000000000000002E-2</v>
      </c>
      <c r="J15" s="181">
        <f>+H15</f>
        <v>5.7000000000000002E-2</v>
      </c>
      <c r="K15" s="181">
        <f>+H15</f>
        <v>5.7000000000000002E-2</v>
      </c>
      <c r="L15" s="182">
        <f>+H15</f>
        <v>5.7000000000000002E-2</v>
      </c>
      <c r="M15" s="183">
        <f>CEILING(C15*(1+H15),100)</f>
        <v>136800</v>
      </c>
      <c r="N15" s="184">
        <f>+CEILING(C15*(1.2)*(1+I15),100)</f>
        <v>164200</v>
      </c>
      <c r="O15" s="184">
        <f>+CEILING(C15*(1.2)*(1+J15),100)</f>
        <v>164200</v>
      </c>
      <c r="P15" s="184">
        <f t="shared" si="0"/>
        <v>230900</v>
      </c>
      <c r="Q15" s="185">
        <f t="shared" si="0"/>
        <v>344400</v>
      </c>
      <c r="R15" s="176"/>
    </row>
    <row r="16" spans="1:256" ht="27" customHeight="1" x14ac:dyDescent="0.2">
      <c r="A16" s="786" t="s">
        <v>70</v>
      </c>
      <c r="B16" s="186" t="s">
        <v>67</v>
      </c>
      <c r="C16" s="187">
        <v>31800</v>
      </c>
      <c r="D16" s="188">
        <v>38200</v>
      </c>
      <c r="E16" s="188">
        <v>38200</v>
      </c>
      <c r="F16" s="188">
        <v>40000</v>
      </c>
      <c r="G16" s="189">
        <v>47800</v>
      </c>
      <c r="H16" s="814">
        <v>5.7000000000000002E-2</v>
      </c>
      <c r="I16" s="190">
        <f>+H16</f>
        <v>5.7000000000000002E-2</v>
      </c>
      <c r="J16" s="190">
        <f>+H16</f>
        <v>5.7000000000000002E-2</v>
      </c>
      <c r="K16" s="190">
        <f>+H16</f>
        <v>5.7000000000000002E-2</v>
      </c>
      <c r="L16" s="191">
        <f>+H16</f>
        <v>5.7000000000000002E-2</v>
      </c>
      <c r="M16" s="192">
        <f>CEILING(C16*(1+H16),100)</f>
        <v>33700</v>
      </c>
      <c r="N16" s="193">
        <f>+CEILING(C16*(1.2)*(1+I16),100)</f>
        <v>40400</v>
      </c>
      <c r="O16" s="193">
        <f>+CEILING(C16*(1.2)*(1+J16),100)</f>
        <v>40400</v>
      </c>
      <c r="P16" s="193">
        <f t="shared" si="0"/>
        <v>42300</v>
      </c>
      <c r="Q16" s="194">
        <f t="shared" si="0"/>
        <v>50600</v>
      </c>
    </row>
    <row r="17" spans="1:18" ht="12.75" customHeight="1" x14ac:dyDescent="0.2">
      <c r="A17" s="976" t="s">
        <v>71</v>
      </c>
      <c r="B17" s="152" t="s">
        <v>67</v>
      </c>
      <c r="C17" s="986"/>
      <c r="D17" s="986"/>
      <c r="E17" s="986"/>
      <c r="F17" s="986"/>
      <c r="G17" s="986"/>
      <c r="H17" s="987"/>
      <c r="I17" s="987"/>
      <c r="J17" s="987"/>
      <c r="K17" s="987"/>
      <c r="L17" s="987"/>
      <c r="M17" s="988"/>
      <c r="N17" s="988"/>
      <c r="O17" s="988"/>
      <c r="P17" s="988"/>
      <c r="Q17" s="988"/>
    </row>
    <row r="18" spans="1:18" ht="12.75" customHeight="1" x14ac:dyDescent="0.2">
      <c r="A18" s="976"/>
      <c r="B18" s="163" t="s">
        <v>68</v>
      </c>
      <c r="C18" s="986"/>
      <c r="D18" s="986"/>
      <c r="E18" s="986"/>
      <c r="F18" s="986"/>
      <c r="G18" s="986"/>
      <c r="H18" s="987"/>
      <c r="I18" s="987"/>
      <c r="J18" s="987"/>
      <c r="K18" s="987"/>
      <c r="L18" s="987"/>
      <c r="M18" s="988"/>
      <c r="N18" s="988"/>
      <c r="O18" s="988"/>
      <c r="P18" s="988"/>
      <c r="Q18" s="988"/>
    </row>
    <row r="19" spans="1:18" ht="12.75" customHeight="1" x14ac:dyDescent="0.2"/>
    <row r="20" spans="1:18" ht="15.75" customHeight="1" x14ac:dyDescent="0.2">
      <c r="A20" s="970" t="s">
        <v>72</v>
      </c>
      <c r="B20" s="983" t="s">
        <v>42</v>
      </c>
      <c r="C20" s="952" t="s">
        <v>63</v>
      </c>
      <c r="D20" s="952"/>
      <c r="E20" s="952"/>
      <c r="F20" s="952"/>
      <c r="G20" s="952"/>
      <c r="H20" s="984" t="s">
        <v>64</v>
      </c>
      <c r="I20" s="984"/>
      <c r="J20" s="984"/>
      <c r="K20" s="984"/>
      <c r="L20" s="984"/>
      <c r="M20" s="952" t="s">
        <v>65</v>
      </c>
      <c r="N20" s="952"/>
      <c r="O20" s="952"/>
      <c r="P20" s="952"/>
      <c r="Q20" s="952"/>
      <c r="R20" s="147"/>
    </row>
    <row r="21" spans="1:18" ht="74.25" customHeight="1" x14ac:dyDescent="0.2">
      <c r="A21" s="970"/>
      <c r="B21" s="983"/>
      <c r="C21" s="74" t="s">
        <v>49</v>
      </c>
      <c r="D21" s="75" t="s">
        <v>50</v>
      </c>
      <c r="E21" s="75" t="s">
        <v>51</v>
      </c>
      <c r="F21" s="75" t="s">
        <v>52</v>
      </c>
      <c r="G21" s="77" t="s">
        <v>53</v>
      </c>
      <c r="H21" s="195" t="s">
        <v>49</v>
      </c>
      <c r="I21" s="196" t="s">
        <v>50</v>
      </c>
      <c r="J21" s="196" t="s">
        <v>51</v>
      </c>
      <c r="K21" s="196" t="s">
        <v>52</v>
      </c>
      <c r="L21" s="197" t="s">
        <v>53</v>
      </c>
      <c r="M21" s="74" t="s">
        <v>49</v>
      </c>
      <c r="N21" s="75" t="s">
        <v>50</v>
      </c>
      <c r="O21" s="75" t="s">
        <v>51</v>
      </c>
      <c r="P21" s="75" t="s">
        <v>52</v>
      </c>
      <c r="Q21" s="77" t="s">
        <v>53</v>
      </c>
      <c r="R21" s="147"/>
    </row>
    <row r="22" spans="1:18" ht="12.75" customHeight="1" x14ac:dyDescent="0.2">
      <c r="A22" s="976" t="s">
        <v>73</v>
      </c>
      <c r="B22" s="198" t="s">
        <v>74</v>
      </c>
      <c r="C22" s="153">
        <v>310000</v>
      </c>
      <c r="D22" s="154">
        <v>372000</v>
      </c>
      <c r="E22" s="154">
        <v>372000</v>
      </c>
      <c r="F22" s="154">
        <v>387500</v>
      </c>
      <c r="G22" s="155">
        <v>465000</v>
      </c>
      <c r="H22" s="156">
        <v>5.7000000000000002E-2</v>
      </c>
      <c r="I22" s="157">
        <f>+H22</f>
        <v>5.7000000000000002E-2</v>
      </c>
      <c r="J22" s="157">
        <f>+H22</f>
        <v>5.7000000000000002E-2</v>
      </c>
      <c r="K22" s="157">
        <f>+H22</f>
        <v>5.7000000000000002E-2</v>
      </c>
      <c r="L22" s="158">
        <f>+H22</f>
        <v>5.7000000000000002E-2</v>
      </c>
      <c r="M22" s="159">
        <f>CEILING(C22*(1+H22),100)</f>
        <v>327700</v>
      </c>
      <c r="N22" s="160">
        <f>+CEILING(C22*(1.2)*(1+I22),100)</f>
        <v>393300</v>
      </c>
      <c r="O22" s="160">
        <f>+CEILING(C22*(1.2)*(1+J22),100)</f>
        <v>393300</v>
      </c>
      <c r="P22" s="160">
        <f>+CEILING(F22*(1+K22),100)</f>
        <v>409600</v>
      </c>
      <c r="Q22" s="161">
        <f>+CEILING(G22*(1+L22),100)</f>
        <v>491600</v>
      </c>
      <c r="R22" s="176"/>
    </row>
    <row r="23" spans="1:18" x14ac:dyDescent="0.2">
      <c r="A23" s="976"/>
      <c r="B23" s="199" t="s">
        <v>75</v>
      </c>
      <c r="C23" s="977"/>
      <c r="D23" s="977"/>
      <c r="E23" s="977"/>
      <c r="F23" s="977"/>
      <c r="G23" s="977"/>
      <c r="H23" s="978"/>
      <c r="I23" s="978"/>
      <c r="J23" s="978"/>
      <c r="K23" s="978"/>
      <c r="L23" s="978"/>
      <c r="M23" s="979"/>
      <c r="N23" s="979"/>
      <c r="O23" s="979"/>
      <c r="P23" s="979"/>
      <c r="Q23" s="979"/>
      <c r="R23" s="176"/>
    </row>
    <row r="24" spans="1:18" x14ac:dyDescent="0.2">
      <c r="A24" s="976"/>
      <c r="B24" s="200" t="s">
        <v>76</v>
      </c>
      <c r="C24" s="164">
        <v>186000</v>
      </c>
      <c r="D24" s="165">
        <v>223200</v>
      </c>
      <c r="E24" s="165">
        <v>223200</v>
      </c>
      <c r="F24" s="165">
        <v>279000</v>
      </c>
      <c r="G24" s="166">
        <v>372000</v>
      </c>
      <c r="H24" s="180">
        <v>5.7000000000000002E-2</v>
      </c>
      <c r="I24" s="181">
        <f>+H24</f>
        <v>5.7000000000000002E-2</v>
      </c>
      <c r="J24" s="181">
        <f>+H24</f>
        <v>5.7000000000000002E-2</v>
      </c>
      <c r="K24" s="181">
        <f>+H24</f>
        <v>5.7000000000000002E-2</v>
      </c>
      <c r="L24" s="182">
        <f>+H24</f>
        <v>5.7000000000000002E-2</v>
      </c>
      <c r="M24" s="170">
        <f>CEILING(C24*(1+H24),100)</f>
        <v>196700</v>
      </c>
      <c r="N24" s="171">
        <f>CEILING(D24*(1+I24),100)</f>
        <v>236000</v>
      </c>
      <c r="O24" s="171">
        <f>CEILING(E24*(1+J24),100)</f>
        <v>236000</v>
      </c>
      <c r="P24" s="171">
        <f>CEILING(F24*(1+K24),100)</f>
        <v>295000</v>
      </c>
      <c r="Q24" s="172">
        <f>CEILING(G24*(1+L24),100)</f>
        <v>393300</v>
      </c>
      <c r="R24" s="176"/>
    </row>
    <row r="25" spans="1:18" ht="12.75" customHeight="1" x14ac:dyDescent="0.2">
      <c r="A25" s="980" t="s">
        <v>77</v>
      </c>
      <c r="B25" s="201" t="s">
        <v>74</v>
      </c>
      <c r="C25" s="810">
        <v>310000</v>
      </c>
      <c r="D25" s="811">
        <v>372000</v>
      </c>
      <c r="E25" s="811">
        <v>372000</v>
      </c>
      <c r="F25" s="811">
        <v>387500</v>
      </c>
      <c r="G25" s="812">
        <v>465000</v>
      </c>
      <c r="H25" s="156">
        <v>5.7000000000000002E-2</v>
      </c>
      <c r="I25" s="157">
        <f>+H25</f>
        <v>5.7000000000000002E-2</v>
      </c>
      <c r="J25" s="157">
        <f>+H25</f>
        <v>5.7000000000000002E-2</v>
      </c>
      <c r="K25" s="157">
        <f>+H25</f>
        <v>5.7000000000000002E-2</v>
      </c>
      <c r="L25" s="158">
        <f>+H25</f>
        <v>5.7000000000000002E-2</v>
      </c>
      <c r="M25" s="173">
        <f>CEILING(C25*(1+H25),100)</f>
        <v>327700</v>
      </c>
      <c r="N25" s="174">
        <f>+CEILING(C25*(1.2)*(1+I25),100)</f>
        <v>393300</v>
      </c>
      <c r="O25" s="174">
        <f>+CEILING(C25*(1.2)*(1+J25),100)</f>
        <v>393300</v>
      </c>
      <c r="P25" s="174">
        <f>+CEILING(F25*(1+K25),100)</f>
        <v>409600</v>
      </c>
      <c r="Q25" s="175">
        <f>+CEILING(G25*(1+L25),100)</f>
        <v>491600</v>
      </c>
    </row>
    <row r="26" spans="1:18" x14ac:dyDescent="0.2">
      <c r="A26" s="980"/>
      <c r="B26" s="199" t="s">
        <v>75</v>
      </c>
      <c r="C26" s="813">
        <v>250000</v>
      </c>
      <c r="D26" s="202"/>
      <c r="E26" s="202"/>
      <c r="F26" s="202"/>
      <c r="G26" s="203"/>
      <c r="H26" s="204">
        <v>5.7000000000000002E-2</v>
      </c>
      <c r="I26" s="981"/>
      <c r="J26" s="981"/>
      <c r="K26" s="981"/>
      <c r="L26" s="981"/>
      <c r="M26" s="205">
        <f>CEILING(C26*(1+H26),100)</f>
        <v>264300</v>
      </c>
      <c r="N26" s="982"/>
      <c r="O26" s="982"/>
      <c r="P26" s="982"/>
      <c r="Q26" s="982"/>
    </row>
    <row r="27" spans="1:18" x14ac:dyDescent="0.2">
      <c r="A27" s="980"/>
      <c r="B27" s="200" t="s">
        <v>76</v>
      </c>
      <c r="C27" s="164">
        <v>186000</v>
      </c>
      <c r="D27" s="165">
        <v>223200</v>
      </c>
      <c r="E27" s="165">
        <v>223200</v>
      </c>
      <c r="F27" s="165">
        <v>279000</v>
      </c>
      <c r="G27" s="166">
        <v>372000</v>
      </c>
      <c r="H27" s="167">
        <v>5.7000000000000002E-2</v>
      </c>
      <c r="I27" s="168">
        <f>+H27</f>
        <v>5.7000000000000002E-2</v>
      </c>
      <c r="J27" s="168">
        <f>+H27</f>
        <v>5.7000000000000002E-2</v>
      </c>
      <c r="K27" s="168">
        <f>+H27</f>
        <v>5.7000000000000002E-2</v>
      </c>
      <c r="L27" s="169">
        <f>+H27</f>
        <v>5.7000000000000002E-2</v>
      </c>
      <c r="M27" s="170">
        <f>CEILING(C27*(1+H27),100)</f>
        <v>196700</v>
      </c>
      <c r="N27" s="171">
        <f>CEILING(D27*(1+I27),100)</f>
        <v>236000</v>
      </c>
      <c r="O27" s="171">
        <f>CEILING(E27*(1+J27),100)</f>
        <v>236000</v>
      </c>
      <c r="P27" s="171">
        <f>CEILING(F27*(1+K27),100)</f>
        <v>295000</v>
      </c>
      <c r="Q27" s="172">
        <f>CEILING(G27*(1+L27),100)</f>
        <v>393300</v>
      </c>
    </row>
    <row r="31" spans="1:18" x14ac:dyDescent="0.2">
      <c r="D31" s="206"/>
    </row>
    <row r="32" spans="1:18" ht="15.75" x14ac:dyDescent="0.2">
      <c r="A32" s="973" t="s">
        <v>7</v>
      </c>
      <c r="B32" s="973"/>
      <c r="C32" s="973"/>
      <c r="D32" s="973"/>
      <c r="E32" s="973"/>
      <c r="F32" s="973"/>
      <c r="G32" s="21"/>
      <c r="H32" s="21"/>
    </row>
    <row r="34" spans="1:13" ht="16.5" customHeight="1" x14ac:dyDescent="0.2">
      <c r="A34" s="974" t="s">
        <v>62</v>
      </c>
      <c r="B34" s="975" t="s">
        <v>42</v>
      </c>
      <c r="C34" s="972" t="s">
        <v>78</v>
      </c>
      <c r="D34" s="972"/>
      <c r="E34" s="972"/>
      <c r="F34" s="972"/>
      <c r="G34" s="972"/>
      <c r="H34" s="972"/>
    </row>
    <row r="35" spans="1:13" ht="63.75" x14ac:dyDescent="0.2">
      <c r="A35" s="974"/>
      <c r="B35" s="975"/>
      <c r="C35" s="207" t="s">
        <v>49</v>
      </c>
      <c r="D35" s="208" t="s">
        <v>50</v>
      </c>
      <c r="E35" s="208" t="s">
        <v>51</v>
      </c>
      <c r="F35" s="208" t="s">
        <v>52</v>
      </c>
      <c r="G35" s="209" t="s">
        <v>53</v>
      </c>
      <c r="H35" s="794" t="s">
        <v>79</v>
      </c>
    </row>
    <row r="36" spans="1:13" ht="20.100000000000001" customHeight="1" x14ac:dyDescent="0.2">
      <c r="A36" s="966" t="str">
        <f>+A12</f>
        <v>Jardín Infantil Lobito Marino</v>
      </c>
      <c r="B36" s="210" t="str">
        <f>+B12</f>
        <v>Media jornada</v>
      </c>
      <c r="C36" s="211">
        <v>41</v>
      </c>
      <c r="D36" s="212">
        <v>0</v>
      </c>
      <c r="E36" s="212">
        <v>0</v>
      </c>
      <c r="F36" s="212">
        <v>2</v>
      </c>
      <c r="G36" s="213">
        <v>1</v>
      </c>
      <c r="H36" s="214">
        <f>SUM(C36:G36)</f>
        <v>44</v>
      </c>
    </row>
    <row r="37" spans="1:13" ht="20.100000000000001" customHeight="1" x14ac:dyDescent="0.2">
      <c r="A37" s="966"/>
      <c r="B37" s="215" t="str">
        <f t="shared" ref="B37:B42" si="1">+B13</f>
        <v>Jornada completa</v>
      </c>
      <c r="C37" s="216">
        <v>84</v>
      </c>
      <c r="D37" s="217">
        <v>0</v>
      </c>
      <c r="E37" s="217">
        <v>0</v>
      </c>
      <c r="F37" s="217">
        <v>1</v>
      </c>
      <c r="G37" s="218">
        <v>0</v>
      </c>
      <c r="H37" s="219">
        <f>SUM(C37:G37)</f>
        <v>85</v>
      </c>
      <c r="I37" s="220">
        <f>SUM(H36:H37)</f>
        <v>129</v>
      </c>
      <c r="J37" s="221" t="s">
        <v>80</v>
      </c>
      <c r="K37" s="221" t="s">
        <v>81</v>
      </c>
      <c r="L37" s="221"/>
      <c r="M37" s="221"/>
    </row>
    <row r="38" spans="1:13" ht="20.100000000000001" customHeight="1" x14ac:dyDescent="0.2">
      <c r="A38" s="967" t="str">
        <f>+A14</f>
        <v>Jardín Infantil Los Delfines</v>
      </c>
      <c r="B38" s="210" t="str">
        <f t="shared" si="1"/>
        <v>Media jornada</v>
      </c>
      <c r="C38" s="211"/>
      <c r="D38" s="212"/>
      <c r="E38" s="212"/>
      <c r="F38" s="212"/>
      <c r="G38" s="213"/>
      <c r="H38" s="214">
        <f>SUM(C38:G38)</f>
        <v>0</v>
      </c>
      <c r="I38" s="222"/>
      <c r="J38" s="221"/>
      <c r="K38" s="221"/>
      <c r="L38" s="223"/>
      <c r="M38" s="221"/>
    </row>
    <row r="39" spans="1:13" ht="20.100000000000001" customHeight="1" x14ac:dyDescent="0.2">
      <c r="A39" s="967"/>
      <c r="B39" s="224" t="str">
        <f t="shared" si="1"/>
        <v>Jornada completa</v>
      </c>
      <c r="C39" s="225">
        <v>120</v>
      </c>
      <c r="D39" s="226">
        <v>0</v>
      </c>
      <c r="E39" s="226">
        <v>0</v>
      </c>
      <c r="F39" s="226">
        <v>0</v>
      </c>
      <c r="G39" s="227">
        <v>0</v>
      </c>
      <c r="H39" s="228">
        <f>SUM(C39:G39)</f>
        <v>120</v>
      </c>
      <c r="I39" s="220">
        <f>SUM(H38:H39)</f>
        <v>120</v>
      </c>
      <c r="J39" s="229" t="s">
        <v>82</v>
      </c>
      <c r="K39" s="221"/>
      <c r="L39" s="223"/>
      <c r="M39" s="221"/>
    </row>
    <row r="40" spans="1:13" ht="20.100000000000001" customHeight="1" x14ac:dyDescent="0.2">
      <c r="A40" s="784" t="str">
        <f>+A16</f>
        <v>Jardín Infantil Pecesitos de Colores</v>
      </c>
      <c r="B40" s="230" t="str">
        <f t="shared" si="1"/>
        <v>Media jornada</v>
      </c>
      <c r="C40" s="815">
        <v>21</v>
      </c>
      <c r="D40" s="815">
        <v>0</v>
      </c>
      <c r="E40" s="815">
        <v>0</v>
      </c>
      <c r="F40" s="815">
        <v>2</v>
      </c>
      <c r="G40" s="816">
        <v>0</v>
      </c>
      <c r="H40" s="228">
        <f>SUM(C40:G40)</f>
        <v>23</v>
      </c>
      <c r="I40" s="220">
        <f>+H40</f>
        <v>23</v>
      </c>
      <c r="J40" s="229" t="s">
        <v>83</v>
      </c>
      <c r="K40" s="221"/>
      <c r="L40" s="221"/>
      <c r="M40" s="221"/>
    </row>
    <row r="41" spans="1:13" ht="20.100000000000001" customHeight="1" x14ac:dyDescent="0.2">
      <c r="A41" s="968" t="str">
        <f>+A17</f>
        <v>Jardín Infantil Caracolito de Mar</v>
      </c>
      <c r="B41" s="231" t="str">
        <f t="shared" si="1"/>
        <v>Media jornada</v>
      </c>
      <c r="C41" s="969"/>
      <c r="D41" s="969"/>
      <c r="E41" s="969"/>
      <c r="F41" s="969"/>
      <c r="G41" s="969"/>
      <c r="H41" s="232"/>
      <c r="I41" s="222"/>
    </row>
    <row r="42" spans="1:13" ht="20.100000000000001" customHeight="1" x14ac:dyDescent="0.2">
      <c r="A42" s="968"/>
      <c r="B42" s="215" t="str">
        <f t="shared" si="1"/>
        <v>Jornada completa</v>
      </c>
      <c r="C42" s="969"/>
      <c r="D42" s="969"/>
      <c r="E42" s="969"/>
      <c r="F42" s="969"/>
      <c r="G42" s="969"/>
      <c r="H42" s="233"/>
      <c r="I42" s="222"/>
    </row>
    <row r="43" spans="1:13" x14ac:dyDescent="0.2">
      <c r="I43" s="222"/>
    </row>
    <row r="44" spans="1:13" ht="16.5" customHeight="1" x14ac:dyDescent="0.2">
      <c r="A44" s="970" t="s">
        <v>72</v>
      </c>
      <c r="B44" s="971" t="s">
        <v>42</v>
      </c>
      <c r="C44" s="972" t="s">
        <v>78</v>
      </c>
      <c r="D44" s="972"/>
      <c r="E44" s="972"/>
      <c r="F44" s="972"/>
      <c r="G44" s="972"/>
      <c r="H44" s="972"/>
      <c r="I44" s="222"/>
    </row>
    <row r="45" spans="1:13" ht="63.75" x14ac:dyDescent="0.2">
      <c r="A45" s="970"/>
      <c r="B45" s="971"/>
      <c r="C45" s="207" t="s">
        <v>49</v>
      </c>
      <c r="D45" s="208" t="s">
        <v>50</v>
      </c>
      <c r="E45" s="208" t="s">
        <v>51</v>
      </c>
      <c r="F45" s="208" t="s">
        <v>52</v>
      </c>
      <c r="G45" s="209" t="s">
        <v>53</v>
      </c>
      <c r="H45" s="794" t="s">
        <v>79</v>
      </c>
      <c r="I45" s="222"/>
    </row>
    <row r="46" spans="1:13" ht="20.100000000000001" customHeight="1" x14ac:dyDescent="0.2">
      <c r="A46" s="964" t="str">
        <f>+A22</f>
        <v>Sala Cuna Caracolito de Mar</v>
      </c>
      <c r="B46" s="234" t="str">
        <f>+B22</f>
        <v>Diurna</v>
      </c>
      <c r="C46" s="235">
        <v>33</v>
      </c>
      <c r="D46" s="212">
        <v>0</v>
      </c>
      <c r="E46" s="212">
        <v>0</v>
      </c>
      <c r="F46" s="212">
        <v>0</v>
      </c>
      <c r="G46" s="213">
        <v>0</v>
      </c>
      <c r="H46" s="214">
        <f>SUM(C46:G46)</f>
        <v>33</v>
      </c>
      <c r="I46" s="236" t="s">
        <v>84</v>
      </c>
    </row>
    <row r="47" spans="1:13" ht="20.100000000000001" customHeight="1" x14ac:dyDescent="0.2">
      <c r="A47" s="964"/>
      <c r="B47" s="237" t="str">
        <f>+B23</f>
        <v>Nocturna</v>
      </c>
      <c r="C47" s="965"/>
      <c r="D47" s="965"/>
      <c r="E47" s="965"/>
      <c r="F47" s="965"/>
      <c r="G47" s="965"/>
      <c r="H47" s="238"/>
      <c r="I47" s="222"/>
    </row>
    <row r="48" spans="1:13" ht="20.100000000000001" customHeight="1" x14ac:dyDescent="0.2">
      <c r="A48" s="964"/>
      <c r="B48" s="239" t="str">
        <f>+B24</f>
        <v>Media Jornada</v>
      </c>
      <c r="C48" s="216"/>
      <c r="D48" s="217"/>
      <c r="E48" s="217"/>
      <c r="F48" s="217"/>
      <c r="G48" s="218"/>
      <c r="H48" s="219">
        <f>SUM(C48:G48)</f>
        <v>0</v>
      </c>
      <c r="I48" s="220">
        <f>+H46+H48</f>
        <v>33</v>
      </c>
    </row>
    <row r="49" spans="1:10" ht="20.100000000000001" customHeight="1" x14ac:dyDescent="0.2">
      <c r="A49" s="966" t="str">
        <f>+A25</f>
        <v>Sala Cuna Mar Azul</v>
      </c>
      <c r="B49" s="231" t="str">
        <f>+B25</f>
        <v>Diurna</v>
      </c>
      <c r="C49" s="240">
        <v>66</v>
      </c>
      <c r="D49" s="241">
        <v>0</v>
      </c>
      <c r="E49" s="241">
        <v>0</v>
      </c>
      <c r="F49" s="241">
        <v>0</v>
      </c>
      <c r="G49" s="242">
        <v>0</v>
      </c>
      <c r="H49" s="243">
        <f>SUM(C49:G49)</f>
        <v>66</v>
      </c>
      <c r="I49" s="222"/>
    </row>
    <row r="50" spans="1:10" ht="20.100000000000001" customHeight="1" x14ac:dyDescent="0.2">
      <c r="A50" s="966"/>
      <c r="B50" s="244" t="str">
        <f>+B26</f>
        <v>Nocturna</v>
      </c>
      <c r="C50" s="245">
        <v>19</v>
      </c>
      <c r="D50" s="246">
        <v>0</v>
      </c>
      <c r="E50" s="246">
        <v>0</v>
      </c>
      <c r="F50" s="246">
        <v>0</v>
      </c>
      <c r="G50" s="247">
        <v>0</v>
      </c>
      <c r="H50" s="248">
        <f>SUM(C50:G50)</f>
        <v>19</v>
      </c>
      <c r="I50" s="222"/>
    </row>
    <row r="51" spans="1:10" ht="20.100000000000001" customHeight="1" x14ac:dyDescent="0.2">
      <c r="A51" s="966"/>
      <c r="B51" s="215" t="str">
        <f>+B27</f>
        <v>Media Jornada</v>
      </c>
      <c r="C51" s="216"/>
      <c r="D51" s="217"/>
      <c r="E51" s="217"/>
      <c r="F51" s="217"/>
      <c r="G51" s="218"/>
      <c r="H51" s="219">
        <f>SUM(C51:G51)</f>
        <v>0</v>
      </c>
      <c r="I51" s="220">
        <f>+H49+H51</f>
        <v>66</v>
      </c>
      <c r="J51" s="145" t="s">
        <v>85</v>
      </c>
    </row>
  </sheetData>
  <sheetProtection algorithmName="SHA-512" hashValue="IIbqQnkbx1fqDmh/252FkeaT08pFOrITN1XLFLilWwusZLidtCyk2KwO06h5azmIHK97ihG7qHThWk9TMzygzQ==" saltValue="L5ga1IXRD4fxFvpzUyoQtw==" spinCount="100000" sheet="1" objects="1" scenarios="1"/>
  <mergeCells count="40">
    <mergeCell ref="C5:D5"/>
    <mergeCell ref="F5:G5"/>
    <mergeCell ref="A8:D8"/>
    <mergeCell ref="A10:A11"/>
    <mergeCell ref="B10:B11"/>
    <mergeCell ref="C10:G10"/>
    <mergeCell ref="H10:L10"/>
    <mergeCell ref="M10:Q10"/>
    <mergeCell ref="A12:A13"/>
    <mergeCell ref="A14:A15"/>
    <mergeCell ref="A17:A18"/>
    <mergeCell ref="C17:G18"/>
    <mergeCell ref="H17:L18"/>
    <mergeCell ref="M17:Q18"/>
    <mergeCell ref="A20:A21"/>
    <mergeCell ref="B20:B21"/>
    <mergeCell ref="C20:G20"/>
    <mergeCell ref="H20:L20"/>
    <mergeCell ref="M20:Q20"/>
    <mergeCell ref="A22:A24"/>
    <mergeCell ref="C23:G23"/>
    <mergeCell ref="H23:L23"/>
    <mergeCell ref="M23:Q23"/>
    <mergeCell ref="A25:A27"/>
    <mergeCell ref="I26:L26"/>
    <mergeCell ref="N26:Q26"/>
    <mergeCell ref="A32:F32"/>
    <mergeCell ref="A34:A35"/>
    <mergeCell ref="B34:B35"/>
    <mergeCell ref="C34:H34"/>
    <mergeCell ref="A36:A37"/>
    <mergeCell ref="A46:A48"/>
    <mergeCell ref="C47:G47"/>
    <mergeCell ref="A49:A51"/>
    <mergeCell ref="A38:A39"/>
    <mergeCell ref="A41:A42"/>
    <mergeCell ref="C41:G42"/>
    <mergeCell ref="A44:A45"/>
    <mergeCell ref="B44:B45"/>
    <mergeCell ref="C44:H44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538"/>
  <sheetViews>
    <sheetView showGridLines="0" topLeftCell="F299" zoomScale="80" zoomScaleNormal="80" workbookViewId="0">
      <selection activeCell="H336" sqref="H336"/>
    </sheetView>
  </sheetViews>
  <sheetFormatPr baseColWidth="10" defaultColWidth="9.140625" defaultRowHeight="12.75" x14ac:dyDescent="0.2"/>
  <cols>
    <col min="1" max="1" width="31.28515625" style="19"/>
    <col min="2" max="2" width="21.7109375" style="19"/>
    <col min="3" max="3" width="59.42578125" style="19"/>
    <col min="4" max="4" width="17.5703125" style="19"/>
    <col min="5" max="5" width="14.85546875" style="19"/>
    <col min="6" max="6" width="14.85546875" style="249"/>
    <col min="7" max="7" width="14.85546875" style="21"/>
    <col min="8" max="8" width="23.7109375" style="21"/>
    <col min="9" max="9" width="11.7109375" style="250" customWidth="1"/>
    <col min="10" max="10" width="16.140625" style="250"/>
    <col min="11" max="11" width="96.7109375" style="19"/>
    <col min="12" max="12" width="14.85546875" style="19"/>
    <col min="13" max="13" width="13.85546875" style="19"/>
    <col min="14" max="14" width="14" style="19"/>
    <col min="15" max="15" width="13.28515625" style="19"/>
    <col min="16" max="1025" width="11.7109375" style="19"/>
    <col min="1026" max="16384" width="9.140625" style="797"/>
  </cols>
  <sheetData>
    <row r="1" spans="1:8" x14ac:dyDescent="0.2">
      <c r="C1" s="4"/>
      <c r="D1" s="4" t="s">
        <v>86</v>
      </c>
      <c r="E1" s="4"/>
      <c r="F1" s="4"/>
      <c r="G1" s="4"/>
      <c r="H1" s="4"/>
    </row>
    <row r="2" spans="1:8" x14ac:dyDescent="0.2">
      <c r="C2" s="4"/>
      <c r="D2" s="4" t="s">
        <v>87</v>
      </c>
      <c r="E2" s="4"/>
      <c r="F2" s="4"/>
      <c r="G2" s="4"/>
      <c r="H2" s="4"/>
    </row>
    <row r="3" spans="1:8" x14ac:dyDescent="0.2">
      <c r="C3" s="4"/>
      <c r="E3" s="4"/>
      <c r="F3" s="4"/>
      <c r="G3" s="4"/>
      <c r="H3" s="4"/>
    </row>
    <row r="4" spans="1:8" ht="19.5" customHeight="1" x14ac:dyDescent="0.2">
      <c r="C4" s="788" t="s">
        <v>27</v>
      </c>
      <c r="D4" s="958" t="s">
        <v>88</v>
      </c>
      <c r="E4" s="958"/>
      <c r="F4" s="4"/>
      <c r="G4" s="4"/>
      <c r="H4" s="4"/>
    </row>
    <row r="5" spans="1:8" x14ac:dyDescent="0.2">
      <c r="B5" s="4"/>
      <c r="C5" s="4"/>
      <c r="D5" s="4"/>
      <c r="E5" s="4"/>
      <c r="F5" s="4"/>
      <c r="G5" s="4"/>
      <c r="H5" s="4"/>
    </row>
    <row r="6" spans="1:8" x14ac:dyDescent="0.2">
      <c r="B6" s="4"/>
      <c r="C6" s="4"/>
      <c r="D6" s="4"/>
      <c r="E6" s="4"/>
      <c r="F6" s="4"/>
      <c r="G6" s="4"/>
      <c r="H6" s="4" t="s">
        <v>89</v>
      </c>
    </row>
    <row r="7" spans="1:8" x14ac:dyDescent="0.2">
      <c r="C7" s="21"/>
    </row>
    <row r="8" spans="1:8" ht="15.75" x14ac:dyDescent="0.2">
      <c r="A8" s="973" t="s">
        <v>9</v>
      </c>
      <c r="B8" s="973"/>
      <c r="C8" s="973"/>
      <c r="D8" s="4"/>
      <c r="G8" s="19"/>
    </row>
    <row r="10" spans="1:8" ht="12.75" customHeight="1" x14ac:dyDescent="0.2">
      <c r="A10" s="994" t="s">
        <v>29</v>
      </c>
      <c r="B10" s="995" t="s">
        <v>90</v>
      </c>
      <c r="C10" s="996" t="s">
        <v>91</v>
      </c>
      <c r="D10" s="997" t="s">
        <v>92</v>
      </c>
      <c r="E10" s="998" t="s">
        <v>93</v>
      </c>
      <c r="F10" s="998"/>
      <c r="G10" s="998"/>
      <c r="H10" s="991" t="s">
        <v>94</v>
      </c>
    </row>
    <row r="11" spans="1:8" ht="25.5" x14ac:dyDescent="0.2">
      <c r="A11" s="994"/>
      <c r="B11" s="995"/>
      <c r="C11" s="996"/>
      <c r="D11" s="997"/>
      <c r="E11" s="38" t="s">
        <v>95</v>
      </c>
      <c r="F11" s="251" t="s">
        <v>96</v>
      </c>
      <c r="G11" s="789" t="s">
        <v>97</v>
      </c>
      <c r="H11" s="991"/>
    </row>
    <row r="12" spans="1:8" ht="15.75" customHeight="1" x14ac:dyDescent="0.2">
      <c r="A12" s="1014" t="str">
        <f>+'B) Reajuste Tarifas y Ocupación'!A12</f>
        <v>Jardín Infantil Lobito Marino</v>
      </c>
      <c r="B12" s="252"/>
      <c r="C12" s="253" t="s">
        <v>98</v>
      </c>
      <c r="D12" s="254">
        <f>SUM(D13,D18)</f>
        <v>122827541.99664</v>
      </c>
      <c r="E12" s="255"/>
      <c r="F12" s="255"/>
      <c r="G12" s="256">
        <f>SUM(G13,G18)</f>
        <v>28480020</v>
      </c>
      <c r="H12" s="257">
        <f>SUM(H13,H18)</f>
        <v>151307561.99664</v>
      </c>
    </row>
    <row r="13" spans="1:8" x14ac:dyDescent="0.2">
      <c r="A13" s="1014"/>
      <c r="B13" s="258"/>
      <c r="C13" s="259" t="s">
        <v>99</v>
      </c>
      <c r="D13" s="260">
        <f>SUM(D14:D17)</f>
        <v>115944841.99664</v>
      </c>
      <c r="E13" s="261"/>
      <c r="F13" s="261"/>
      <c r="G13" s="46">
        <f>SUM(G14:G17)</f>
        <v>0</v>
      </c>
      <c r="H13" s="262">
        <f>SUM(H14:H17)</f>
        <v>115944841.99664</v>
      </c>
    </row>
    <row r="14" spans="1:8" x14ac:dyDescent="0.2">
      <c r="A14" s="1014"/>
      <c r="B14" s="817">
        <v>53103040100000</v>
      </c>
      <c r="C14" s="818" t="s">
        <v>100</v>
      </c>
      <c r="D14" s="298">
        <f>'F) Remuneraciones'!L11</f>
        <v>114796873.264</v>
      </c>
      <c r="E14" s="819"/>
      <c r="F14" s="820"/>
      <c r="G14" s="263">
        <f>E14*F14</f>
        <v>0</v>
      </c>
      <c r="H14" s="264">
        <f>D14+G14</f>
        <v>114796873.264</v>
      </c>
    </row>
    <row r="15" spans="1:8" x14ac:dyDescent="0.2">
      <c r="A15" s="1014"/>
      <c r="B15" s="817">
        <v>53103050000000</v>
      </c>
      <c r="C15" s="818" t="s">
        <v>101</v>
      </c>
      <c r="D15" s="265">
        <v>0</v>
      </c>
      <c r="E15" s="266">
        <v>0</v>
      </c>
      <c r="F15" s="267">
        <v>0</v>
      </c>
      <c r="G15" s="263">
        <f>E15*F15</f>
        <v>0</v>
      </c>
      <c r="H15" s="264">
        <f>D15+G15</f>
        <v>0</v>
      </c>
    </row>
    <row r="16" spans="1:8" x14ac:dyDescent="0.2">
      <c r="A16" s="1014"/>
      <c r="B16" s="822">
        <v>53103040400000</v>
      </c>
      <c r="C16" s="823" t="s">
        <v>102</v>
      </c>
      <c r="D16" s="265">
        <f>D14*0.01</f>
        <v>1147968.7326400001</v>
      </c>
      <c r="E16" s="266">
        <v>0</v>
      </c>
      <c r="F16" s="267">
        <v>0</v>
      </c>
      <c r="G16" s="263">
        <f>E16*F16</f>
        <v>0</v>
      </c>
      <c r="H16" s="264">
        <f>D16+G16</f>
        <v>1147968.7326400001</v>
      </c>
    </row>
    <row r="17" spans="1:9" x14ac:dyDescent="0.2">
      <c r="A17" s="1014"/>
      <c r="B17" s="817">
        <v>53103080010000</v>
      </c>
      <c r="C17" s="818" t="s">
        <v>103</v>
      </c>
      <c r="D17" s="265">
        <v>0</v>
      </c>
      <c r="E17" s="266">
        <v>0</v>
      </c>
      <c r="F17" s="267">
        <v>0</v>
      </c>
      <c r="G17" s="263">
        <f>E17*F17</f>
        <v>0</v>
      </c>
      <c r="H17" s="264">
        <f>D17+G17</f>
        <v>0</v>
      </c>
    </row>
    <row r="18" spans="1:9" x14ac:dyDescent="0.2">
      <c r="A18" s="1014"/>
      <c r="B18" s="258"/>
      <c r="C18" s="259" t="s">
        <v>104</v>
      </c>
      <c r="D18" s="260">
        <f>SUM(D19:D38)</f>
        <v>6882700</v>
      </c>
      <c r="E18" s="261"/>
      <c r="F18" s="261"/>
      <c r="G18" s="260">
        <f>SUM(G19:G38)</f>
        <v>28480020</v>
      </c>
      <c r="H18" s="262">
        <f>SUM(H19:H38)</f>
        <v>35362720</v>
      </c>
    </row>
    <row r="19" spans="1:9" x14ac:dyDescent="0.2">
      <c r="A19" s="1014"/>
      <c r="B19" s="817">
        <v>53201010100000</v>
      </c>
      <c r="C19" s="818" t="s">
        <v>105</v>
      </c>
      <c r="D19" s="265">
        <v>0</v>
      </c>
      <c r="E19" s="269">
        <v>1821</v>
      </c>
      <c r="F19" s="270">
        <f>17*20*11</f>
        <v>3740</v>
      </c>
      <c r="G19" s="271">
        <f t="shared" ref="G19:G38" si="0">E19*F19</f>
        <v>6810540</v>
      </c>
      <c r="H19" s="272">
        <f t="shared" ref="H19:H38" si="1">D19+G19</f>
        <v>6810540</v>
      </c>
      <c r="I19" s="250" t="s">
        <v>826</v>
      </c>
    </row>
    <row r="20" spans="1:9" x14ac:dyDescent="0.2">
      <c r="A20" s="1014"/>
      <c r="B20" s="817">
        <v>53201010100000</v>
      </c>
      <c r="C20" s="818" t="s">
        <v>106</v>
      </c>
      <c r="D20" s="265">
        <v>0</v>
      </c>
      <c r="E20" s="266">
        <v>1000</v>
      </c>
      <c r="F20" s="267">
        <f>85*20*10</f>
        <v>17000</v>
      </c>
      <c r="G20" s="263">
        <f t="shared" si="0"/>
        <v>17000000</v>
      </c>
      <c r="H20" s="264">
        <f t="shared" si="1"/>
        <v>17000000</v>
      </c>
    </row>
    <row r="21" spans="1:9" x14ac:dyDescent="0.2">
      <c r="A21" s="1014"/>
      <c r="B21" s="817">
        <v>53201010100000</v>
      </c>
      <c r="C21" s="818" t="s">
        <v>107</v>
      </c>
      <c r="D21" s="265">
        <v>0</v>
      </c>
      <c r="E21" s="266">
        <v>0</v>
      </c>
      <c r="F21" s="273">
        <v>0</v>
      </c>
      <c r="G21" s="263">
        <f t="shared" si="0"/>
        <v>0</v>
      </c>
      <c r="H21" s="264">
        <f t="shared" si="1"/>
        <v>0</v>
      </c>
    </row>
    <row r="22" spans="1:9" x14ac:dyDescent="0.2">
      <c r="A22" s="1014"/>
      <c r="B22" s="817">
        <v>53202010100000</v>
      </c>
      <c r="C22" s="818" t="s">
        <v>108</v>
      </c>
      <c r="D22" s="266">
        <v>0</v>
      </c>
      <c r="E22" s="266">
        <v>0</v>
      </c>
      <c r="F22" s="274">
        <v>0</v>
      </c>
      <c r="G22" s="263">
        <f t="shared" si="0"/>
        <v>0</v>
      </c>
      <c r="H22" s="264">
        <f t="shared" si="1"/>
        <v>0</v>
      </c>
    </row>
    <row r="23" spans="1:9" x14ac:dyDescent="0.2">
      <c r="A23" s="1014"/>
      <c r="B23" s="817">
        <v>53203010100000</v>
      </c>
      <c r="C23" s="818" t="s">
        <v>109</v>
      </c>
      <c r="D23" s="275">
        <v>0</v>
      </c>
      <c r="E23" s="275">
        <v>0</v>
      </c>
      <c r="F23" s="276">
        <v>0</v>
      </c>
      <c r="G23" s="263">
        <f t="shared" si="0"/>
        <v>0</v>
      </c>
      <c r="H23" s="264">
        <f t="shared" si="1"/>
        <v>0</v>
      </c>
    </row>
    <row r="24" spans="1:9" x14ac:dyDescent="0.2">
      <c r="A24" s="1014"/>
      <c r="B24" s="817">
        <v>53203030000000</v>
      </c>
      <c r="C24" s="818" t="s">
        <v>110</v>
      </c>
      <c r="D24" s="275">
        <v>0</v>
      </c>
      <c r="E24" s="275">
        <v>0</v>
      </c>
      <c r="F24" s="276">
        <v>0</v>
      </c>
      <c r="G24" s="263">
        <f t="shared" si="0"/>
        <v>0</v>
      </c>
      <c r="H24" s="264">
        <f t="shared" si="1"/>
        <v>0</v>
      </c>
    </row>
    <row r="25" spans="1:9" x14ac:dyDescent="0.2">
      <c r="A25" s="1014"/>
      <c r="B25" s="817">
        <v>53204030000000</v>
      </c>
      <c r="C25" s="818" t="s">
        <v>111</v>
      </c>
      <c r="D25" s="275">
        <v>0</v>
      </c>
      <c r="E25" s="275">
        <v>26390</v>
      </c>
      <c r="F25" s="276">
        <v>6</v>
      </c>
      <c r="G25" s="263">
        <f t="shared" si="0"/>
        <v>158340</v>
      </c>
      <c r="H25" s="264">
        <f t="shared" si="1"/>
        <v>158340</v>
      </c>
    </row>
    <row r="26" spans="1:9" x14ac:dyDescent="0.2">
      <c r="A26" s="1014"/>
      <c r="B26" s="817">
        <v>53204100100001</v>
      </c>
      <c r="C26" s="818" t="s">
        <v>112</v>
      </c>
      <c r="D26" s="275">
        <v>0</v>
      </c>
      <c r="E26" s="275">
        <v>0</v>
      </c>
      <c r="F26" s="276">
        <v>0</v>
      </c>
      <c r="G26" s="263">
        <f t="shared" si="0"/>
        <v>0</v>
      </c>
      <c r="H26" s="264">
        <f t="shared" si="1"/>
        <v>0</v>
      </c>
    </row>
    <row r="27" spans="1:9" x14ac:dyDescent="0.2">
      <c r="A27" s="1014"/>
      <c r="B27" s="817">
        <v>53204130100000</v>
      </c>
      <c r="C27" s="818" t="s">
        <v>113</v>
      </c>
      <c r="D27" s="275">
        <v>0</v>
      </c>
      <c r="E27" s="275">
        <v>0</v>
      </c>
      <c r="F27" s="276">
        <v>0</v>
      </c>
      <c r="G27" s="263">
        <f t="shared" si="0"/>
        <v>0</v>
      </c>
      <c r="H27" s="264">
        <f t="shared" si="1"/>
        <v>0</v>
      </c>
    </row>
    <row r="28" spans="1:9" x14ac:dyDescent="0.2">
      <c r="A28" s="1014"/>
      <c r="B28" s="817">
        <v>53205010100000</v>
      </c>
      <c r="C28" s="818" t="s">
        <v>114</v>
      </c>
      <c r="D28" s="275">
        <v>1924464</v>
      </c>
      <c r="E28" s="275">
        <v>0</v>
      </c>
      <c r="F28" s="276">
        <v>0</v>
      </c>
      <c r="G28" s="263">
        <f t="shared" si="0"/>
        <v>0</v>
      </c>
      <c r="H28" s="264">
        <f t="shared" si="1"/>
        <v>1924464</v>
      </c>
    </row>
    <row r="29" spans="1:9" x14ac:dyDescent="0.2">
      <c r="A29" s="1014"/>
      <c r="B29" s="817">
        <v>53205020100000</v>
      </c>
      <c r="C29" s="818" t="s">
        <v>115</v>
      </c>
      <c r="D29" s="275">
        <v>1927243</v>
      </c>
      <c r="E29" s="275">
        <v>0</v>
      </c>
      <c r="F29" s="276">
        <v>0</v>
      </c>
      <c r="G29" s="263">
        <f t="shared" si="0"/>
        <v>0</v>
      </c>
      <c r="H29" s="264">
        <f t="shared" si="1"/>
        <v>1927243</v>
      </c>
    </row>
    <row r="30" spans="1:9" x14ac:dyDescent="0.2">
      <c r="A30" s="1014"/>
      <c r="B30" s="817">
        <v>53205030100000</v>
      </c>
      <c r="C30" s="818" t="s">
        <v>116</v>
      </c>
      <c r="D30" s="275">
        <v>2089477</v>
      </c>
      <c r="E30" s="275">
        <v>0</v>
      </c>
      <c r="F30" s="276">
        <v>0</v>
      </c>
      <c r="G30" s="263">
        <f t="shared" si="0"/>
        <v>0</v>
      </c>
      <c r="H30" s="264">
        <f t="shared" si="1"/>
        <v>2089477</v>
      </c>
    </row>
    <row r="31" spans="1:9" x14ac:dyDescent="0.2">
      <c r="A31" s="1014"/>
      <c r="B31" s="817">
        <v>53205050100000</v>
      </c>
      <c r="C31" s="818" t="s">
        <v>117</v>
      </c>
      <c r="D31" s="275">
        <v>621516</v>
      </c>
      <c r="E31" s="275">
        <v>0</v>
      </c>
      <c r="F31" s="276">
        <v>0</v>
      </c>
      <c r="G31" s="263">
        <f t="shared" si="0"/>
        <v>0</v>
      </c>
      <c r="H31" s="264">
        <f t="shared" si="1"/>
        <v>621516</v>
      </c>
    </row>
    <row r="32" spans="1:9" x14ac:dyDescent="0.2">
      <c r="A32" s="1014"/>
      <c r="B32" s="817">
        <v>53205070100000</v>
      </c>
      <c r="C32" s="818" t="s">
        <v>118</v>
      </c>
      <c r="D32" s="275">
        <v>0</v>
      </c>
      <c r="E32" s="275">
        <v>0</v>
      </c>
      <c r="F32" s="276">
        <v>0</v>
      </c>
      <c r="G32" s="263">
        <f t="shared" si="0"/>
        <v>0</v>
      </c>
      <c r="H32" s="264">
        <f t="shared" si="1"/>
        <v>0</v>
      </c>
    </row>
    <row r="33" spans="1:9" x14ac:dyDescent="0.2">
      <c r="A33" s="1014"/>
      <c r="B33" s="817">
        <v>53208010100000</v>
      </c>
      <c r="C33" s="818" t="s">
        <v>119</v>
      </c>
      <c r="D33" s="275">
        <v>0</v>
      </c>
      <c r="E33" s="275">
        <v>828836</v>
      </c>
      <c r="F33" s="276">
        <v>2</v>
      </c>
      <c r="G33" s="263">
        <f t="shared" si="0"/>
        <v>1657672</v>
      </c>
      <c r="H33" s="264">
        <f t="shared" si="1"/>
        <v>1657672</v>
      </c>
    </row>
    <row r="34" spans="1:9" x14ac:dyDescent="0.2">
      <c r="A34" s="1014"/>
      <c r="B34" s="817">
        <v>53208070100001</v>
      </c>
      <c r="C34" s="818" t="s">
        <v>120</v>
      </c>
      <c r="D34" s="277">
        <v>0</v>
      </c>
      <c r="E34" s="277">
        <v>0</v>
      </c>
      <c r="F34" s="274">
        <v>0</v>
      </c>
      <c r="G34" s="263">
        <f t="shared" si="0"/>
        <v>0</v>
      </c>
      <c r="H34" s="264">
        <f t="shared" si="1"/>
        <v>0</v>
      </c>
    </row>
    <row r="35" spans="1:9" x14ac:dyDescent="0.2">
      <c r="A35" s="1014"/>
      <c r="B35" s="817">
        <v>53208100100001</v>
      </c>
      <c r="C35" s="818" t="s">
        <v>121</v>
      </c>
      <c r="D35" s="275">
        <v>0</v>
      </c>
      <c r="E35" s="275">
        <v>0</v>
      </c>
      <c r="F35" s="276">
        <v>0</v>
      </c>
      <c r="G35" s="263">
        <f t="shared" si="0"/>
        <v>0</v>
      </c>
      <c r="H35" s="264">
        <f t="shared" si="1"/>
        <v>0</v>
      </c>
    </row>
    <row r="36" spans="1:9" x14ac:dyDescent="0.2">
      <c r="A36" s="1014"/>
      <c r="B36" s="817">
        <v>53211030000000</v>
      </c>
      <c r="C36" s="818" t="s">
        <v>122</v>
      </c>
      <c r="D36" s="275">
        <v>150000</v>
      </c>
      <c r="E36" s="275">
        <v>0</v>
      </c>
      <c r="F36" s="276">
        <v>0</v>
      </c>
      <c r="G36" s="263">
        <f t="shared" si="0"/>
        <v>0</v>
      </c>
      <c r="H36" s="264">
        <f t="shared" si="1"/>
        <v>150000</v>
      </c>
    </row>
    <row r="37" spans="1:9" x14ac:dyDescent="0.2">
      <c r="A37" s="1014"/>
      <c r="B37" s="817">
        <v>53212020100000</v>
      </c>
      <c r="C37" s="818" t="s">
        <v>123</v>
      </c>
      <c r="D37" s="275">
        <v>0</v>
      </c>
      <c r="E37" s="275">
        <v>317052</v>
      </c>
      <c r="F37" s="276">
        <v>9</v>
      </c>
      <c r="G37" s="263">
        <f t="shared" si="0"/>
        <v>2853468</v>
      </c>
      <c r="H37" s="264">
        <f t="shared" si="1"/>
        <v>2853468</v>
      </c>
    </row>
    <row r="38" spans="1:9" x14ac:dyDescent="0.2">
      <c r="A38" s="1014"/>
      <c r="B38" s="817">
        <v>53214020000000</v>
      </c>
      <c r="C38" s="818" t="s">
        <v>124</v>
      </c>
      <c r="D38" s="277">
        <f>'H) Detalle Datos'!Y189</f>
        <v>170000</v>
      </c>
      <c r="E38" s="277">
        <v>0</v>
      </c>
      <c r="F38" s="274">
        <v>0</v>
      </c>
      <c r="G38" s="263">
        <f t="shared" si="0"/>
        <v>0</v>
      </c>
      <c r="H38" s="264">
        <f t="shared" si="1"/>
        <v>170000</v>
      </c>
    </row>
    <row r="39" spans="1:9" ht="15.75" customHeight="1" x14ac:dyDescent="0.2">
      <c r="A39" s="1014"/>
      <c r="B39" s="252"/>
      <c r="C39" s="253" t="s">
        <v>125</v>
      </c>
      <c r="D39" s="254">
        <f>+D40+D45+D47+D56+D65+D73</f>
        <v>7232037</v>
      </c>
      <c r="E39" s="295"/>
      <c r="F39" s="295"/>
      <c r="G39" s="254">
        <f>+G40+G45+G47+G56+G65+G73</f>
        <v>8655940</v>
      </c>
      <c r="H39" s="254">
        <f>+H40+H45+H47+H56+H65+H73</f>
        <v>15887977</v>
      </c>
    </row>
    <row r="40" spans="1:9" x14ac:dyDescent="0.2">
      <c r="A40" s="1014"/>
      <c r="B40" s="258"/>
      <c r="C40" s="259" t="s">
        <v>126</v>
      </c>
      <c r="D40" s="260">
        <f>SUM(D41:D44)</f>
        <v>120000</v>
      </c>
      <c r="E40" s="279"/>
      <c r="F40" s="279"/>
      <c r="G40" s="279">
        <f>SUM(G41:G44)</f>
        <v>1002800</v>
      </c>
      <c r="H40" s="280">
        <f>SUM(H41:H44)</f>
        <v>1122800</v>
      </c>
    </row>
    <row r="41" spans="1:9" x14ac:dyDescent="0.2">
      <c r="A41" s="1014"/>
      <c r="B41" s="817">
        <v>53202020100000</v>
      </c>
      <c r="C41" s="818" t="s">
        <v>127</v>
      </c>
      <c r="D41" s="269">
        <f>30000*4</f>
        <v>120000</v>
      </c>
      <c r="E41" s="266">
        <v>40000</v>
      </c>
      <c r="F41" s="273">
        <v>18</v>
      </c>
      <c r="G41" s="263">
        <f>E41*F41</f>
        <v>720000</v>
      </c>
      <c r="H41" s="264">
        <f>D41+G41</f>
        <v>840000</v>
      </c>
    </row>
    <row r="42" spans="1:9" x14ac:dyDescent="0.2">
      <c r="A42" s="1014"/>
      <c r="B42" s="817">
        <v>53202030000000</v>
      </c>
      <c r="C42" s="818" t="s">
        <v>128</v>
      </c>
      <c r="D42" s="265"/>
      <c r="E42" s="269">
        <v>38990</v>
      </c>
      <c r="F42" s="281">
        <v>4</v>
      </c>
      <c r="G42" s="263">
        <f>E42*F42</f>
        <v>155960</v>
      </c>
      <c r="H42" s="264">
        <f>D42+G42</f>
        <v>155960</v>
      </c>
    </row>
    <row r="43" spans="1:9" x14ac:dyDescent="0.2">
      <c r="A43" s="1014"/>
      <c r="B43" s="817">
        <v>53211020000000</v>
      </c>
      <c r="C43" s="818" t="s">
        <v>129</v>
      </c>
      <c r="D43" s="275"/>
      <c r="E43" s="275">
        <v>63420</v>
      </c>
      <c r="F43" s="276">
        <v>2</v>
      </c>
      <c r="G43" s="263">
        <f>E43*F43</f>
        <v>126840</v>
      </c>
      <c r="H43" s="264">
        <f>D43+G43</f>
        <v>126840</v>
      </c>
    </row>
    <row r="44" spans="1:9" x14ac:dyDescent="0.2">
      <c r="A44" s="1014"/>
      <c r="B44" s="817">
        <v>53101040600000</v>
      </c>
      <c r="C44" s="818" t="s">
        <v>130</v>
      </c>
      <c r="D44" s="275">
        <v>0</v>
      </c>
      <c r="E44" s="275">
        <v>0</v>
      </c>
      <c r="F44" s="276">
        <v>0</v>
      </c>
      <c r="G44" s="263">
        <f>E44*F44</f>
        <v>0</v>
      </c>
      <c r="H44" s="264">
        <f>D44+G44</f>
        <v>0</v>
      </c>
    </row>
    <row r="45" spans="1:9" x14ac:dyDescent="0.2">
      <c r="A45" s="1014"/>
      <c r="B45" s="258"/>
      <c r="C45" s="259" t="s">
        <v>131</v>
      </c>
      <c r="D45" s="268">
        <f>SUM(D46)</f>
        <v>0</v>
      </c>
      <c r="E45" s="278"/>
      <c r="F45" s="282"/>
      <c r="G45" s="279">
        <f>SUM(G46:G46)</f>
        <v>398400</v>
      </c>
      <c r="H45" s="280">
        <f>SUM(H46:H46)</f>
        <v>398400</v>
      </c>
    </row>
    <row r="46" spans="1:9" x14ac:dyDescent="0.2">
      <c r="A46" s="1014"/>
      <c r="B46" s="825">
        <v>53205990000000</v>
      </c>
      <c r="C46" s="818" t="s">
        <v>132</v>
      </c>
      <c r="D46" s="275">
        <v>0</v>
      </c>
      <c r="E46" s="275">
        <v>33200</v>
      </c>
      <c r="F46" s="276">
        <v>12</v>
      </c>
      <c r="G46" s="263">
        <f>E46*F46</f>
        <v>398400</v>
      </c>
      <c r="H46" s="264">
        <f>D46+G46</f>
        <v>398400</v>
      </c>
      <c r="I46" s="250" t="s">
        <v>827</v>
      </c>
    </row>
    <row r="47" spans="1:9" x14ac:dyDescent="0.2">
      <c r="A47" s="1014"/>
      <c r="B47" s="258"/>
      <c r="C47" s="259" t="s">
        <v>133</v>
      </c>
      <c r="D47" s="268">
        <f>SUM(D48:D55)</f>
        <v>6096450</v>
      </c>
      <c r="E47" s="278"/>
      <c r="F47" s="282"/>
      <c r="G47" s="260">
        <f>SUM(G48:G55)</f>
        <v>2608000</v>
      </c>
      <c r="H47" s="262">
        <f>SUM(H48:H55)</f>
        <v>8704450</v>
      </c>
    </row>
    <row r="48" spans="1:9" x14ac:dyDescent="0.2">
      <c r="A48" s="1014"/>
      <c r="B48" s="817">
        <v>53204010000000</v>
      </c>
      <c r="C48" s="818" t="s">
        <v>134</v>
      </c>
      <c r="D48" s="275">
        <v>698450</v>
      </c>
      <c r="E48" s="275">
        <v>0</v>
      </c>
      <c r="F48" s="276">
        <v>0</v>
      </c>
      <c r="G48" s="263">
        <f t="shared" ref="G48:G55" si="2">E48*F48</f>
        <v>0</v>
      </c>
      <c r="H48" s="264">
        <f t="shared" ref="H48:H55" si="3">D48+G48</f>
        <v>698450</v>
      </c>
    </row>
    <row r="49" spans="1:9" x14ac:dyDescent="0.2">
      <c r="A49" s="1014"/>
      <c r="B49" s="825">
        <v>53204040200000</v>
      </c>
      <c r="C49" s="818" t="s">
        <v>135</v>
      </c>
      <c r="D49" s="275">
        <v>0</v>
      </c>
      <c r="E49" s="275">
        <v>18000</v>
      </c>
      <c r="F49" s="276">
        <v>6</v>
      </c>
      <c r="G49" s="263">
        <f t="shared" si="2"/>
        <v>108000</v>
      </c>
      <c r="H49" s="264">
        <f t="shared" si="3"/>
        <v>108000</v>
      </c>
    </row>
    <row r="50" spans="1:9" x14ac:dyDescent="0.2">
      <c r="A50" s="1014"/>
      <c r="B50" s="817">
        <v>53204060000000</v>
      </c>
      <c r="C50" s="818" t="s">
        <v>136</v>
      </c>
      <c r="D50" s="275">
        <f>'H) Detalle Datos'!J188</f>
        <v>160000</v>
      </c>
      <c r="E50" s="275">
        <v>0</v>
      </c>
      <c r="F50" s="276">
        <v>0</v>
      </c>
      <c r="G50" s="263">
        <f t="shared" si="2"/>
        <v>0</v>
      </c>
      <c r="H50" s="264">
        <f t="shared" si="3"/>
        <v>160000</v>
      </c>
    </row>
    <row r="51" spans="1:9" x14ac:dyDescent="0.2">
      <c r="A51" s="1014"/>
      <c r="B51" s="817">
        <v>53204070000000</v>
      </c>
      <c r="C51" s="818" t="s">
        <v>137</v>
      </c>
      <c r="D51" s="283">
        <f>'H) Detalle Datos'!F188</f>
        <v>5088000</v>
      </c>
      <c r="E51" s="283">
        <v>250000</v>
      </c>
      <c r="F51" s="284">
        <v>10</v>
      </c>
      <c r="G51" s="271">
        <f t="shared" si="2"/>
        <v>2500000</v>
      </c>
      <c r="H51" s="272">
        <f t="shared" si="3"/>
        <v>7588000</v>
      </c>
      <c r="I51" s="250" t="s">
        <v>138</v>
      </c>
    </row>
    <row r="52" spans="1:9" x14ac:dyDescent="0.2">
      <c r="A52" s="1014"/>
      <c r="B52" s="817">
        <v>53204080000000</v>
      </c>
      <c r="C52" s="818" t="s">
        <v>139</v>
      </c>
      <c r="D52" s="275">
        <v>150000</v>
      </c>
      <c r="E52" s="275">
        <v>0</v>
      </c>
      <c r="F52" s="276">
        <v>0</v>
      </c>
      <c r="G52" s="263">
        <f t="shared" si="2"/>
        <v>0</v>
      </c>
      <c r="H52" s="264">
        <f t="shared" si="3"/>
        <v>150000</v>
      </c>
    </row>
    <row r="53" spans="1:9" x14ac:dyDescent="0.2">
      <c r="A53" s="1014"/>
      <c r="B53" s="817">
        <v>53214010000000</v>
      </c>
      <c r="C53" s="818" t="s">
        <v>140</v>
      </c>
      <c r="D53" s="277"/>
      <c r="E53" s="277">
        <v>0</v>
      </c>
      <c r="F53" s="274">
        <v>0</v>
      </c>
      <c r="G53" s="263">
        <f t="shared" si="2"/>
        <v>0</v>
      </c>
      <c r="H53" s="264">
        <f t="shared" si="3"/>
        <v>0</v>
      </c>
    </row>
    <row r="54" spans="1:9" x14ac:dyDescent="0.2">
      <c r="A54" s="1014"/>
      <c r="B54" s="817">
        <v>53214040000000</v>
      </c>
      <c r="C54" s="818" t="s">
        <v>141</v>
      </c>
      <c r="D54" s="277">
        <v>0</v>
      </c>
      <c r="E54" s="277">
        <v>0</v>
      </c>
      <c r="F54" s="274">
        <v>0</v>
      </c>
      <c r="G54" s="263">
        <f t="shared" si="2"/>
        <v>0</v>
      </c>
      <c r="H54" s="264">
        <f t="shared" si="3"/>
        <v>0</v>
      </c>
    </row>
    <row r="55" spans="1:9" x14ac:dyDescent="0.2">
      <c r="A55" s="1014"/>
      <c r="B55" s="822">
        <v>53204020100000</v>
      </c>
      <c r="C55" s="818" t="s">
        <v>142</v>
      </c>
      <c r="D55" s="275">
        <v>0</v>
      </c>
      <c r="E55" s="275">
        <v>0</v>
      </c>
      <c r="F55" s="276">
        <v>0</v>
      </c>
      <c r="G55" s="263">
        <f t="shared" si="2"/>
        <v>0</v>
      </c>
      <c r="H55" s="264">
        <f t="shared" si="3"/>
        <v>0</v>
      </c>
    </row>
    <row r="56" spans="1:9" x14ac:dyDescent="0.2">
      <c r="A56" s="1014"/>
      <c r="B56" s="258"/>
      <c r="C56" s="259" t="s">
        <v>143</v>
      </c>
      <c r="D56" s="260">
        <f>SUM(D57:D64)</f>
        <v>1015587</v>
      </c>
      <c r="E56" s="279"/>
      <c r="F56" s="304"/>
      <c r="G56" s="260">
        <f>SUM(G57:G64)</f>
        <v>2406740</v>
      </c>
      <c r="H56" s="262">
        <f>SUM(H57:H64)</f>
        <v>3422327</v>
      </c>
    </row>
    <row r="57" spans="1:9" x14ac:dyDescent="0.2">
      <c r="A57" s="1014"/>
      <c r="B57" s="817">
        <v>53207010000000</v>
      </c>
      <c r="C57" s="818" t="s">
        <v>144</v>
      </c>
      <c r="D57" s="275">
        <v>0</v>
      </c>
      <c r="E57" s="275">
        <v>0</v>
      </c>
      <c r="F57" s="276">
        <v>0</v>
      </c>
      <c r="G57" s="263">
        <f t="shared" ref="G57:G64" si="4">E57*F57</f>
        <v>0</v>
      </c>
      <c r="H57" s="264">
        <f t="shared" ref="H57:H64" si="5">D57+G57</f>
        <v>0</v>
      </c>
    </row>
    <row r="58" spans="1:9" x14ac:dyDescent="0.2">
      <c r="A58" s="1014"/>
      <c r="B58" s="817">
        <v>53207020000000</v>
      </c>
      <c r="C58" s="818" t="s">
        <v>145</v>
      </c>
      <c r="D58" s="275">
        <v>0</v>
      </c>
      <c r="E58" s="275">
        <v>3500</v>
      </c>
      <c r="F58" s="276">
        <v>129</v>
      </c>
      <c r="G58" s="263">
        <f t="shared" si="4"/>
        <v>451500</v>
      </c>
      <c r="H58" s="264">
        <f t="shared" si="5"/>
        <v>451500</v>
      </c>
    </row>
    <row r="59" spans="1:9" x14ac:dyDescent="0.2">
      <c r="A59" s="1014"/>
      <c r="B59" s="817">
        <v>53208020000000</v>
      </c>
      <c r="C59" s="818" t="s">
        <v>146</v>
      </c>
      <c r="D59" s="275">
        <v>0</v>
      </c>
      <c r="E59" s="275">
        <v>0</v>
      </c>
      <c r="F59" s="276">
        <v>0</v>
      </c>
      <c r="G59" s="263">
        <f t="shared" si="4"/>
        <v>0</v>
      </c>
      <c r="H59" s="264">
        <f t="shared" si="5"/>
        <v>0</v>
      </c>
    </row>
    <row r="60" spans="1:9" x14ac:dyDescent="0.2">
      <c r="A60" s="1014"/>
      <c r="B60" s="817">
        <v>53208990000000</v>
      </c>
      <c r="C60" s="818" t="s">
        <v>147</v>
      </c>
      <c r="D60" s="275">
        <v>0</v>
      </c>
      <c r="E60" s="275">
        <v>135000</v>
      </c>
      <c r="F60" s="276">
        <v>4</v>
      </c>
      <c r="G60" s="263">
        <f t="shared" si="4"/>
        <v>540000</v>
      </c>
      <c r="H60" s="264">
        <f t="shared" si="5"/>
        <v>540000</v>
      </c>
    </row>
    <row r="61" spans="1:9" x14ac:dyDescent="0.2">
      <c r="A61" s="1014"/>
      <c r="B61" s="822">
        <v>53210020300000</v>
      </c>
      <c r="C61" s="818" t="s">
        <v>148</v>
      </c>
      <c r="D61" s="285">
        <v>0</v>
      </c>
      <c r="E61" s="41">
        <v>7560</v>
      </c>
      <c r="F61" s="286">
        <f>+'B) Reajuste Tarifas y Ocupación'!I37</f>
        <v>129</v>
      </c>
      <c r="G61" s="263">
        <f t="shared" si="4"/>
        <v>975240</v>
      </c>
      <c r="H61" s="264">
        <f t="shared" si="5"/>
        <v>975240</v>
      </c>
    </row>
    <row r="62" spans="1:9" x14ac:dyDescent="0.2">
      <c r="A62" s="1014"/>
      <c r="B62" s="817">
        <v>53208990000000</v>
      </c>
      <c r="C62" s="818" t="s">
        <v>149</v>
      </c>
      <c r="D62" s="824">
        <v>0</v>
      </c>
      <c r="E62" s="275">
        <v>0</v>
      </c>
      <c r="F62" s="276">
        <v>0</v>
      </c>
      <c r="G62" s="263">
        <f t="shared" si="4"/>
        <v>0</v>
      </c>
      <c r="H62" s="264">
        <f t="shared" si="5"/>
        <v>0</v>
      </c>
    </row>
    <row r="63" spans="1:9" x14ac:dyDescent="0.2">
      <c r="A63" s="1014"/>
      <c r="B63" s="817">
        <v>53209990000000</v>
      </c>
      <c r="C63" s="818" t="s">
        <v>150</v>
      </c>
      <c r="D63" s="275">
        <v>0</v>
      </c>
      <c r="E63" s="275">
        <v>110000</v>
      </c>
      <c r="F63" s="276">
        <v>4</v>
      </c>
      <c r="G63" s="263">
        <f t="shared" si="4"/>
        <v>440000</v>
      </c>
      <c r="H63" s="264">
        <f t="shared" si="5"/>
        <v>440000</v>
      </c>
    </row>
    <row r="64" spans="1:9" x14ac:dyDescent="0.2">
      <c r="A64" s="1014"/>
      <c r="B64" s="817">
        <v>53210020100000</v>
      </c>
      <c r="C64" s="818" t="s">
        <v>151</v>
      </c>
      <c r="D64" s="275">
        <v>1015587</v>
      </c>
      <c r="E64" s="275">
        <v>0</v>
      </c>
      <c r="F64" s="276">
        <v>0</v>
      </c>
      <c r="G64" s="263">
        <f t="shared" si="4"/>
        <v>0</v>
      </c>
      <c r="H64" s="264">
        <f t="shared" si="5"/>
        <v>1015587</v>
      </c>
    </row>
    <row r="65" spans="1:10" x14ac:dyDescent="0.2">
      <c r="A65" s="1014"/>
      <c r="B65" s="258"/>
      <c r="C65" s="259" t="s">
        <v>152</v>
      </c>
      <c r="D65" s="260">
        <f>SUM(D66:D72)</f>
        <v>0</v>
      </c>
      <c r="E65" s="279"/>
      <c r="F65" s="304"/>
      <c r="G65" s="260">
        <f>SUM(G66:G72)</f>
        <v>950000</v>
      </c>
      <c r="H65" s="262">
        <f>SUM(H66:H72)</f>
        <v>950000</v>
      </c>
    </row>
    <row r="66" spans="1:10" x14ac:dyDescent="0.2">
      <c r="A66" s="1014"/>
      <c r="B66" s="817">
        <v>53206030000000</v>
      </c>
      <c r="C66" s="818" t="s">
        <v>153</v>
      </c>
      <c r="D66" s="275">
        <v>0</v>
      </c>
      <c r="E66" s="275">
        <v>0</v>
      </c>
      <c r="F66" s="276">
        <v>0</v>
      </c>
      <c r="G66" s="263">
        <f t="shared" ref="G66:G72" si="6">E66*F66</f>
        <v>0</v>
      </c>
      <c r="H66" s="264">
        <f t="shared" ref="H66:H72" si="7">D66+G66</f>
        <v>0</v>
      </c>
    </row>
    <row r="67" spans="1:10" x14ac:dyDescent="0.2">
      <c r="A67" s="1014"/>
      <c r="B67" s="817">
        <v>53206040000000</v>
      </c>
      <c r="C67" s="818" t="s">
        <v>154</v>
      </c>
      <c r="D67" s="275">
        <v>0</v>
      </c>
      <c r="E67" s="275">
        <v>0</v>
      </c>
      <c r="F67" s="276">
        <v>0</v>
      </c>
      <c r="G67" s="263">
        <f t="shared" si="6"/>
        <v>0</v>
      </c>
      <c r="H67" s="264">
        <f t="shared" si="7"/>
        <v>0</v>
      </c>
    </row>
    <row r="68" spans="1:10" x14ac:dyDescent="0.2">
      <c r="A68" s="1014"/>
      <c r="B68" s="817">
        <v>53206060000000</v>
      </c>
      <c r="C68" s="818" t="s">
        <v>155</v>
      </c>
      <c r="D68" s="275">
        <v>0</v>
      </c>
      <c r="E68" s="275">
        <v>0</v>
      </c>
      <c r="F68" s="276">
        <v>0</v>
      </c>
      <c r="G68" s="263">
        <f t="shared" si="6"/>
        <v>0</v>
      </c>
      <c r="H68" s="264">
        <f t="shared" si="7"/>
        <v>0</v>
      </c>
    </row>
    <row r="69" spans="1:10" x14ac:dyDescent="0.2">
      <c r="A69" s="1014"/>
      <c r="B69" s="817">
        <v>53206070000000</v>
      </c>
      <c r="C69" s="818" t="s">
        <v>156</v>
      </c>
      <c r="D69" s="275">
        <v>0</v>
      </c>
      <c r="E69" s="275">
        <v>0</v>
      </c>
      <c r="F69" s="276">
        <v>0</v>
      </c>
      <c r="G69" s="263">
        <f t="shared" si="6"/>
        <v>0</v>
      </c>
      <c r="H69" s="264">
        <f t="shared" si="7"/>
        <v>0</v>
      </c>
    </row>
    <row r="70" spans="1:10" x14ac:dyDescent="0.2">
      <c r="A70" s="1014"/>
      <c r="B70" s="817">
        <v>53206990000000</v>
      </c>
      <c r="C70" s="818" t="s">
        <v>157</v>
      </c>
      <c r="D70" s="275">
        <v>0</v>
      </c>
      <c r="E70" s="275">
        <v>0</v>
      </c>
      <c r="F70" s="276">
        <v>0</v>
      </c>
      <c r="G70" s="263">
        <f t="shared" si="6"/>
        <v>0</v>
      </c>
      <c r="H70" s="264">
        <f t="shared" si="7"/>
        <v>0</v>
      </c>
    </row>
    <row r="71" spans="1:10" x14ac:dyDescent="0.2">
      <c r="A71" s="1014"/>
      <c r="B71" s="817">
        <v>53208030000000</v>
      </c>
      <c r="C71" s="818" t="s">
        <v>158</v>
      </c>
      <c r="D71" s="275">
        <v>0</v>
      </c>
      <c r="E71" s="275">
        <v>95000</v>
      </c>
      <c r="F71" s="276">
        <v>10</v>
      </c>
      <c r="G71" s="263">
        <f t="shared" si="6"/>
        <v>950000</v>
      </c>
      <c r="H71" s="264">
        <f t="shared" si="7"/>
        <v>950000</v>
      </c>
    </row>
    <row r="72" spans="1:10" x14ac:dyDescent="0.2">
      <c r="A72" s="1014"/>
      <c r="B72" s="817">
        <v>53206990000000</v>
      </c>
      <c r="C72" s="818" t="s">
        <v>159</v>
      </c>
      <c r="D72" s="275">
        <v>0</v>
      </c>
      <c r="E72" s="275">
        <v>0</v>
      </c>
      <c r="F72" s="276">
        <v>0</v>
      </c>
      <c r="G72" s="263">
        <f t="shared" si="6"/>
        <v>0</v>
      </c>
      <c r="H72" s="264">
        <f t="shared" si="7"/>
        <v>0</v>
      </c>
    </row>
    <row r="73" spans="1:10" x14ac:dyDescent="0.2">
      <c r="A73" s="1014"/>
      <c r="B73" s="258"/>
      <c r="C73" s="259" t="s">
        <v>160</v>
      </c>
      <c r="D73" s="260">
        <f>SUM(D74)</f>
        <v>0</v>
      </c>
      <c r="E73" s="279"/>
      <c r="F73" s="279"/>
      <c r="G73" s="260">
        <f>SUM(G74:G74)</f>
        <v>1290000</v>
      </c>
      <c r="H73" s="262">
        <f>SUM(H74:H74)</f>
        <v>1290000</v>
      </c>
    </row>
    <row r="74" spans="1:10" x14ac:dyDescent="0.2">
      <c r="A74" s="1014"/>
      <c r="B74" s="826"/>
      <c r="C74" s="827" t="s">
        <v>161</v>
      </c>
      <c r="D74" s="265">
        <v>0</v>
      </c>
      <c r="E74" s="265">
        <v>10000</v>
      </c>
      <c r="F74" s="267">
        <v>129</v>
      </c>
      <c r="G74" s="263">
        <f>E74*F74</f>
        <v>1290000</v>
      </c>
      <c r="H74" s="287">
        <f>D74+G74</f>
        <v>1290000</v>
      </c>
      <c r="I74" s="306" t="s">
        <v>162</v>
      </c>
      <c r="J74" s="307">
        <f>+H72+H71+H70+H69+H68+H67+H66+H64+H63+H62+H61+H60+H59+H58+H57+H55+H52+H51+H50+H49+H48+H46+H44+H43+H37+H36+H35+H33+H32+H31+H30+H29+H28+H27+H26+H25+H24+H23</f>
        <v>24984197</v>
      </c>
    </row>
    <row r="75" spans="1:10" x14ac:dyDescent="0.2">
      <c r="A75" s="1014"/>
      <c r="B75" s="828"/>
      <c r="C75" s="308" t="s">
        <v>163</v>
      </c>
      <c r="D75" s="288">
        <f>SUM(D12,D39)</f>
        <v>130059578.99664</v>
      </c>
      <c r="E75" s="379"/>
      <c r="F75" s="379"/>
      <c r="G75" s="288">
        <f>SUM(G12,G39)</f>
        <v>37135960</v>
      </c>
      <c r="H75" s="289">
        <f>SUM(H12,H39)</f>
        <v>167195538.99664</v>
      </c>
      <c r="I75" s="309" t="s">
        <v>164</v>
      </c>
      <c r="J75" s="310">
        <f>+H75-J74</f>
        <v>142211341.99664</v>
      </c>
    </row>
    <row r="76" spans="1:10" ht="12.75" customHeight="1" x14ac:dyDescent="0.2">
      <c r="A76" s="994" t="s">
        <v>165</v>
      </c>
      <c r="B76" s="995" t="s">
        <v>90</v>
      </c>
      <c r="C76" s="998" t="s">
        <v>91</v>
      </c>
      <c r="D76" s="997" t="s">
        <v>92</v>
      </c>
      <c r="E76" s="998" t="s">
        <v>93</v>
      </c>
      <c r="F76" s="998"/>
      <c r="G76" s="998"/>
      <c r="H76" s="1015" t="s">
        <v>94</v>
      </c>
    </row>
    <row r="77" spans="1:10" ht="25.5" x14ac:dyDescent="0.2">
      <c r="A77" s="994"/>
      <c r="B77" s="995"/>
      <c r="C77" s="998"/>
      <c r="D77" s="997"/>
      <c r="E77" s="38" t="s">
        <v>95</v>
      </c>
      <c r="F77" s="251" t="s">
        <v>96</v>
      </c>
      <c r="G77" s="789" t="s">
        <v>97</v>
      </c>
      <c r="H77" s="1015"/>
    </row>
    <row r="78" spans="1:10" ht="15.75" customHeight="1" x14ac:dyDescent="0.2">
      <c r="A78" s="992" t="str">
        <f>+'B) Reajuste Tarifas y Ocupación'!A14</f>
        <v>Jardín Infantil Los Delfines</v>
      </c>
      <c r="B78" s="252"/>
      <c r="C78" s="253" t="s">
        <v>98</v>
      </c>
      <c r="D78" s="254">
        <f>SUM(D79,D84)</f>
        <v>130796929.56952</v>
      </c>
      <c r="E78" s="255"/>
      <c r="F78" s="255"/>
      <c r="G78" s="256">
        <f>SUM(G79,G84)</f>
        <v>37738220</v>
      </c>
      <c r="H78" s="257">
        <f>SUM(H79,H84)</f>
        <v>168535149.56952</v>
      </c>
    </row>
    <row r="79" spans="1:10" x14ac:dyDescent="0.2">
      <c r="A79" s="992"/>
      <c r="B79" s="258"/>
      <c r="C79" s="259" t="s">
        <v>99</v>
      </c>
      <c r="D79" s="260">
        <f>SUM(D80:D83)</f>
        <v>120619635.56952</v>
      </c>
      <c r="E79" s="261"/>
      <c r="F79" s="261"/>
      <c r="G79" s="46">
        <f>SUM(G80:G83)</f>
        <v>0</v>
      </c>
      <c r="H79" s="262">
        <f>SUM(H80:H83)</f>
        <v>120619635.56952</v>
      </c>
    </row>
    <row r="80" spans="1:10" x14ac:dyDescent="0.2">
      <c r="A80" s="992"/>
      <c r="B80" s="817">
        <v>53103040100000</v>
      </c>
      <c r="C80" s="818" t="s">
        <v>100</v>
      </c>
      <c r="D80" s="298">
        <f>'F) Remuneraciones'!L34</f>
        <v>119425381.752</v>
      </c>
      <c r="E80" s="819"/>
      <c r="F80" s="820"/>
      <c r="G80" s="263">
        <f>E80*F80</f>
        <v>0</v>
      </c>
      <c r="H80" s="264">
        <f>D80+G80</f>
        <v>119425381.752</v>
      </c>
    </row>
    <row r="81" spans="1:9" x14ac:dyDescent="0.2">
      <c r="A81" s="992"/>
      <c r="B81" s="817">
        <v>53103050000000</v>
      </c>
      <c r="C81" s="818" t="s">
        <v>166</v>
      </c>
      <c r="D81" s="265">
        <v>0</v>
      </c>
      <c r="E81" s="266">
        <v>0</v>
      </c>
      <c r="F81" s="267">
        <v>0</v>
      </c>
      <c r="G81" s="263">
        <f>E81*F81</f>
        <v>0</v>
      </c>
      <c r="H81" s="264">
        <f>D81+G81</f>
        <v>0</v>
      </c>
    </row>
    <row r="82" spans="1:9" x14ac:dyDescent="0.2">
      <c r="A82" s="992"/>
      <c r="B82" s="822">
        <v>53103040400000</v>
      </c>
      <c r="C82" s="823" t="s">
        <v>102</v>
      </c>
      <c r="D82" s="265">
        <f>D80*0.01</f>
        <v>1194253.81752</v>
      </c>
      <c r="E82" s="266">
        <v>0</v>
      </c>
      <c r="F82" s="267">
        <v>0</v>
      </c>
      <c r="G82" s="263">
        <f>E82*F82</f>
        <v>0</v>
      </c>
      <c r="H82" s="264">
        <f>D82+G82</f>
        <v>1194253.81752</v>
      </c>
    </row>
    <row r="83" spans="1:9" x14ac:dyDescent="0.2">
      <c r="A83" s="992"/>
      <c r="B83" s="817">
        <v>53103080010000</v>
      </c>
      <c r="C83" s="818" t="s">
        <v>103</v>
      </c>
      <c r="D83" s="265">
        <v>0</v>
      </c>
      <c r="E83" s="266">
        <v>0</v>
      </c>
      <c r="F83" s="267">
        <v>0</v>
      </c>
      <c r="G83" s="263">
        <f>E83*F83</f>
        <v>0</v>
      </c>
      <c r="H83" s="264">
        <f>D83+G83</f>
        <v>0</v>
      </c>
    </row>
    <row r="84" spans="1:9" x14ac:dyDescent="0.2">
      <c r="A84" s="992"/>
      <c r="B84" s="258"/>
      <c r="C84" s="259" t="s">
        <v>104</v>
      </c>
      <c r="D84" s="260">
        <f>SUM(D85:D104)</f>
        <v>10177294</v>
      </c>
      <c r="E84" s="261"/>
      <c r="F84" s="261"/>
      <c r="G84" s="260">
        <f>SUM(G85:G104)</f>
        <v>37738220</v>
      </c>
      <c r="H84" s="262">
        <f>SUM(H85:H104)</f>
        <v>47915514</v>
      </c>
    </row>
    <row r="85" spans="1:9" x14ac:dyDescent="0.2">
      <c r="A85" s="992"/>
      <c r="B85" s="817">
        <v>53201010100000</v>
      </c>
      <c r="C85" s="818" t="s">
        <v>105</v>
      </c>
      <c r="D85" s="265">
        <v>0</v>
      </c>
      <c r="E85" s="266">
        <v>1821</v>
      </c>
      <c r="F85" s="270">
        <f>17*20*11</f>
        <v>3740</v>
      </c>
      <c r="G85" s="263">
        <f t="shared" ref="G85:G104" si="8">E85*F85</f>
        <v>6810540</v>
      </c>
      <c r="H85" s="264">
        <f t="shared" ref="H85:H104" si="9">D85+G85</f>
        <v>6810540</v>
      </c>
      <c r="I85" s="250" t="s">
        <v>829</v>
      </c>
    </row>
    <row r="86" spans="1:9" x14ac:dyDescent="0.2">
      <c r="A86" s="992"/>
      <c r="B86" s="817">
        <v>53201010100000</v>
      </c>
      <c r="C86" s="818" t="s">
        <v>106</v>
      </c>
      <c r="D86" s="265">
        <v>0</v>
      </c>
      <c r="E86" s="266">
        <v>1000</v>
      </c>
      <c r="F86" s="267">
        <f>120*20*10</f>
        <v>24000</v>
      </c>
      <c r="G86" s="263">
        <f t="shared" si="8"/>
        <v>24000000</v>
      </c>
      <c r="H86" s="264">
        <f t="shared" si="9"/>
        <v>24000000</v>
      </c>
    </row>
    <row r="87" spans="1:9" x14ac:dyDescent="0.2">
      <c r="A87" s="992"/>
      <c r="B87" s="817">
        <v>53201010100000</v>
      </c>
      <c r="C87" s="818" t="s">
        <v>107</v>
      </c>
      <c r="D87" s="265">
        <v>0</v>
      </c>
      <c r="E87" s="266">
        <v>0</v>
      </c>
      <c r="F87" s="267">
        <v>0</v>
      </c>
      <c r="G87" s="263">
        <f t="shared" si="8"/>
        <v>0</v>
      </c>
      <c r="H87" s="264">
        <f t="shared" si="9"/>
        <v>0</v>
      </c>
    </row>
    <row r="88" spans="1:9" x14ac:dyDescent="0.2">
      <c r="A88" s="992"/>
      <c r="B88" s="817">
        <v>53202010100000</v>
      </c>
      <c r="C88" s="818" t="s">
        <v>108</v>
      </c>
      <c r="D88" s="266">
        <v>0</v>
      </c>
      <c r="E88" s="266">
        <v>90000</v>
      </c>
      <c r="F88" s="273">
        <v>18</v>
      </c>
      <c r="G88" s="263">
        <f t="shared" si="8"/>
        <v>1620000</v>
      </c>
      <c r="H88" s="264">
        <f t="shared" si="9"/>
        <v>1620000</v>
      </c>
      <c r="I88" s="250" t="s">
        <v>827</v>
      </c>
    </row>
    <row r="89" spans="1:9" x14ac:dyDescent="0.2">
      <c r="A89" s="992"/>
      <c r="B89" s="817">
        <v>53203010100000</v>
      </c>
      <c r="C89" s="818" t="s">
        <v>109</v>
      </c>
      <c r="D89" s="275">
        <v>0</v>
      </c>
      <c r="E89" s="275">
        <v>0</v>
      </c>
      <c r="F89" s="276">
        <v>0</v>
      </c>
      <c r="G89" s="263">
        <f t="shared" si="8"/>
        <v>0</v>
      </c>
      <c r="H89" s="264">
        <f t="shared" si="9"/>
        <v>0</v>
      </c>
    </row>
    <row r="90" spans="1:9" x14ac:dyDescent="0.2">
      <c r="A90" s="992"/>
      <c r="B90" s="817">
        <v>53203030000000</v>
      </c>
      <c r="C90" s="818" t="s">
        <v>110</v>
      </c>
      <c r="D90" s="275">
        <v>0</v>
      </c>
      <c r="E90" s="275">
        <v>0</v>
      </c>
      <c r="F90" s="276">
        <v>0</v>
      </c>
      <c r="G90" s="263">
        <f t="shared" si="8"/>
        <v>0</v>
      </c>
      <c r="H90" s="264">
        <f t="shared" si="9"/>
        <v>0</v>
      </c>
    </row>
    <row r="91" spans="1:9" x14ac:dyDescent="0.2">
      <c r="A91" s="992"/>
      <c r="B91" s="817">
        <v>53204030000000</v>
      </c>
      <c r="C91" s="818" t="s">
        <v>111</v>
      </c>
      <c r="D91" s="275">
        <v>0</v>
      </c>
      <c r="E91" s="275">
        <v>26390</v>
      </c>
      <c r="F91" s="276">
        <v>6</v>
      </c>
      <c r="G91" s="263">
        <f t="shared" si="8"/>
        <v>158340</v>
      </c>
      <c r="H91" s="264">
        <f t="shared" si="9"/>
        <v>158340</v>
      </c>
    </row>
    <row r="92" spans="1:9" x14ac:dyDescent="0.2">
      <c r="A92" s="992"/>
      <c r="B92" s="817">
        <v>53204100100001</v>
      </c>
      <c r="C92" s="818" t="s">
        <v>112</v>
      </c>
      <c r="D92" s="283">
        <f>'H) Detalle Datos'!U55</f>
        <v>0</v>
      </c>
      <c r="E92" s="275">
        <v>0</v>
      </c>
      <c r="F92" s="276">
        <v>0</v>
      </c>
      <c r="G92" s="263">
        <f t="shared" si="8"/>
        <v>0</v>
      </c>
      <c r="H92" s="264">
        <f t="shared" si="9"/>
        <v>0</v>
      </c>
      <c r="I92" s="250" t="s">
        <v>167</v>
      </c>
    </row>
    <row r="93" spans="1:9" x14ac:dyDescent="0.2">
      <c r="A93" s="992"/>
      <c r="B93" s="817">
        <v>53204130100000</v>
      </c>
      <c r="C93" s="818" t="s">
        <v>113</v>
      </c>
      <c r="D93" s="275">
        <v>0</v>
      </c>
      <c r="E93" s="275">
        <v>0</v>
      </c>
      <c r="F93" s="276">
        <v>0</v>
      </c>
      <c r="G93" s="263">
        <f t="shared" si="8"/>
        <v>0</v>
      </c>
      <c r="H93" s="264">
        <f t="shared" si="9"/>
        <v>0</v>
      </c>
    </row>
    <row r="94" spans="1:9" x14ac:dyDescent="0.2">
      <c r="A94" s="992"/>
      <c r="B94" s="817">
        <v>53205010100000</v>
      </c>
      <c r="C94" s="818" t="s">
        <v>114</v>
      </c>
      <c r="D94" s="275">
        <v>2881778</v>
      </c>
      <c r="E94" s="275">
        <v>0</v>
      </c>
      <c r="F94" s="276">
        <v>0</v>
      </c>
      <c r="G94" s="263">
        <f t="shared" si="8"/>
        <v>0</v>
      </c>
      <c r="H94" s="264">
        <f t="shared" si="9"/>
        <v>2881778</v>
      </c>
    </row>
    <row r="95" spans="1:9" x14ac:dyDescent="0.2">
      <c r="A95" s="992"/>
      <c r="B95" s="817">
        <v>53205020100000</v>
      </c>
      <c r="C95" s="818" t="s">
        <v>115</v>
      </c>
      <c r="D95" s="275">
        <v>2678500</v>
      </c>
      <c r="E95" s="275">
        <v>0</v>
      </c>
      <c r="F95" s="276">
        <v>0</v>
      </c>
      <c r="G95" s="263">
        <f t="shared" si="8"/>
        <v>0</v>
      </c>
      <c r="H95" s="264">
        <f t="shared" si="9"/>
        <v>2678500</v>
      </c>
    </row>
    <row r="96" spans="1:9" x14ac:dyDescent="0.2">
      <c r="A96" s="992"/>
      <c r="B96" s="817">
        <v>53205030100000</v>
      </c>
      <c r="C96" s="818" t="s">
        <v>116</v>
      </c>
      <c r="D96" s="275">
        <v>3995500</v>
      </c>
      <c r="E96" s="275">
        <v>0</v>
      </c>
      <c r="F96" s="276">
        <v>0</v>
      </c>
      <c r="G96" s="263">
        <f t="shared" si="8"/>
        <v>0</v>
      </c>
      <c r="H96" s="264">
        <f t="shared" si="9"/>
        <v>3995500</v>
      </c>
    </row>
    <row r="97" spans="1:8" x14ac:dyDescent="0.2">
      <c r="A97" s="992"/>
      <c r="B97" s="817">
        <v>53205050100000</v>
      </c>
      <c r="C97" s="818" t="s">
        <v>117</v>
      </c>
      <c r="D97" s="275">
        <v>621516</v>
      </c>
      <c r="E97" s="275">
        <v>0</v>
      </c>
      <c r="F97" s="276">
        <v>0</v>
      </c>
      <c r="G97" s="263">
        <f t="shared" si="8"/>
        <v>0</v>
      </c>
      <c r="H97" s="264">
        <f t="shared" si="9"/>
        <v>621516</v>
      </c>
    </row>
    <row r="98" spans="1:8" x14ac:dyDescent="0.2">
      <c r="A98" s="992"/>
      <c r="B98" s="817">
        <v>53205070100000</v>
      </c>
      <c r="C98" s="818" t="s">
        <v>118</v>
      </c>
      <c r="D98" s="275">
        <v>0</v>
      </c>
      <c r="E98" s="275">
        <v>0</v>
      </c>
      <c r="F98" s="276">
        <v>0</v>
      </c>
      <c r="G98" s="263">
        <f t="shared" si="8"/>
        <v>0</v>
      </c>
      <c r="H98" s="264">
        <f t="shared" si="9"/>
        <v>0</v>
      </c>
    </row>
    <row r="99" spans="1:8" x14ac:dyDescent="0.2">
      <c r="A99" s="992"/>
      <c r="B99" s="817">
        <v>53208010100000</v>
      </c>
      <c r="C99" s="818" t="s">
        <v>119</v>
      </c>
      <c r="D99" s="275">
        <v>0</v>
      </c>
      <c r="E99" s="275">
        <v>1147936</v>
      </c>
      <c r="F99" s="276">
        <v>2</v>
      </c>
      <c r="G99" s="263">
        <f t="shared" si="8"/>
        <v>2295872</v>
      </c>
      <c r="H99" s="264">
        <f t="shared" si="9"/>
        <v>2295872</v>
      </c>
    </row>
    <row r="100" spans="1:8" x14ac:dyDescent="0.2">
      <c r="A100" s="992"/>
      <c r="B100" s="817">
        <v>53208070100001</v>
      </c>
      <c r="C100" s="818" t="s">
        <v>120</v>
      </c>
      <c r="D100" s="266">
        <v>0</v>
      </c>
      <c r="E100" s="266">
        <v>0</v>
      </c>
      <c r="F100" s="273">
        <v>0</v>
      </c>
      <c r="G100" s="263">
        <f t="shared" si="8"/>
        <v>0</v>
      </c>
      <c r="H100" s="264">
        <f t="shared" si="9"/>
        <v>0</v>
      </c>
    </row>
    <row r="101" spans="1:8" x14ac:dyDescent="0.2">
      <c r="A101" s="992"/>
      <c r="B101" s="817">
        <v>53208100100001</v>
      </c>
      <c r="C101" s="818" t="s">
        <v>121</v>
      </c>
      <c r="D101" s="275">
        <v>0</v>
      </c>
      <c r="E101" s="275">
        <v>0</v>
      </c>
      <c r="F101" s="276">
        <v>0</v>
      </c>
      <c r="G101" s="263">
        <f t="shared" si="8"/>
        <v>0</v>
      </c>
      <c r="H101" s="264">
        <f t="shared" si="9"/>
        <v>0</v>
      </c>
    </row>
    <row r="102" spans="1:8" x14ac:dyDescent="0.2">
      <c r="A102" s="992"/>
      <c r="B102" s="817">
        <v>53211030000000</v>
      </c>
      <c r="C102" s="818" t="s">
        <v>122</v>
      </c>
      <c r="D102" s="275">
        <v>0</v>
      </c>
      <c r="E102" s="275">
        <v>0</v>
      </c>
      <c r="F102" s="276">
        <v>0</v>
      </c>
      <c r="G102" s="263">
        <f t="shared" si="8"/>
        <v>0</v>
      </c>
      <c r="H102" s="264">
        <f t="shared" si="9"/>
        <v>0</v>
      </c>
    </row>
    <row r="103" spans="1:8" x14ac:dyDescent="0.2">
      <c r="A103" s="992"/>
      <c r="B103" s="817">
        <v>53212020100000</v>
      </c>
      <c r="C103" s="818" t="s">
        <v>123</v>
      </c>
      <c r="D103" s="275">
        <v>0</v>
      </c>
      <c r="E103" s="275">
        <v>317052</v>
      </c>
      <c r="F103" s="276">
        <v>9</v>
      </c>
      <c r="G103" s="263">
        <f t="shared" si="8"/>
        <v>2853468</v>
      </c>
      <c r="H103" s="264">
        <f t="shared" si="9"/>
        <v>2853468</v>
      </c>
    </row>
    <row r="104" spans="1:8" ht="15.75" customHeight="1" x14ac:dyDescent="0.2">
      <c r="A104" s="992"/>
      <c r="B104" s="817">
        <v>53214020000000</v>
      </c>
      <c r="C104" s="818" t="s">
        <v>124</v>
      </c>
      <c r="D104" s="266"/>
      <c r="E104" s="266">
        <v>0</v>
      </c>
      <c r="F104" s="273">
        <v>0</v>
      </c>
      <c r="G104" s="263">
        <f t="shared" si="8"/>
        <v>0</v>
      </c>
      <c r="H104" s="264">
        <f t="shared" si="9"/>
        <v>0</v>
      </c>
    </row>
    <row r="105" spans="1:8" x14ac:dyDescent="0.2">
      <c r="A105" s="992"/>
      <c r="B105" s="252"/>
      <c r="C105" s="253" t="s">
        <v>125</v>
      </c>
      <c r="D105" s="254">
        <f>+D106+D111+D113+D122+D131+D139</f>
        <v>7868478</v>
      </c>
      <c r="E105" s="295"/>
      <c r="F105" s="303"/>
      <c r="G105" s="254">
        <f>+G106+G111+G113+G122+G131+G139</f>
        <v>7098036</v>
      </c>
      <c r="H105" s="254">
        <f>+H106+H111+H113+H122+H131+H139</f>
        <v>14966514</v>
      </c>
    </row>
    <row r="106" spans="1:8" x14ac:dyDescent="0.2">
      <c r="A106" s="992"/>
      <c r="B106" s="258"/>
      <c r="C106" s="259" t="s">
        <v>126</v>
      </c>
      <c r="D106" s="260">
        <f>SUM(D107:D110)</f>
        <v>120000</v>
      </c>
      <c r="E106" s="279"/>
      <c r="F106" s="304"/>
      <c r="G106" s="279">
        <f>SUM(G107:G110)</f>
        <v>1002836</v>
      </c>
      <c r="H106" s="280">
        <f>SUM(H107:H110)</f>
        <v>1122836</v>
      </c>
    </row>
    <row r="107" spans="1:8" x14ac:dyDescent="0.2">
      <c r="A107" s="992"/>
      <c r="B107" s="817">
        <v>53202020100000</v>
      </c>
      <c r="C107" s="818" t="s">
        <v>127</v>
      </c>
      <c r="D107" s="265">
        <f>30000*4</f>
        <v>120000</v>
      </c>
      <c r="E107" s="266">
        <v>40000</v>
      </c>
      <c r="F107" s="273">
        <v>18</v>
      </c>
      <c r="G107" s="263">
        <f>E107*F107</f>
        <v>720000</v>
      </c>
      <c r="H107" s="264">
        <f>D107+G107</f>
        <v>840000</v>
      </c>
    </row>
    <row r="108" spans="1:8" x14ac:dyDescent="0.2">
      <c r="A108" s="992"/>
      <c r="B108" s="817">
        <v>53202030000000</v>
      </c>
      <c r="C108" s="818" t="s">
        <v>128</v>
      </c>
      <c r="D108" s="265">
        <v>0</v>
      </c>
      <c r="E108" s="266">
        <v>38999</v>
      </c>
      <c r="F108" s="273">
        <v>4</v>
      </c>
      <c r="G108" s="263">
        <f>E108*F108</f>
        <v>155996</v>
      </c>
      <c r="H108" s="264">
        <f>D108+G108</f>
        <v>155996</v>
      </c>
    </row>
    <row r="109" spans="1:8" x14ac:dyDescent="0.2">
      <c r="A109" s="992"/>
      <c r="B109" s="817">
        <v>53211020000000</v>
      </c>
      <c r="C109" s="818" t="s">
        <v>129</v>
      </c>
      <c r="D109" s="275">
        <v>0</v>
      </c>
      <c r="E109" s="275">
        <v>63420</v>
      </c>
      <c r="F109" s="276">
        <v>2</v>
      </c>
      <c r="G109" s="263">
        <f>E109*F109</f>
        <v>126840</v>
      </c>
      <c r="H109" s="264">
        <f>D109+G109</f>
        <v>126840</v>
      </c>
    </row>
    <row r="110" spans="1:8" x14ac:dyDescent="0.2">
      <c r="A110" s="992"/>
      <c r="B110" s="817">
        <v>53101040600000</v>
      </c>
      <c r="C110" s="818" t="s">
        <v>130</v>
      </c>
      <c r="D110" s="275">
        <v>0</v>
      </c>
      <c r="E110" s="275">
        <v>0</v>
      </c>
      <c r="F110" s="276">
        <v>0</v>
      </c>
      <c r="G110" s="263">
        <f>E110*F110</f>
        <v>0</v>
      </c>
      <c r="H110" s="264">
        <f>D110+G110</f>
        <v>0</v>
      </c>
    </row>
    <row r="111" spans="1:8" x14ac:dyDescent="0.2">
      <c r="A111" s="992"/>
      <c r="B111" s="258"/>
      <c r="C111" s="259" t="s">
        <v>131</v>
      </c>
      <c r="D111" s="260">
        <f>SUM(D112)</f>
        <v>0</v>
      </c>
      <c r="E111" s="279"/>
      <c r="F111" s="304"/>
      <c r="G111" s="279">
        <f>SUM(G112:G112)</f>
        <v>0</v>
      </c>
      <c r="H111" s="280">
        <f>SUM(H112:H112)</f>
        <v>0</v>
      </c>
    </row>
    <row r="112" spans="1:8" x14ac:dyDescent="0.2">
      <c r="A112" s="992"/>
      <c r="B112" s="825">
        <v>53205990000000</v>
      </c>
      <c r="C112" s="818" t="s">
        <v>132</v>
      </c>
      <c r="D112" s="275">
        <v>0</v>
      </c>
      <c r="E112" s="275">
        <v>0</v>
      </c>
      <c r="F112" s="276">
        <v>0</v>
      </c>
      <c r="G112" s="263">
        <f>E112*F112</f>
        <v>0</v>
      </c>
      <c r="H112" s="264">
        <f>D112+G112</f>
        <v>0</v>
      </c>
    </row>
    <row r="113" spans="1:9" x14ac:dyDescent="0.2">
      <c r="A113" s="992"/>
      <c r="B113" s="258"/>
      <c r="C113" s="259" t="s">
        <v>133</v>
      </c>
      <c r="D113" s="260">
        <f>SUM(D114:D121)</f>
        <v>6350000</v>
      </c>
      <c r="E113" s="279"/>
      <c r="F113" s="304"/>
      <c r="G113" s="260">
        <f>SUM(G114:G121)</f>
        <v>2108000</v>
      </c>
      <c r="H113" s="262">
        <f>SUM(H114:H121)</f>
        <v>8458000</v>
      </c>
    </row>
    <row r="114" spans="1:9" x14ac:dyDescent="0.2">
      <c r="A114" s="992"/>
      <c r="B114" s="817">
        <v>53204010000000</v>
      </c>
      <c r="C114" s="818" t="s">
        <v>134</v>
      </c>
      <c r="D114" s="275">
        <v>620000</v>
      </c>
      <c r="E114" s="275">
        <v>0</v>
      </c>
      <c r="F114" s="276">
        <v>0</v>
      </c>
      <c r="G114" s="263">
        <f t="shared" ref="G114:G121" si="10">E114*F114</f>
        <v>0</v>
      </c>
      <c r="H114" s="264">
        <f t="shared" ref="H114:H121" si="11">D114+G114</f>
        <v>620000</v>
      </c>
    </row>
    <row r="115" spans="1:9" x14ac:dyDescent="0.2">
      <c r="A115" s="992"/>
      <c r="B115" s="825">
        <v>53204040200000</v>
      </c>
      <c r="C115" s="818" t="s">
        <v>135</v>
      </c>
      <c r="D115" s="275">
        <v>0</v>
      </c>
      <c r="E115" s="275">
        <v>18000</v>
      </c>
      <c r="F115" s="276">
        <v>6</v>
      </c>
      <c r="G115" s="263">
        <f t="shared" si="10"/>
        <v>108000</v>
      </c>
      <c r="H115" s="264">
        <f t="shared" si="11"/>
        <v>108000</v>
      </c>
    </row>
    <row r="116" spans="1:9" x14ac:dyDescent="0.2">
      <c r="A116" s="992"/>
      <c r="B116" s="817">
        <v>53204060000000</v>
      </c>
      <c r="C116" s="818" t="s">
        <v>136</v>
      </c>
      <c r="D116" s="275">
        <f>'H) Detalle Datos'!J182</f>
        <v>160000</v>
      </c>
      <c r="E116" s="275">
        <v>0</v>
      </c>
      <c r="F116" s="276">
        <v>0</v>
      </c>
      <c r="G116" s="263">
        <f t="shared" si="10"/>
        <v>0</v>
      </c>
      <c r="H116" s="264">
        <f t="shared" si="11"/>
        <v>160000</v>
      </c>
    </row>
    <row r="117" spans="1:9" x14ac:dyDescent="0.2">
      <c r="A117" s="992"/>
      <c r="B117" s="817">
        <v>53204070000000</v>
      </c>
      <c r="C117" s="818" t="s">
        <v>137</v>
      </c>
      <c r="D117" s="275">
        <f>'H) Detalle Datos'!F182</f>
        <v>4770000</v>
      </c>
      <c r="E117" s="275">
        <v>200000</v>
      </c>
      <c r="F117" s="276">
        <v>10</v>
      </c>
      <c r="G117" s="263">
        <f t="shared" si="10"/>
        <v>2000000</v>
      </c>
      <c r="H117" s="264">
        <f t="shared" si="11"/>
        <v>6770000</v>
      </c>
      <c r="I117" s="250" t="s">
        <v>168</v>
      </c>
    </row>
    <row r="118" spans="1:9" x14ac:dyDescent="0.2">
      <c r="A118" s="992"/>
      <c r="B118" s="817">
        <v>53204080000000</v>
      </c>
      <c r="C118" s="818" t="s">
        <v>139</v>
      </c>
      <c r="D118" s="275">
        <v>800000</v>
      </c>
      <c r="E118" s="275">
        <v>0</v>
      </c>
      <c r="F118" s="276">
        <v>0</v>
      </c>
      <c r="G118" s="263">
        <f t="shared" si="10"/>
        <v>0</v>
      </c>
      <c r="H118" s="264">
        <f t="shared" si="11"/>
        <v>800000</v>
      </c>
    </row>
    <row r="119" spans="1:9" x14ac:dyDescent="0.2">
      <c r="A119" s="992"/>
      <c r="B119" s="817">
        <v>53214010000000</v>
      </c>
      <c r="C119" s="818" t="s">
        <v>140</v>
      </c>
      <c r="D119" s="277">
        <v>0</v>
      </c>
      <c r="E119" s="277">
        <v>0</v>
      </c>
      <c r="F119" s="274">
        <v>0</v>
      </c>
      <c r="G119" s="263">
        <f t="shared" si="10"/>
        <v>0</v>
      </c>
      <c r="H119" s="264">
        <f t="shared" si="11"/>
        <v>0</v>
      </c>
    </row>
    <row r="120" spans="1:9" x14ac:dyDescent="0.2">
      <c r="A120" s="992"/>
      <c r="B120" s="817">
        <v>53214040000000</v>
      </c>
      <c r="C120" s="818" t="s">
        <v>141</v>
      </c>
      <c r="D120" s="277">
        <v>0</v>
      </c>
      <c r="E120" s="277">
        <v>0</v>
      </c>
      <c r="F120" s="274">
        <v>0</v>
      </c>
      <c r="G120" s="263">
        <f t="shared" si="10"/>
        <v>0</v>
      </c>
      <c r="H120" s="264">
        <f t="shared" si="11"/>
        <v>0</v>
      </c>
    </row>
    <row r="121" spans="1:9" x14ac:dyDescent="0.2">
      <c r="A121" s="992"/>
      <c r="B121" s="822">
        <v>53204020100000</v>
      </c>
      <c r="C121" s="818" t="s">
        <v>142</v>
      </c>
      <c r="D121" s="275">
        <v>0</v>
      </c>
      <c r="E121" s="275">
        <v>0</v>
      </c>
      <c r="F121" s="276">
        <v>0</v>
      </c>
      <c r="G121" s="263">
        <f t="shared" si="10"/>
        <v>0</v>
      </c>
      <c r="H121" s="264">
        <f t="shared" si="11"/>
        <v>0</v>
      </c>
    </row>
    <row r="122" spans="1:9" x14ac:dyDescent="0.2">
      <c r="A122" s="992"/>
      <c r="B122" s="258"/>
      <c r="C122" s="259" t="s">
        <v>143</v>
      </c>
      <c r="D122" s="260">
        <f>SUM(D123:D130)</f>
        <v>1398478</v>
      </c>
      <c r="E122" s="279"/>
      <c r="F122" s="304"/>
      <c r="G122" s="260">
        <f>SUM(G123:G130)</f>
        <v>2307200</v>
      </c>
      <c r="H122" s="262">
        <f>SUM(H123:H130)</f>
        <v>3705678</v>
      </c>
    </row>
    <row r="123" spans="1:9" x14ac:dyDescent="0.2">
      <c r="A123" s="992"/>
      <c r="B123" s="817">
        <v>53207010000000</v>
      </c>
      <c r="C123" s="818" t="s">
        <v>144</v>
      </c>
      <c r="D123" s="275">
        <v>0</v>
      </c>
      <c r="E123" s="275">
        <v>0</v>
      </c>
      <c r="F123" s="276">
        <v>0</v>
      </c>
      <c r="G123" s="263">
        <f t="shared" ref="G123:G130" si="12">E123*F123</f>
        <v>0</v>
      </c>
      <c r="H123" s="264">
        <f t="shared" ref="H123:H130" si="13">D123+G123</f>
        <v>0</v>
      </c>
    </row>
    <row r="124" spans="1:9" x14ac:dyDescent="0.2">
      <c r="A124" s="992"/>
      <c r="B124" s="817">
        <v>53207020000000</v>
      </c>
      <c r="C124" s="818" t="s">
        <v>145</v>
      </c>
      <c r="D124" s="275">
        <v>0</v>
      </c>
      <c r="E124" s="275">
        <v>3500</v>
      </c>
      <c r="F124" s="276">
        <v>120</v>
      </c>
      <c r="G124" s="263">
        <f t="shared" si="12"/>
        <v>420000</v>
      </c>
      <c r="H124" s="264">
        <f t="shared" si="13"/>
        <v>420000</v>
      </c>
    </row>
    <row r="125" spans="1:9" x14ac:dyDescent="0.2">
      <c r="A125" s="992"/>
      <c r="B125" s="817">
        <v>53208020000000</v>
      </c>
      <c r="C125" s="818" t="s">
        <v>146</v>
      </c>
      <c r="D125" s="275">
        <v>0</v>
      </c>
      <c r="E125" s="275">
        <v>0</v>
      </c>
      <c r="F125" s="276">
        <v>0</v>
      </c>
      <c r="G125" s="263">
        <f t="shared" si="12"/>
        <v>0</v>
      </c>
      <c r="H125" s="264">
        <f t="shared" si="13"/>
        <v>0</v>
      </c>
    </row>
    <row r="126" spans="1:9" x14ac:dyDescent="0.2">
      <c r="A126" s="992"/>
      <c r="B126" s="817">
        <v>53208990000000</v>
      </c>
      <c r="C126" s="818" t="s">
        <v>147</v>
      </c>
      <c r="D126" s="275">
        <v>0</v>
      </c>
      <c r="E126" s="275">
        <v>135000</v>
      </c>
      <c r="F126" s="276">
        <v>4</v>
      </c>
      <c r="G126" s="263">
        <f t="shared" si="12"/>
        <v>540000</v>
      </c>
      <c r="H126" s="264">
        <f t="shared" si="13"/>
        <v>540000</v>
      </c>
    </row>
    <row r="127" spans="1:9" x14ac:dyDescent="0.2">
      <c r="A127" s="992"/>
      <c r="B127" s="822">
        <v>53210020300000</v>
      </c>
      <c r="C127" s="818" t="s">
        <v>148</v>
      </c>
      <c r="D127" s="305">
        <v>0</v>
      </c>
      <c r="E127" s="41">
        <v>7560</v>
      </c>
      <c r="F127" s="286">
        <f>'B) Reajuste Tarifas y Ocupación'!I39</f>
        <v>120</v>
      </c>
      <c r="G127" s="263">
        <f t="shared" si="12"/>
        <v>907200</v>
      </c>
      <c r="H127" s="264">
        <f t="shared" si="13"/>
        <v>907200</v>
      </c>
    </row>
    <row r="128" spans="1:9" x14ac:dyDescent="0.2">
      <c r="A128" s="992"/>
      <c r="B128" s="817">
        <v>53208990000000</v>
      </c>
      <c r="C128" s="818" t="s">
        <v>149</v>
      </c>
      <c r="D128" s="275">
        <v>0</v>
      </c>
      <c r="E128" s="275">
        <v>0</v>
      </c>
      <c r="F128" s="276">
        <v>0</v>
      </c>
      <c r="G128" s="263">
        <f t="shared" si="12"/>
        <v>0</v>
      </c>
      <c r="H128" s="264">
        <f t="shared" si="13"/>
        <v>0</v>
      </c>
    </row>
    <row r="129" spans="1:10" x14ac:dyDescent="0.2">
      <c r="A129" s="992"/>
      <c r="B129" s="817">
        <v>53209990000000</v>
      </c>
      <c r="C129" s="818" t="s">
        <v>150</v>
      </c>
      <c r="D129" s="275">
        <v>0</v>
      </c>
      <c r="E129" s="275">
        <v>110000</v>
      </c>
      <c r="F129" s="276">
        <v>4</v>
      </c>
      <c r="G129" s="263">
        <f t="shared" si="12"/>
        <v>440000</v>
      </c>
      <c r="H129" s="264">
        <f t="shared" si="13"/>
        <v>440000</v>
      </c>
    </row>
    <row r="130" spans="1:10" x14ac:dyDescent="0.2">
      <c r="A130" s="992"/>
      <c r="B130" s="817">
        <v>53210020100000</v>
      </c>
      <c r="C130" s="818" t="s">
        <v>151</v>
      </c>
      <c r="D130" s="275">
        <v>1398478</v>
      </c>
      <c r="E130" s="275">
        <v>0</v>
      </c>
      <c r="F130" s="276">
        <v>0</v>
      </c>
      <c r="G130" s="263">
        <f t="shared" si="12"/>
        <v>0</v>
      </c>
      <c r="H130" s="264">
        <f t="shared" si="13"/>
        <v>1398478</v>
      </c>
    </row>
    <row r="131" spans="1:10" x14ac:dyDescent="0.2">
      <c r="A131" s="992"/>
      <c r="B131" s="258"/>
      <c r="C131" s="259" t="s">
        <v>152</v>
      </c>
      <c r="D131" s="260">
        <f>SUM(D132:D138)</f>
        <v>0</v>
      </c>
      <c r="E131" s="279"/>
      <c r="F131" s="304"/>
      <c r="G131" s="260">
        <f>SUM(G132:G138)</f>
        <v>480000</v>
      </c>
      <c r="H131" s="262">
        <f>SUM(H132:H138)</f>
        <v>480000</v>
      </c>
    </row>
    <row r="132" spans="1:10" x14ac:dyDescent="0.2">
      <c r="A132" s="992"/>
      <c r="B132" s="817">
        <v>53206030000000</v>
      </c>
      <c r="C132" s="818" t="s">
        <v>153</v>
      </c>
      <c r="D132" s="275">
        <v>0</v>
      </c>
      <c r="E132" s="275">
        <v>0</v>
      </c>
      <c r="F132" s="276">
        <v>0</v>
      </c>
      <c r="G132" s="263">
        <f t="shared" ref="G132:G138" si="14">E132*F132</f>
        <v>0</v>
      </c>
      <c r="H132" s="264">
        <f t="shared" ref="H132:H138" si="15">D132+G132</f>
        <v>0</v>
      </c>
    </row>
    <row r="133" spans="1:10" x14ac:dyDescent="0.2">
      <c r="A133" s="992"/>
      <c r="B133" s="817">
        <v>53206040000000</v>
      </c>
      <c r="C133" s="818" t="s">
        <v>154</v>
      </c>
      <c r="D133" s="275">
        <v>0</v>
      </c>
      <c r="E133" s="275">
        <v>0</v>
      </c>
      <c r="F133" s="276">
        <v>0</v>
      </c>
      <c r="G133" s="263">
        <f t="shared" si="14"/>
        <v>0</v>
      </c>
      <c r="H133" s="264">
        <f t="shared" si="15"/>
        <v>0</v>
      </c>
    </row>
    <row r="134" spans="1:10" x14ac:dyDescent="0.2">
      <c r="A134" s="992"/>
      <c r="B134" s="817">
        <v>53206060000000</v>
      </c>
      <c r="C134" s="818" t="s">
        <v>155</v>
      </c>
      <c r="D134" s="275">
        <v>0</v>
      </c>
      <c r="E134" s="275">
        <v>0</v>
      </c>
      <c r="F134" s="276">
        <v>0</v>
      </c>
      <c r="G134" s="263">
        <f t="shared" si="14"/>
        <v>0</v>
      </c>
      <c r="H134" s="264">
        <f t="shared" si="15"/>
        <v>0</v>
      </c>
    </row>
    <row r="135" spans="1:10" x14ac:dyDescent="0.2">
      <c r="A135" s="992"/>
      <c r="B135" s="817">
        <v>53206070000000</v>
      </c>
      <c r="C135" s="818" t="s">
        <v>156</v>
      </c>
      <c r="D135" s="275">
        <v>0</v>
      </c>
      <c r="E135" s="275">
        <v>0</v>
      </c>
      <c r="F135" s="276">
        <v>0</v>
      </c>
      <c r="G135" s="263">
        <f t="shared" si="14"/>
        <v>0</v>
      </c>
      <c r="H135" s="264">
        <f t="shared" si="15"/>
        <v>0</v>
      </c>
    </row>
    <row r="136" spans="1:10" x14ac:dyDescent="0.2">
      <c r="A136" s="992"/>
      <c r="B136" s="817">
        <v>53206990000000</v>
      </c>
      <c r="C136" s="818" t="s">
        <v>157</v>
      </c>
      <c r="D136" s="275">
        <v>0</v>
      </c>
      <c r="E136" s="275">
        <v>0</v>
      </c>
      <c r="F136" s="276">
        <v>0</v>
      </c>
      <c r="G136" s="263">
        <f t="shared" si="14"/>
        <v>0</v>
      </c>
      <c r="H136" s="264">
        <f t="shared" si="15"/>
        <v>0</v>
      </c>
    </row>
    <row r="137" spans="1:10" x14ac:dyDescent="0.2">
      <c r="A137" s="992"/>
      <c r="B137" s="817">
        <v>53208030000000</v>
      </c>
      <c r="C137" s="818" t="s">
        <v>158</v>
      </c>
      <c r="D137" s="275">
        <v>0</v>
      </c>
      <c r="E137" s="275">
        <v>80000</v>
      </c>
      <c r="F137" s="276">
        <v>6</v>
      </c>
      <c r="G137" s="263">
        <f t="shared" si="14"/>
        <v>480000</v>
      </c>
      <c r="H137" s="264">
        <f t="shared" si="15"/>
        <v>480000</v>
      </c>
    </row>
    <row r="138" spans="1:10" x14ac:dyDescent="0.2">
      <c r="A138" s="992"/>
      <c r="B138" s="817">
        <v>53206990000000</v>
      </c>
      <c r="C138" s="818" t="s">
        <v>159</v>
      </c>
      <c r="D138" s="275">
        <v>0</v>
      </c>
      <c r="E138" s="275">
        <v>0</v>
      </c>
      <c r="F138" s="276">
        <v>0</v>
      </c>
      <c r="G138" s="263">
        <f t="shared" si="14"/>
        <v>0</v>
      </c>
      <c r="H138" s="264">
        <f t="shared" si="15"/>
        <v>0</v>
      </c>
    </row>
    <row r="139" spans="1:10" x14ac:dyDescent="0.2">
      <c r="A139" s="992"/>
      <c r="B139" s="258"/>
      <c r="C139" s="259" t="s">
        <v>160</v>
      </c>
      <c r="D139" s="260">
        <f>SUM(D140)</f>
        <v>0</v>
      </c>
      <c r="E139" s="279"/>
      <c r="F139" s="279"/>
      <c r="G139" s="260">
        <f>SUM(G140:G140)</f>
        <v>1200000</v>
      </c>
      <c r="H139" s="262">
        <f>SUM(H140:H140)</f>
        <v>1200000</v>
      </c>
    </row>
    <row r="140" spans="1:10" x14ac:dyDescent="0.2">
      <c r="A140" s="992"/>
      <c r="B140" s="826"/>
      <c r="C140" s="827" t="s">
        <v>161</v>
      </c>
      <c r="D140" s="265">
        <v>0</v>
      </c>
      <c r="E140" s="265">
        <v>10000</v>
      </c>
      <c r="F140" s="267">
        <v>120</v>
      </c>
      <c r="G140" s="263">
        <f>E140*F140</f>
        <v>1200000</v>
      </c>
      <c r="H140" s="287">
        <f>D140+G140</f>
        <v>1200000</v>
      </c>
      <c r="I140" s="306" t="s">
        <v>162</v>
      </c>
      <c r="J140" s="307">
        <f>+H138+H137+H136+H135+H134+H133+H132+H130+H129+H128+H127+H126+H125+H124+H123+H121+H118+H117+H116+H115+H114+H112+H110+H109+H103+H102+H101+H99+H98+H97+H96+H95+H94+H93+H92+H91+H90+H89</f>
        <v>28255492</v>
      </c>
    </row>
    <row r="141" spans="1:10" x14ac:dyDescent="0.2">
      <c r="A141" s="992"/>
      <c r="B141" s="290"/>
      <c r="C141" s="291" t="s">
        <v>163</v>
      </c>
      <c r="D141" s="288">
        <f>SUM(D78,D105)</f>
        <v>138665407.56952</v>
      </c>
      <c r="E141" s="379"/>
      <c r="F141" s="379"/>
      <c r="G141" s="288">
        <f>SUM(G78,G105)</f>
        <v>44836256</v>
      </c>
      <c r="H141" s="289">
        <f>SUM(H78,H105)</f>
        <v>183501663.56952</v>
      </c>
      <c r="I141" s="309" t="s">
        <v>164</v>
      </c>
      <c r="J141" s="310">
        <f>+H141-J140</f>
        <v>155246171.56952</v>
      </c>
    </row>
    <row r="142" spans="1:10" ht="12.75" customHeight="1" x14ac:dyDescent="0.2">
      <c r="A142" s="994" t="s">
        <v>165</v>
      </c>
      <c r="B142" s="995" t="s">
        <v>90</v>
      </c>
      <c r="C142" s="998" t="s">
        <v>91</v>
      </c>
      <c r="D142" s="997" t="s">
        <v>92</v>
      </c>
      <c r="E142" s="998" t="s">
        <v>93</v>
      </c>
      <c r="F142" s="998"/>
      <c r="G142" s="998"/>
      <c r="H142" s="1010" t="s">
        <v>94</v>
      </c>
    </row>
    <row r="143" spans="1:10" ht="25.5" x14ac:dyDescent="0.2">
      <c r="A143" s="994"/>
      <c r="B143" s="995"/>
      <c r="C143" s="998"/>
      <c r="D143" s="997"/>
      <c r="E143" s="292" t="s">
        <v>95</v>
      </c>
      <c r="F143" s="293" t="s">
        <v>96</v>
      </c>
      <c r="G143" s="789" t="s">
        <v>97</v>
      </c>
      <c r="H143" s="1010"/>
    </row>
    <row r="144" spans="1:10" ht="15.75" customHeight="1" x14ac:dyDescent="0.2">
      <c r="A144" s="992" t="str">
        <f>+'B) Reajuste Tarifas y Ocupación'!A16</f>
        <v>Jardín Infantil Pecesitos de Colores</v>
      </c>
      <c r="B144" s="252"/>
      <c r="C144" s="294" t="s">
        <v>98</v>
      </c>
      <c r="D144" s="254">
        <f>SUM(D145,D150)</f>
        <v>11728793.728</v>
      </c>
      <c r="E144" s="295"/>
      <c r="F144" s="295"/>
      <c r="G144" s="256">
        <f>SUM(G145,G150)</f>
        <v>1860390</v>
      </c>
      <c r="H144" s="257">
        <f>SUM(H145,H150)</f>
        <v>13589183.728</v>
      </c>
      <c r="I144" s="296"/>
      <c r="J144" s="296"/>
    </row>
    <row r="145" spans="1:10" x14ac:dyDescent="0.2">
      <c r="A145" s="992"/>
      <c r="B145" s="258"/>
      <c r="C145" s="297" t="s">
        <v>99</v>
      </c>
      <c r="D145" s="260">
        <f>SUM(D146:D149)</f>
        <v>9457277.7280000001</v>
      </c>
      <c r="E145" s="279"/>
      <c r="F145" s="279"/>
      <c r="G145" s="46">
        <f>SUM(G146:G149)</f>
        <v>0</v>
      </c>
      <c r="H145" s="262">
        <f>SUM(H146:H149)</f>
        <v>9457277.7280000001</v>
      </c>
      <c r="I145" s="296"/>
      <c r="J145" s="296"/>
    </row>
    <row r="146" spans="1:10" x14ac:dyDescent="0.2">
      <c r="A146" s="992"/>
      <c r="B146" s="817">
        <v>53103040100000</v>
      </c>
      <c r="C146" s="818" t="s">
        <v>100</v>
      </c>
      <c r="D146" s="298">
        <f>'F) Remuneraciones'!L55</f>
        <v>9377547.7280000001</v>
      </c>
      <c r="E146" s="299">
        <v>0</v>
      </c>
      <c r="F146" s="300">
        <v>0</v>
      </c>
      <c r="G146" s="263">
        <f>E146*F146</f>
        <v>0</v>
      </c>
      <c r="H146" s="264">
        <f>D146+G146</f>
        <v>9377547.7280000001</v>
      </c>
      <c r="I146" s="296"/>
      <c r="J146" s="296"/>
    </row>
    <row r="147" spans="1:10" x14ac:dyDescent="0.2">
      <c r="A147" s="992"/>
      <c r="B147" s="817">
        <v>53103050000000</v>
      </c>
      <c r="C147" s="818" t="s">
        <v>166</v>
      </c>
      <c r="D147" s="265"/>
      <c r="E147" s="266">
        <v>0</v>
      </c>
      <c r="F147" s="267">
        <v>0</v>
      </c>
      <c r="G147" s="263">
        <f>E147*F147</f>
        <v>0</v>
      </c>
      <c r="H147" s="264">
        <f>D147+G147</f>
        <v>0</v>
      </c>
      <c r="I147" s="296"/>
      <c r="J147" s="296"/>
    </row>
    <row r="148" spans="1:10" x14ac:dyDescent="0.2">
      <c r="A148" s="992"/>
      <c r="B148" s="822">
        <v>53103040400000</v>
      </c>
      <c r="C148" s="823" t="s">
        <v>102</v>
      </c>
      <c r="D148" s="265">
        <v>79730</v>
      </c>
      <c r="E148" s="266">
        <v>0</v>
      </c>
      <c r="F148" s="267">
        <v>0</v>
      </c>
      <c r="G148" s="263">
        <f>E148*F148</f>
        <v>0</v>
      </c>
      <c r="H148" s="264">
        <f>D148+G148</f>
        <v>79730</v>
      </c>
      <c r="I148" s="296"/>
      <c r="J148" s="296"/>
    </row>
    <row r="149" spans="1:10" x14ac:dyDescent="0.2">
      <c r="A149" s="992"/>
      <c r="B149" s="817">
        <v>53103080010000</v>
      </c>
      <c r="C149" s="818" t="s">
        <v>103</v>
      </c>
      <c r="D149" s="265">
        <v>0</v>
      </c>
      <c r="E149" s="266">
        <v>0</v>
      </c>
      <c r="F149" s="267">
        <v>0</v>
      </c>
      <c r="G149" s="263">
        <f>E149*F149</f>
        <v>0</v>
      </c>
      <c r="H149" s="264">
        <f>D149+G149</f>
        <v>0</v>
      </c>
      <c r="I149" s="296"/>
      <c r="J149" s="296"/>
    </row>
    <row r="150" spans="1:10" x14ac:dyDescent="0.2">
      <c r="A150" s="992"/>
      <c r="B150" s="258"/>
      <c r="C150" s="259" t="s">
        <v>104</v>
      </c>
      <c r="D150" s="260">
        <f>SUM(D151:D170)</f>
        <v>2271516</v>
      </c>
      <c r="E150" s="279"/>
      <c r="F150" s="279"/>
      <c r="G150" s="260">
        <f>SUM(G151:G170)</f>
        <v>1860390</v>
      </c>
      <c r="H150" s="262">
        <f>SUM(H151:H170)</f>
        <v>4131906</v>
      </c>
      <c r="I150" s="296"/>
      <c r="J150" s="296"/>
    </row>
    <row r="151" spans="1:10" x14ac:dyDescent="0.2">
      <c r="A151" s="992"/>
      <c r="B151" s="817">
        <v>53201010100000</v>
      </c>
      <c r="C151" s="818" t="s">
        <v>105</v>
      </c>
      <c r="D151" s="265">
        <v>0</v>
      </c>
      <c r="E151" s="266">
        <v>1821</v>
      </c>
      <c r="F151" s="267">
        <f>1*20*11</f>
        <v>220</v>
      </c>
      <c r="G151" s="263">
        <f t="shared" ref="G151:G170" si="16">E151*F151</f>
        <v>400620</v>
      </c>
      <c r="H151" s="264">
        <f t="shared" ref="H151:H170" si="17">D151+G151</f>
        <v>400620</v>
      </c>
      <c r="I151" s="296"/>
      <c r="J151" s="296"/>
    </row>
    <row r="152" spans="1:10" x14ac:dyDescent="0.2">
      <c r="A152" s="992"/>
      <c r="B152" s="817">
        <v>53201010100000</v>
      </c>
      <c r="C152" s="818" t="s">
        <v>106</v>
      </c>
      <c r="D152" s="265">
        <v>0</v>
      </c>
      <c r="E152" s="266">
        <v>0</v>
      </c>
      <c r="F152" s="267">
        <v>0</v>
      </c>
      <c r="G152" s="263">
        <f t="shared" si="16"/>
        <v>0</v>
      </c>
      <c r="H152" s="264">
        <f t="shared" si="17"/>
        <v>0</v>
      </c>
      <c r="I152" s="296"/>
      <c r="J152" s="296"/>
    </row>
    <row r="153" spans="1:10" x14ac:dyDescent="0.2">
      <c r="A153" s="992"/>
      <c r="B153" s="817">
        <v>53201010100000</v>
      </c>
      <c r="C153" s="818" t="s">
        <v>107</v>
      </c>
      <c r="D153" s="265">
        <v>0</v>
      </c>
      <c r="E153" s="266">
        <v>0</v>
      </c>
      <c r="F153" s="267">
        <v>0</v>
      </c>
      <c r="G153" s="263">
        <f t="shared" si="16"/>
        <v>0</v>
      </c>
      <c r="H153" s="264">
        <f t="shared" si="17"/>
        <v>0</v>
      </c>
      <c r="I153" s="296"/>
      <c r="J153" s="296"/>
    </row>
    <row r="154" spans="1:10" x14ac:dyDescent="0.2">
      <c r="A154" s="992"/>
      <c r="B154" s="817">
        <v>53202010100000</v>
      </c>
      <c r="C154" s="818" t="s">
        <v>108</v>
      </c>
      <c r="D154" s="277">
        <v>0</v>
      </c>
      <c r="E154" s="277">
        <v>0</v>
      </c>
      <c r="F154" s="301">
        <v>0</v>
      </c>
      <c r="G154" s="263">
        <f t="shared" si="16"/>
        <v>0</v>
      </c>
      <c r="H154" s="264">
        <f t="shared" si="17"/>
        <v>0</v>
      </c>
      <c r="I154" s="296"/>
      <c r="J154" s="296"/>
    </row>
    <row r="155" spans="1:10" x14ac:dyDescent="0.2">
      <c r="A155" s="992"/>
      <c r="B155" s="817">
        <v>53203010100000</v>
      </c>
      <c r="C155" s="818" t="s">
        <v>109</v>
      </c>
      <c r="D155" s="275">
        <v>0</v>
      </c>
      <c r="E155" s="275">
        <v>0</v>
      </c>
      <c r="F155" s="302">
        <v>0</v>
      </c>
      <c r="G155" s="263">
        <f t="shared" si="16"/>
        <v>0</v>
      </c>
      <c r="H155" s="264">
        <f t="shared" si="17"/>
        <v>0</v>
      </c>
      <c r="I155" s="296"/>
      <c r="J155" s="296"/>
    </row>
    <row r="156" spans="1:10" x14ac:dyDescent="0.2">
      <c r="A156" s="992"/>
      <c r="B156" s="817">
        <v>53203030000000</v>
      </c>
      <c r="C156" s="818" t="s">
        <v>110</v>
      </c>
      <c r="D156" s="275">
        <v>0</v>
      </c>
      <c r="E156" s="275">
        <v>0</v>
      </c>
      <c r="F156" s="302">
        <v>0</v>
      </c>
      <c r="G156" s="263">
        <f t="shared" si="16"/>
        <v>0</v>
      </c>
      <c r="H156" s="264">
        <f t="shared" si="17"/>
        <v>0</v>
      </c>
      <c r="I156" s="296"/>
      <c r="J156" s="296"/>
    </row>
    <row r="157" spans="1:10" x14ac:dyDescent="0.2">
      <c r="A157" s="992"/>
      <c r="B157" s="817">
        <v>53204030000000</v>
      </c>
      <c r="C157" s="818" t="s">
        <v>111</v>
      </c>
      <c r="D157" s="275"/>
      <c r="E157" s="275">
        <v>26390</v>
      </c>
      <c r="F157" s="302">
        <v>3</v>
      </c>
      <c r="G157" s="263">
        <f t="shared" si="16"/>
        <v>79170</v>
      </c>
      <c r="H157" s="264">
        <f t="shared" si="17"/>
        <v>79170</v>
      </c>
      <c r="I157" s="296"/>
      <c r="J157" s="296"/>
    </row>
    <row r="158" spans="1:10" x14ac:dyDescent="0.2">
      <c r="A158" s="992"/>
      <c r="B158" s="817">
        <v>53204100100001</v>
      </c>
      <c r="C158" s="818" t="s">
        <v>112</v>
      </c>
      <c r="D158" s="275">
        <v>0</v>
      </c>
      <c r="E158" s="275">
        <v>0</v>
      </c>
      <c r="F158" s="302">
        <v>0</v>
      </c>
      <c r="G158" s="263">
        <f t="shared" si="16"/>
        <v>0</v>
      </c>
      <c r="H158" s="264">
        <f t="shared" si="17"/>
        <v>0</v>
      </c>
      <c r="I158" s="296"/>
      <c r="J158" s="296"/>
    </row>
    <row r="159" spans="1:10" x14ac:dyDescent="0.2">
      <c r="A159" s="992"/>
      <c r="B159" s="817">
        <v>53204130100000</v>
      </c>
      <c r="C159" s="818" t="s">
        <v>113</v>
      </c>
      <c r="D159" s="275">
        <v>0</v>
      </c>
      <c r="E159" s="275">
        <v>0</v>
      </c>
      <c r="F159" s="302">
        <v>0</v>
      </c>
      <c r="G159" s="263">
        <f t="shared" si="16"/>
        <v>0</v>
      </c>
      <c r="H159" s="264">
        <f t="shared" si="17"/>
        <v>0</v>
      </c>
      <c r="I159" s="296"/>
      <c r="J159" s="296"/>
    </row>
    <row r="160" spans="1:10" x14ac:dyDescent="0.2">
      <c r="A160" s="992"/>
      <c r="B160" s="817">
        <v>53205010100000</v>
      </c>
      <c r="C160" s="818" t="s">
        <v>114</v>
      </c>
      <c r="D160" s="275">
        <v>420000</v>
      </c>
      <c r="E160" s="275">
        <v>0</v>
      </c>
      <c r="F160" s="302">
        <v>0</v>
      </c>
      <c r="G160" s="263">
        <f t="shared" si="16"/>
        <v>0</v>
      </c>
      <c r="H160" s="264">
        <f t="shared" si="17"/>
        <v>420000</v>
      </c>
      <c r="I160" s="296"/>
      <c r="J160" s="296"/>
    </row>
    <row r="161" spans="1:10" x14ac:dyDescent="0.2">
      <c r="A161" s="992"/>
      <c r="B161" s="817">
        <v>53205020100000</v>
      </c>
      <c r="C161" s="818" t="s">
        <v>115</v>
      </c>
      <c r="D161" s="275">
        <v>120000</v>
      </c>
      <c r="E161" s="275">
        <v>0</v>
      </c>
      <c r="F161" s="302">
        <v>0</v>
      </c>
      <c r="G161" s="263">
        <f t="shared" si="16"/>
        <v>0</v>
      </c>
      <c r="H161" s="264">
        <f t="shared" si="17"/>
        <v>120000</v>
      </c>
      <c r="I161" s="296"/>
      <c r="J161" s="296"/>
    </row>
    <row r="162" spans="1:10" x14ac:dyDescent="0.2">
      <c r="A162" s="992"/>
      <c r="B162" s="817">
        <v>53205030100000</v>
      </c>
      <c r="C162" s="818" t="s">
        <v>116</v>
      </c>
      <c r="D162" s="275">
        <v>60000</v>
      </c>
      <c r="E162" s="275">
        <v>0</v>
      </c>
      <c r="F162" s="302">
        <v>0</v>
      </c>
      <c r="G162" s="263">
        <f t="shared" si="16"/>
        <v>0</v>
      </c>
      <c r="H162" s="264">
        <f t="shared" si="17"/>
        <v>60000</v>
      </c>
      <c r="I162" s="296" t="s">
        <v>830</v>
      </c>
      <c r="J162" s="296"/>
    </row>
    <row r="163" spans="1:10" x14ac:dyDescent="0.2">
      <c r="A163" s="992"/>
      <c r="B163" s="817">
        <v>53205050100000</v>
      </c>
      <c r="C163" s="818" t="s">
        <v>117</v>
      </c>
      <c r="D163" s="275">
        <v>621516</v>
      </c>
      <c r="E163" s="275">
        <v>0</v>
      </c>
      <c r="F163" s="302">
        <v>0</v>
      </c>
      <c r="G163" s="263">
        <f t="shared" si="16"/>
        <v>0</v>
      </c>
      <c r="H163" s="264">
        <f t="shared" si="17"/>
        <v>621516</v>
      </c>
      <c r="I163" s="296"/>
      <c r="J163" s="296"/>
    </row>
    <row r="164" spans="1:10" x14ac:dyDescent="0.2">
      <c r="A164" s="992"/>
      <c r="B164" s="817">
        <v>53205070100000</v>
      </c>
      <c r="C164" s="818" t="s">
        <v>118</v>
      </c>
      <c r="D164" s="275">
        <v>0</v>
      </c>
      <c r="E164" s="275">
        <v>0</v>
      </c>
      <c r="F164" s="302">
        <v>0</v>
      </c>
      <c r="G164" s="263">
        <f t="shared" si="16"/>
        <v>0</v>
      </c>
      <c r="H164" s="264">
        <f t="shared" si="17"/>
        <v>0</v>
      </c>
      <c r="I164" s="296"/>
      <c r="J164" s="296"/>
    </row>
    <row r="165" spans="1:10" x14ac:dyDescent="0.2">
      <c r="A165" s="992"/>
      <c r="B165" s="817">
        <v>53208010100000</v>
      </c>
      <c r="C165" s="818" t="s">
        <v>119</v>
      </c>
      <c r="D165" s="275">
        <v>0</v>
      </c>
      <c r="E165" s="275">
        <v>0</v>
      </c>
      <c r="F165" s="302">
        <v>0</v>
      </c>
      <c r="G165" s="263">
        <f t="shared" si="16"/>
        <v>0</v>
      </c>
      <c r="H165" s="264">
        <f t="shared" si="17"/>
        <v>0</v>
      </c>
      <c r="I165" s="296"/>
      <c r="J165" s="296"/>
    </row>
    <row r="166" spans="1:10" x14ac:dyDescent="0.2">
      <c r="A166" s="992"/>
      <c r="B166" s="817">
        <v>53208070100001</v>
      </c>
      <c r="C166" s="818" t="s">
        <v>120</v>
      </c>
      <c r="D166" s="277">
        <v>0</v>
      </c>
      <c r="E166" s="277">
        <v>0</v>
      </c>
      <c r="F166" s="301">
        <v>0</v>
      </c>
      <c r="G166" s="263">
        <f t="shared" si="16"/>
        <v>0</v>
      </c>
      <c r="H166" s="264">
        <f t="shared" si="17"/>
        <v>0</v>
      </c>
      <c r="I166" s="296"/>
      <c r="J166" s="296"/>
    </row>
    <row r="167" spans="1:10" x14ac:dyDescent="0.2">
      <c r="A167" s="992"/>
      <c r="B167" s="817">
        <v>53208100100001</v>
      </c>
      <c r="C167" s="818" t="s">
        <v>121</v>
      </c>
      <c r="D167" s="275">
        <v>350000</v>
      </c>
      <c r="E167" s="275">
        <v>0</v>
      </c>
      <c r="F167" s="302">
        <v>0</v>
      </c>
      <c r="G167" s="263">
        <f t="shared" si="16"/>
        <v>0</v>
      </c>
      <c r="H167" s="264">
        <f t="shared" si="17"/>
        <v>350000</v>
      </c>
      <c r="I167" s="296"/>
      <c r="J167" s="296"/>
    </row>
    <row r="168" spans="1:10" x14ac:dyDescent="0.2">
      <c r="A168" s="992"/>
      <c r="B168" s="817">
        <v>53211030000000</v>
      </c>
      <c r="C168" s="818" t="s">
        <v>122</v>
      </c>
      <c r="D168" s="275">
        <v>0</v>
      </c>
      <c r="E168" s="275">
        <v>0</v>
      </c>
      <c r="F168" s="302">
        <v>0</v>
      </c>
      <c r="G168" s="263">
        <f t="shared" si="16"/>
        <v>0</v>
      </c>
      <c r="H168" s="264">
        <f t="shared" si="17"/>
        <v>0</v>
      </c>
      <c r="I168" s="296"/>
      <c r="J168" s="296"/>
    </row>
    <row r="169" spans="1:10" x14ac:dyDescent="0.2">
      <c r="A169" s="992"/>
      <c r="B169" s="817">
        <v>53212020100000</v>
      </c>
      <c r="C169" s="818" t="s">
        <v>123</v>
      </c>
      <c r="D169" s="275">
        <v>0</v>
      </c>
      <c r="E169" s="275">
        <v>153400</v>
      </c>
      <c r="F169" s="302">
        <v>9</v>
      </c>
      <c r="G169" s="263">
        <f t="shared" si="16"/>
        <v>1380600</v>
      </c>
      <c r="H169" s="264">
        <f t="shared" si="17"/>
        <v>1380600</v>
      </c>
      <c r="I169" s="296"/>
      <c r="J169" s="296"/>
    </row>
    <row r="170" spans="1:10" ht="15.75" customHeight="1" x14ac:dyDescent="0.2">
      <c r="A170" s="992"/>
      <c r="B170" s="817">
        <v>53214020000000</v>
      </c>
      <c r="C170" s="818" t="s">
        <v>124</v>
      </c>
      <c r="D170" s="277">
        <v>700000</v>
      </c>
      <c r="E170" s="277">
        <v>0</v>
      </c>
      <c r="F170" s="301">
        <v>0</v>
      </c>
      <c r="G170" s="263">
        <f t="shared" si="16"/>
        <v>0</v>
      </c>
      <c r="H170" s="264">
        <f t="shared" si="17"/>
        <v>700000</v>
      </c>
      <c r="I170" s="296"/>
      <c r="J170" s="296"/>
    </row>
    <row r="171" spans="1:10" x14ac:dyDescent="0.2">
      <c r="A171" s="992"/>
      <c r="B171" s="252"/>
      <c r="C171" s="253" t="s">
        <v>125</v>
      </c>
      <c r="D171" s="254">
        <f>+D172+D177+D179+D188+D197+D205</f>
        <v>1356485</v>
      </c>
      <c r="E171" s="295"/>
      <c r="F171" s="303"/>
      <c r="G171" s="254">
        <f>+G172+G177+G179+G188+G197+G205</f>
        <v>3034844</v>
      </c>
      <c r="H171" s="254">
        <f>+H172+H177+H179+H188+H197+H205</f>
        <v>4391329</v>
      </c>
      <c r="I171" s="296"/>
      <c r="J171" s="296"/>
    </row>
    <row r="172" spans="1:10" x14ac:dyDescent="0.2">
      <c r="A172" s="992"/>
      <c r="B172" s="258"/>
      <c r="C172" s="259" t="s">
        <v>126</v>
      </c>
      <c r="D172" s="260">
        <f>SUM(D173:D176)</f>
        <v>30000</v>
      </c>
      <c r="E172" s="279"/>
      <c r="F172" s="304"/>
      <c r="G172" s="279">
        <f>SUM(G173:G176)</f>
        <v>255830</v>
      </c>
      <c r="H172" s="280">
        <f>SUM(H173:H176)</f>
        <v>285830</v>
      </c>
      <c r="I172" s="296"/>
      <c r="J172" s="296"/>
    </row>
    <row r="173" spans="1:10" x14ac:dyDescent="0.2">
      <c r="A173" s="992"/>
      <c r="B173" s="817">
        <v>53202020100000</v>
      </c>
      <c r="C173" s="818" t="s">
        <v>127</v>
      </c>
      <c r="D173" s="265">
        <v>30000</v>
      </c>
      <c r="E173" s="266">
        <v>30000</v>
      </c>
      <c r="F173" s="273">
        <v>3</v>
      </c>
      <c r="G173" s="263">
        <f>E173*F173</f>
        <v>90000</v>
      </c>
      <c r="H173" s="264">
        <f>D173+G173</f>
        <v>120000</v>
      </c>
      <c r="I173" s="296"/>
      <c r="J173" s="296"/>
    </row>
    <row r="174" spans="1:10" x14ac:dyDescent="0.2">
      <c r="A174" s="992"/>
      <c r="B174" s="817">
        <v>53202030000000</v>
      </c>
      <c r="C174" s="818" t="s">
        <v>128</v>
      </c>
      <c r="D174" s="265">
        <v>0</v>
      </c>
      <c r="E174" s="266">
        <v>38990</v>
      </c>
      <c r="F174" s="273">
        <v>1</v>
      </c>
      <c r="G174" s="263">
        <f>E174*F174</f>
        <v>38990</v>
      </c>
      <c r="H174" s="264">
        <f>D174+G174</f>
        <v>38990</v>
      </c>
      <c r="I174" s="296"/>
      <c r="J174" s="296"/>
    </row>
    <row r="175" spans="1:10" x14ac:dyDescent="0.2">
      <c r="A175" s="992"/>
      <c r="B175" s="817">
        <v>53211020000000</v>
      </c>
      <c r="C175" s="818" t="s">
        <v>129</v>
      </c>
      <c r="D175" s="275">
        <v>0</v>
      </c>
      <c r="E175" s="275">
        <v>63420</v>
      </c>
      <c r="F175" s="276">
        <v>2</v>
      </c>
      <c r="G175" s="263">
        <f>E175*F175</f>
        <v>126840</v>
      </c>
      <c r="H175" s="264">
        <f>D175+G175</f>
        <v>126840</v>
      </c>
      <c r="I175" s="296"/>
      <c r="J175" s="296"/>
    </row>
    <row r="176" spans="1:10" x14ac:dyDescent="0.2">
      <c r="A176" s="992"/>
      <c r="B176" s="817">
        <v>53101040600000</v>
      </c>
      <c r="C176" s="818" t="s">
        <v>130</v>
      </c>
      <c r="D176" s="275">
        <v>0</v>
      </c>
      <c r="E176" s="275">
        <v>0</v>
      </c>
      <c r="F176" s="276">
        <v>0</v>
      </c>
      <c r="G176" s="263">
        <f>E176*F176</f>
        <v>0</v>
      </c>
      <c r="H176" s="264">
        <f>D176+G176</f>
        <v>0</v>
      </c>
      <c r="I176" s="296"/>
      <c r="J176" s="296"/>
    </row>
    <row r="177" spans="1:10" x14ac:dyDescent="0.2">
      <c r="A177" s="992"/>
      <c r="B177" s="258"/>
      <c r="C177" s="259" t="s">
        <v>131</v>
      </c>
      <c r="D177" s="260">
        <f>SUM(D178)</f>
        <v>0</v>
      </c>
      <c r="E177" s="279"/>
      <c r="F177" s="304"/>
      <c r="G177" s="279">
        <f>SUM(G178:G178)</f>
        <v>204000</v>
      </c>
      <c r="H177" s="280">
        <f>SUM(H178:H178)</f>
        <v>204000</v>
      </c>
      <c r="I177" s="296"/>
      <c r="J177" s="296"/>
    </row>
    <row r="178" spans="1:10" x14ac:dyDescent="0.2">
      <c r="A178" s="992"/>
      <c r="B178" s="825">
        <v>53205990000000</v>
      </c>
      <c r="C178" s="818" t="s">
        <v>132</v>
      </c>
      <c r="D178" s="275">
        <v>0</v>
      </c>
      <c r="E178" s="275">
        <v>17000</v>
      </c>
      <c r="F178" s="276">
        <v>12</v>
      </c>
      <c r="G178" s="263">
        <f>E178*F178</f>
        <v>204000</v>
      </c>
      <c r="H178" s="264">
        <f>D178+G178</f>
        <v>204000</v>
      </c>
      <c r="I178" s="296" t="s">
        <v>827</v>
      </c>
      <c r="J178" s="296"/>
    </row>
    <row r="179" spans="1:10" x14ac:dyDescent="0.2">
      <c r="A179" s="992"/>
      <c r="B179" s="258"/>
      <c r="C179" s="259" t="s">
        <v>133</v>
      </c>
      <c r="D179" s="260">
        <f>SUM(D180:D187)</f>
        <v>1172000</v>
      </c>
      <c r="E179" s="279"/>
      <c r="F179" s="304"/>
      <c r="G179" s="260">
        <f>SUM(G180:G187)</f>
        <v>556970</v>
      </c>
      <c r="H179" s="262">
        <f>SUM(H180:H187)</f>
        <v>1728970</v>
      </c>
      <c r="I179" s="296"/>
      <c r="J179" s="296"/>
    </row>
    <row r="180" spans="1:10" x14ac:dyDescent="0.2">
      <c r="A180" s="992"/>
      <c r="B180" s="817">
        <v>53204010000000</v>
      </c>
      <c r="C180" s="818" t="s">
        <v>134</v>
      </c>
      <c r="D180" s="275">
        <v>120000</v>
      </c>
      <c r="E180" s="275"/>
      <c r="F180" s="276">
        <v>0</v>
      </c>
      <c r="G180" s="263">
        <f t="shared" ref="G180:G187" si="18">E180*F180</f>
        <v>0</v>
      </c>
      <c r="H180" s="264">
        <f t="shared" ref="H180:H187" si="19">D180+G180</f>
        <v>120000</v>
      </c>
      <c r="I180" s="296"/>
      <c r="J180" s="296"/>
    </row>
    <row r="181" spans="1:10" x14ac:dyDescent="0.2">
      <c r="A181" s="992"/>
      <c r="B181" s="825">
        <v>53204040200000</v>
      </c>
      <c r="C181" s="818" t="s">
        <v>135</v>
      </c>
      <c r="D181" s="275"/>
      <c r="E181" s="275">
        <v>18990</v>
      </c>
      <c r="F181" s="276">
        <v>3</v>
      </c>
      <c r="G181" s="263">
        <f t="shared" si="18"/>
        <v>56970</v>
      </c>
      <c r="H181" s="264">
        <f t="shared" si="19"/>
        <v>56970</v>
      </c>
      <c r="I181" s="296"/>
      <c r="J181" s="296"/>
    </row>
    <row r="182" spans="1:10" x14ac:dyDescent="0.2">
      <c r="A182" s="992"/>
      <c r="B182" s="817">
        <v>53204060000000</v>
      </c>
      <c r="C182" s="818" t="s">
        <v>136</v>
      </c>
      <c r="D182" s="275">
        <v>0</v>
      </c>
      <c r="E182" s="275">
        <v>0</v>
      </c>
      <c r="F182" s="276">
        <v>0</v>
      </c>
      <c r="G182" s="263">
        <f t="shared" si="18"/>
        <v>0</v>
      </c>
      <c r="H182" s="264">
        <f t="shared" si="19"/>
        <v>0</v>
      </c>
      <c r="I182" s="296"/>
      <c r="J182" s="296"/>
    </row>
    <row r="183" spans="1:10" x14ac:dyDescent="0.2">
      <c r="A183" s="992"/>
      <c r="B183" s="817">
        <v>53204070000000</v>
      </c>
      <c r="C183" s="818" t="s">
        <v>137</v>
      </c>
      <c r="D183" s="275">
        <f>'H) Detalle Datos'!F194+'H) Detalle Datos'!J194</f>
        <v>1002000</v>
      </c>
      <c r="E183" s="275">
        <v>50000</v>
      </c>
      <c r="F183" s="276">
        <v>10</v>
      </c>
      <c r="G183" s="263">
        <f t="shared" si="18"/>
        <v>500000</v>
      </c>
      <c r="H183" s="264">
        <f t="shared" si="19"/>
        <v>1502000</v>
      </c>
      <c r="I183" s="296"/>
      <c r="J183" s="296"/>
    </row>
    <row r="184" spans="1:10" x14ac:dyDescent="0.2">
      <c r="A184" s="992"/>
      <c r="B184" s="817">
        <v>53204080000000</v>
      </c>
      <c r="C184" s="818" t="s">
        <v>139</v>
      </c>
      <c r="D184" s="275">
        <v>50000</v>
      </c>
      <c r="E184" s="275">
        <v>0</v>
      </c>
      <c r="F184" s="276">
        <v>0</v>
      </c>
      <c r="G184" s="263">
        <f t="shared" si="18"/>
        <v>0</v>
      </c>
      <c r="H184" s="264">
        <f t="shared" si="19"/>
        <v>50000</v>
      </c>
      <c r="I184" s="296"/>
      <c r="J184" s="296"/>
    </row>
    <row r="185" spans="1:10" x14ac:dyDescent="0.2">
      <c r="A185" s="992"/>
      <c r="B185" s="817">
        <v>53214010000000</v>
      </c>
      <c r="C185" s="818" t="s">
        <v>140</v>
      </c>
      <c r="D185" s="277">
        <v>0</v>
      </c>
      <c r="E185" s="277">
        <v>0</v>
      </c>
      <c r="F185" s="274">
        <v>0</v>
      </c>
      <c r="G185" s="263">
        <f t="shared" si="18"/>
        <v>0</v>
      </c>
      <c r="H185" s="264">
        <f t="shared" si="19"/>
        <v>0</v>
      </c>
      <c r="I185" s="296"/>
      <c r="J185" s="296"/>
    </row>
    <row r="186" spans="1:10" x14ac:dyDescent="0.2">
      <c r="A186" s="992"/>
      <c r="B186" s="817">
        <v>53214040000000</v>
      </c>
      <c r="C186" s="818" t="s">
        <v>141</v>
      </c>
      <c r="D186" s="277"/>
      <c r="E186" s="277"/>
      <c r="F186" s="274">
        <v>0</v>
      </c>
      <c r="G186" s="263">
        <f t="shared" si="18"/>
        <v>0</v>
      </c>
      <c r="H186" s="264">
        <f t="shared" si="19"/>
        <v>0</v>
      </c>
      <c r="I186" s="296"/>
      <c r="J186" s="296"/>
    </row>
    <row r="187" spans="1:10" x14ac:dyDescent="0.2">
      <c r="A187" s="992"/>
      <c r="B187" s="822">
        <v>53204020100000</v>
      </c>
      <c r="C187" s="818" t="s">
        <v>142</v>
      </c>
      <c r="D187" s="275">
        <v>0</v>
      </c>
      <c r="E187" s="275">
        <v>0</v>
      </c>
      <c r="F187" s="276">
        <v>0</v>
      </c>
      <c r="G187" s="263">
        <f t="shared" si="18"/>
        <v>0</v>
      </c>
      <c r="H187" s="264">
        <f t="shared" si="19"/>
        <v>0</v>
      </c>
      <c r="I187" s="296"/>
      <c r="J187" s="296"/>
    </row>
    <row r="188" spans="1:10" x14ac:dyDescent="0.2">
      <c r="A188" s="992"/>
      <c r="B188" s="258"/>
      <c r="C188" s="259" t="s">
        <v>143</v>
      </c>
      <c r="D188" s="260">
        <f>SUM(D189:D196)</f>
        <v>154485</v>
      </c>
      <c r="E188" s="279"/>
      <c r="F188" s="304"/>
      <c r="G188" s="260">
        <f>SUM(G189:G196)</f>
        <v>1788044</v>
      </c>
      <c r="H188" s="262">
        <f>SUM(H189:H196)</f>
        <v>1942529</v>
      </c>
      <c r="I188" s="296"/>
      <c r="J188" s="296"/>
    </row>
    <row r="189" spans="1:10" x14ac:dyDescent="0.2">
      <c r="A189" s="992"/>
      <c r="B189" s="817">
        <v>53207010000000</v>
      </c>
      <c r="C189" s="818" t="s">
        <v>144</v>
      </c>
      <c r="D189" s="275">
        <v>0</v>
      </c>
      <c r="E189" s="275">
        <v>0</v>
      </c>
      <c r="F189" s="276">
        <v>0</v>
      </c>
      <c r="G189" s="263">
        <f t="shared" ref="G189:G196" si="20">E189*F189</f>
        <v>0</v>
      </c>
      <c r="H189" s="264">
        <f t="shared" ref="H189:H196" si="21">D189+G189</f>
        <v>0</v>
      </c>
      <c r="I189" s="296"/>
      <c r="J189" s="296"/>
    </row>
    <row r="190" spans="1:10" x14ac:dyDescent="0.2">
      <c r="A190" s="992"/>
      <c r="B190" s="817">
        <v>53207020000000</v>
      </c>
      <c r="C190" s="818" t="s">
        <v>145</v>
      </c>
      <c r="D190" s="275">
        <v>0</v>
      </c>
      <c r="E190" s="275">
        <v>0</v>
      </c>
      <c r="F190" s="276">
        <v>0</v>
      </c>
      <c r="G190" s="263">
        <f t="shared" si="20"/>
        <v>0</v>
      </c>
      <c r="H190" s="264">
        <f t="shared" si="21"/>
        <v>0</v>
      </c>
      <c r="I190" s="296"/>
      <c r="J190" s="296"/>
    </row>
    <row r="191" spans="1:10" x14ac:dyDescent="0.2">
      <c r="A191" s="992"/>
      <c r="B191" s="817">
        <v>53208020000000</v>
      </c>
      <c r="C191" s="818" t="s">
        <v>146</v>
      </c>
      <c r="D191" s="275">
        <v>0</v>
      </c>
      <c r="E191" s="275">
        <v>96400</v>
      </c>
      <c r="F191" s="276">
        <v>12</v>
      </c>
      <c r="G191" s="263">
        <f t="shared" si="20"/>
        <v>1156800</v>
      </c>
      <c r="H191" s="264">
        <f t="shared" si="21"/>
        <v>1156800</v>
      </c>
      <c r="I191" s="296"/>
      <c r="J191" s="296"/>
    </row>
    <row r="192" spans="1:10" x14ac:dyDescent="0.2">
      <c r="A192" s="992"/>
      <c r="B192" s="817">
        <v>53208990000000</v>
      </c>
      <c r="C192" s="818" t="s">
        <v>147</v>
      </c>
      <c r="D192" s="275">
        <v>0</v>
      </c>
      <c r="E192" s="275">
        <v>114341</v>
      </c>
      <c r="F192" s="276">
        <v>4</v>
      </c>
      <c r="G192" s="263">
        <f t="shared" si="20"/>
        <v>457364</v>
      </c>
      <c r="H192" s="264">
        <f t="shared" si="21"/>
        <v>457364</v>
      </c>
      <c r="I192" s="296"/>
      <c r="J192" s="296"/>
    </row>
    <row r="193" spans="1:15" x14ac:dyDescent="0.2">
      <c r="A193" s="992"/>
      <c r="B193" s="822">
        <v>53210020300000</v>
      </c>
      <c r="C193" s="818" t="s">
        <v>148</v>
      </c>
      <c r="D193" s="305">
        <v>0</v>
      </c>
      <c r="E193" s="41">
        <v>7560</v>
      </c>
      <c r="F193" s="286">
        <f>'B) Reajuste Tarifas y Ocupación'!I40</f>
        <v>23</v>
      </c>
      <c r="G193" s="263">
        <f t="shared" si="20"/>
        <v>173880</v>
      </c>
      <c r="H193" s="264">
        <f t="shared" si="21"/>
        <v>173880</v>
      </c>
      <c r="I193" s="296"/>
      <c r="J193" s="296"/>
    </row>
    <row r="194" spans="1:15" x14ac:dyDescent="0.2">
      <c r="A194" s="992"/>
      <c r="B194" s="817">
        <v>53208990000000</v>
      </c>
      <c r="C194" s="818" t="s">
        <v>149</v>
      </c>
      <c r="D194" s="275">
        <v>0</v>
      </c>
      <c r="E194" s="275">
        <v>0</v>
      </c>
      <c r="F194" s="276">
        <v>0</v>
      </c>
      <c r="G194" s="263">
        <f t="shared" si="20"/>
        <v>0</v>
      </c>
      <c r="H194" s="264">
        <f t="shared" si="21"/>
        <v>0</v>
      </c>
      <c r="I194" s="296"/>
      <c r="J194" s="296"/>
    </row>
    <row r="195" spans="1:15" x14ac:dyDescent="0.2">
      <c r="A195" s="992"/>
      <c r="B195" s="817">
        <v>53209990000000</v>
      </c>
      <c r="C195" s="818" t="s">
        <v>150</v>
      </c>
      <c r="D195" s="275">
        <v>0</v>
      </c>
      <c r="E195" s="275">
        <v>0</v>
      </c>
      <c r="F195" s="276">
        <v>0</v>
      </c>
      <c r="G195" s="263">
        <f t="shared" si="20"/>
        <v>0</v>
      </c>
      <c r="H195" s="264">
        <f t="shared" si="21"/>
        <v>0</v>
      </c>
      <c r="I195" s="296"/>
      <c r="J195" s="296"/>
    </row>
    <row r="196" spans="1:15" x14ac:dyDescent="0.2">
      <c r="A196" s="992"/>
      <c r="B196" s="817">
        <v>53210020100000</v>
      </c>
      <c r="C196" s="818" t="s">
        <v>151</v>
      </c>
      <c r="D196" s="275">
        <v>154485</v>
      </c>
      <c r="E196" s="275">
        <v>0</v>
      </c>
      <c r="F196" s="276">
        <v>0</v>
      </c>
      <c r="G196" s="263">
        <f t="shared" si="20"/>
        <v>0</v>
      </c>
      <c r="H196" s="264">
        <f t="shared" si="21"/>
        <v>154485</v>
      </c>
      <c r="I196" s="296"/>
      <c r="J196" s="296"/>
    </row>
    <row r="197" spans="1:15" x14ac:dyDescent="0.2">
      <c r="A197" s="992"/>
      <c r="B197" s="258"/>
      <c r="C197" s="259" t="s">
        <v>152</v>
      </c>
      <c r="D197" s="260">
        <f>SUM(D198:D204)</f>
        <v>0</v>
      </c>
      <c r="E197" s="279"/>
      <c r="F197" s="304"/>
      <c r="G197" s="260">
        <f>SUM(G198:G204)</f>
        <v>0</v>
      </c>
      <c r="H197" s="262">
        <f>SUM(H198:H204)</f>
        <v>0</v>
      </c>
      <c r="I197" s="296"/>
      <c r="J197" s="296"/>
    </row>
    <row r="198" spans="1:15" x14ac:dyDescent="0.2">
      <c r="A198" s="992"/>
      <c r="B198" s="817">
        <v>53206030000000</v>
      </c>
      <c r="C198" s="818" t="s">
        <v>153</v>
      </c>
      <c r="D198" s="275">
        <v>0</v>
      </c>
      <c r="E198" s="275">
        <v>0</v>
      </c>
      <c r="F198" s="276">
        <v>0</v>
      </c>
      <c r="G198" s="263">
        <f t="shared" ref="G198:G204" si="22">E198*F198</f>
        <v>0</v>
      </c>
      <c r="H198" s="264">
        <f t="shared" ref="H198:H204" si="23">D198+G198</f>
        <v>0</v>
      </c>
      <c r="I198" s="296"/>
      <c r="J198" s="296"/>
    </row>
    <row r="199" spans="1:15" x14ac:dyDescent="0.2">
      <c r="A199" s="992"/>
      <c r="B199" s="817">
        <v>53206040000000</v>
      </c>
      <c r="C199" s="818" t="s">
        <v>154</v>
      </c>
      <c r="D199" s="275">
        <v>0</v>
      </c>
      <c r="E199" s="275">
        <v>0</v>
      </c>
      <c r="F199" s="276">
        <v>0</v>
      </c>
      <c r="G199" s="263">
        <f t="shared" si="22"/>
        <v>0</v>
      </c>
      <c r="H199" s="264">
        <f t="shared" si="23"/>
        <v>0</v>
      </c>
      <c r="I199" s="296"/>
      <c r="J199" s="296"/>
    </row>
    <row r="200" spans="1:15" x14ac:dyDescent="0.2">
      <c r="A200" s="992"/>
      <c r="B200" s="817">
        <v>53206060000000</v>
      </c>
      <c r="C200" s="818" t="s">
        <v>155</v>
      </c>
      <c r="D200" s="275">
        <v>0</v>
      </c>
      <c r="E200" s="275">
        <v>0</v>
      </c>
      <c r="F200" s="276">
        <v>0</v>
      </c>
      <c r="G200" s="263">
        <f t="shared" si="22"/>
        <v>0</v>
      </c>
      <c r="H200" s="264">
        <f t="shared" si="23"/>
        <v>0</v>
      </c>
      <c r="I200" s="296"/>
      <c r="J200" s="296"/>
    </row>
    <row r="201" spans="1:15" x14ac:dyDescent="0.2">
      <c r="A201" s="992"/>
      <c r="B201" s="817">
        <v>53206070000000</v>
      </c>
      <c r="C201" s="818" t="s">
        <v>156</v>
      </c>
      <c r="D201" s="275">
        <v>0</v>
      </c>
      <c r="E201" s="275">
        <v>0</v>
      </c>
      <c r="F201" s="276">
        <v>0</v>
      </c>
      <c r="G201" s="263">
        <f t="shared" si="22"/>
        <v>0</v>
      </c>
      <c r="H201" s="264">
        <f t="shared" si="23"/>
        <v>0</v>
      </c>
      <c r="I201" s="296"/>
      <c r="J201" s="296"/>
    </row>
    <row r="202" spans="1:15" x14ac:dyDescent="0.2">
      <c r="A202" s="992"/>
      <c r="B202" s="817">
        <v>53206990000000</v>
      </c>
      <c r="C202" s="818" t="s">
        <v>157</v>
      </c>
      <c r="D202" s="275">
        <v>0</v>
      </c>
      <c r="E202" s="275">
        <v>0</v>
      </c>
      <c r="F202" s="276">
        <v>0</v>
      </c>
      <c r="G202" s="263">
        <f t="shared" si="22"/>
        <v>0</v>
      </c>
      <c r="H202" s="264">
        <f t="shared" si="23"/>
        <v>0</v>
      </c>
      <c r="I202" s="296"/>
      <c r="J202" s="296"/>
    </row>
    <row r="203" spans="1:15" x14ac:dyDescent="0.2">
      <c r="A203" s="992"/>
      <c r="B203" s="817">
        <v>53208030000000</v>
      </c>
      <c r="C203" s="818" t="s">
        <v>158</v>
      </c>
      <c r="D203" s="275">
        <v>0</v>
      </c>
      <c r="E203" s="275">
        <v>0</v>
      </c>
      <c r="F203" s="276">
        <v>0</v>
      </c>
      <c r="G203" s="263">
        <f t="shared" si="22"/>
        <v>0</v>
      </c>
      <c r="H203" s="264">
        <f t="shared" si="23"/>
        <v>0</v>
      </c>
      <c r="I203" s="296"/>
      <c r="J203" s="296"/>
    </row>
    <row r="204" spans="1:15" x14ac:dyDescent="0.2">
      <c r="A204" s="992"/>
      <c r="B204" s="817">
        <v>53206990000000</v>
      </c>
      <c r="C204" s="818" t="s">
        <v>159</v>
      </c>
      <c r="D204" s="275">
        <v>0</v>
      </c>
      <c r="E204" s="275">
        <v>0</v>
      </c>
      <c r="F204" s="276">
        <v>0</v>
      </c>
      <c r="G204" s="263">
        <f t="shared" si="22"/>
        <v>0</v>
      </c>
      <c r="H204" s="264">
        <f t="shared" si="23"/>
        <v>0</v>
      </c>
      <c r="I204" s="296"/>
      <c r="J204" s="296"/>
    </row>
    <row r="205" spans="1:15" x14ac:dyDescent="0.2">
      <c r="A205" s="992"/>
      <c r="B205" s="258"/>
      <c r="C205" s="259" t="s">
        <v>160</v>
      </c>
      <c r="D205" s="260">
        <f>SUM(D206)</f>
        <v>0</v>
      </c>
      <c r="E205" s="279"/>
      <c r="F205" s="304"/>
      <c r="G205" s="260">
        <f>SUM(G206:G206)</f>
        <v>230000</v>
      </c>
      <c r="H205" s="262">
        <f>SUM(H206:H206)</f>
        <v>230000</v>
      </c>
      <c r="I205" s="296"/>
      <c r="J205" s="296"/>
    </row>
    <row r="206" spans="1:15" x14ac:dyDescent="0.2">
      <c r="A206" s="992"/>
      <c r="B206" s="826"/>
      <c r="C206" s="827" t="s">
        <v>161</v>
      </c>
      <c r="D206" s="265">
        <v>0</v>
      </c>
      <c r="E206" s="265">
        <v>10000</v>
      </c>
      <c r="F206" s="273">
        <v>23</v>
      </c>
      <c r="G206" s="263">
        <f>E206*F206</f>
        <v>230000</v>
      </c>
      <c r="H206" s="287">
        <f>D206+G206</f>
        <v>230000</v>
      </c>
      <c r="I206" s="306" t="s">
        <v>162</v>
      </c>
      <c r="J206" s="307">
        <f>+H204+H203+H202+H201+H200+H199+H198+H196+H195+H194+H193+H192+H191+H190+H189+H187+H184+H183+H182+H181+H180+H178+H176+H175+H169+H168+H167+H165+H164+H163+H162+H161+H160+H159+H158+H157+H156+H155</f>
        <v>7033625</v>
      </c>
    </row>
    <row r="207" spans="1:15" x14ac:dyDescent="0.2">
      <c r="A207" s="992"/>
      <c r="B207" s="290"/>
      <c r="C207" s="308" t="s">
        <v>163</v>
      </c>
      <c r="D207" s="288">
        <f>SUM(D144,D171)</f>
        <v>13085278.728</v>
      </c>
      <c r="E207" s="288"/>
      <c r="F207" s="288"/>
      <c r="G207" s="288">
        <f>SUM(G144,G171)</f>
        <v>4895234</v>
      </c>
      <c r="H207" s="289">
        <f>SUM(H144,H171)</f>
        <v>17980512.728</v>
      </c>
      <c r="I207" s="309" t="s">
        <v>164</v>
      </c>
      <c r="J207" s="310">
        <f>+H207-J206</f>
        <v>10946887.728</v>
      </c>
    </row>
    <row r="208" spans="1:15" ht="12.75" customHeight="1" x14ac:dyDescent="0.2">
      <c r="A208" s="994" t="s">
        <v>165</v>
      </c>
      <c r="B208" s="995" t="s">
        <v>90</v>
      </c>
      <c r="C208" s="996" t="s">
        <v>91</v>
      </c>
      <c r="D208" s="1011" t="s">
        <v>92</v>
      </c>
      <c r="E208" s="1012" t="s">
        <v>93</v>
      </c>
      <c r="F208" s="1012"/>
      <c r="G208" s="1012"/>
      <c r="H208" s="1013" t="s">
        <v>94</v>
      </c>
      <c r="K208" s="1003" t="s">
        <v>169</v>
      </c>
      <c r="L208" s="1009" t="s">
        <v>170</v>
      </c>
      <c r="M208" s="1009" t="s">
        <v>171</v>
      </c>
      <c r="N208" s="1009" t="s">
        <v>172</v>
      </c>
      <c r="O208" s="1009" t="s">
        <v>173</v>
      </c>
    </row>
    <row r="209" spans="1:15" ht="25.5" x14ac:dyDescent="0.2">
      <c r="A209" s="994"/>
      <c r="B209" s="995"/>
      <c r="C209" s="996"/>
      <c r="D209" s="1011"/>
      <c r="E209" s="311" t="s">
        <v>95</v>
      </c>
      <c r="F209" s="312" t="s">
        <v>96</v>
      </c>
      <c r="G209" s="793" t="s">
        <v>97</v>
      </c>
      <c r="H209" s="1013"/>
      <c r="K209" s="1003"/>
      <c r="L209" s="1009"/>
      <c r="M209" s="1009"/>
      <c r="N209" s="1009"/>
      <c r="O209" s="1009"/>
    </row>
    <row r="210" spans="1:15" ht="15.75" customHeight="1" x14ac:dyDescent="0.2">
      <c r="A210" s="992" t="str">
        <f>+'B) Reajuste Tarifas y Ocupación'!A17</f>
        <v>Jardín Infantil Caracolito de Mar</v>
      </c>
      <c r="B210" s="252"/>
      <c r="C210" s="253" t="s">
        <v>98</v>
      </c>
      <c r="D210" s="313">
        <f>+D211+D216</f>
        <v>0</v>
      </c>
      <c r="E210" s="314"/>
      <c r="F210" s="314"/>
      <c r="G210" s="315">
        <f>SUM(G211,G216)</f>
        <v>0</v>
      </c>
      <c r="H210" s="316">
        <f>SUM(H211,H216)</f>
        <v>0</v>
      </c>
      <c r="K210" s="317" t="s">
        <v>98</v>
      </c>
      <c r="L210" s="1007"/>
      <c r="M210" s="1007"/>
      <c r="N210" s="1007"/>
      <c r="O210" s="1007"/>
    </row>
    <row r="211" spans="1:15" x14ac:dyDescent="0.2">
      <c r="A211" s="992"/>
      <c r="B211" s="258"/>
      <c r="C211" s="259" t="s">
        <v>99</v>
      </c>
      <c r="D211" s="318">
        <f>SUM(D212:D215)</f>
        <v>0</v>
      </c>
      <c r="E211" s="319"/>
      <c r="F211" s="319"/>
      <c r="G211" s="320">
        <f>SUM(G212:G215)</f>
        <v>0</v>
      </c>
      <c r="H211" s="321">
        <f>SUM(H212:H215)</f>
        <v>0</v>
      </c>
      <c r="K211" s="322" t="s">
        <v>104</v>
      </c>
      <c r="L211" s="1008"/>
      <c r="M211" s="1008"/>
      <c r="N211" s="1008"/>
      <c r="O211" s="1008"/>
    </row>
    <row r="212" spans="1:15" x14ac:dyDescent="0.2">
      <c r="A212" s="992"/>
      <c r="B212" s="817">
        <v>53103040100000</v>
      </c>
      <c r="C212" s="818" t="s">
        <v>100</v>
      </c>
      <c r="D212" s="323">
        <f>+'F) Remuneraciones'!L61</f>
        <v>0</v>
      </c>
      <c r="E212" s="324">
        <v>0</v>
      </c>
      <c r="F212" s="325">
        <v>0</v>
      </c>
      <c r="G212" s="324">
        <f>E212*F212</f>
        <v>0</v>
      </c>
      <c r="H212" s="326">
        <f>D212+G212</f>
        <v>0</v>
      </c>
      <c r="K212" s="327" t="s">
        <v>108</v>
      </c>
      <c r="L212" s="328">
        <v>0</v>
      </c>
      <c r="M212" s="329">
        <f t="shared" ref="M212:M228" si="24">+L212*0.5</f>
        <v>0</v>
      </c>
      <c r="N212" s="329">
        <f t="shared" ref="N212:N228" si="25">+L212*0.1</f>
        <v>0</v>
      </c>
      <c r="O212" s="330">
        <f t="shared" ref="O212:O228" si="26">+L212*0.4</f>
        <v>0</v>
      </c>
    </row>
    <row r="213" spans="1:15" x14ac:dyDescent="0.2">
      <c r="A213" s="992"/>
      <c r="B213" s="817">
        <v>53103050000000</v>
      </c>
      <c r="C213" s="818" t="s">
        <v>166</v>
      </c>
      <c r="D213" s="331">
        <v>0</v>
      </c>
      <c r="E213" s="332">
        <v>0</v>
      </c>
      <c r="F213" s="333">
        <v>0</v>
      </c>
      <c r="G213" s="324">
        <f>E213*F213</f>
        <v>0</v>
      </c>
      <c r="H213" s="326">
        <f>D213+G213</f>
        <v>0</v>
      </c>
      <c r="K213" s="334" t="s">
        <v>109</v>
      </c>
      <c r="L213" s="335">
        <v>0</v>
      </c>
      <c r="M213" s="329">
        <f t="shared" si="24"/>
        <v>0</v>
      </c>
      <c r="N213" s="329">
        <f t="shared" si="25"/>
        <v>0</v>
      </c>
      <c r="O213" s="330">
        <f t="shared" si="26"/>
        <v>0</v>
      </c>
    </row>
    <row r="214" spans="1:15" x14ac:dyDescent="0.2">
      <c r="A214" s="992"/>
      <c r="B214" s="822">
        <v>53103040400000</v>
      </c>
      <c r="C214" s="823" t="s">
        <v>102</v>
      </c>
      <c r="D214" s="331">
        <v>0</v>
      </c>
      <c r="E214" s="332">
        <v>0</v>
      </c>
      <c r="F214" s="333">
        <v>0</v>
      </c>
      <c r="G214" s="324">
        <f>E214*F214</f>
        <v>0</v>
      </c>
      <c r="H214" s="326">
        <f>D214+G214</f>
        <v>0</v>
      </c>
      <c r="K214" s="334" t="s">
        <v>110</v>
      </c>
      <c r="L214" s="335">
        <v>0</v>
      </c>
      <c r="M214" s="329">
        <f t="shared" si="24"/>
        <v>0</v>
      </c>
      <c r="N214" s="329">
        <f t="shared" si="25"/>
        <v>0</v>
      </c>
      <c r="O214" s="330">
        <f t="shared" si="26"/>
        <v>0</v>
      </c>
    </row>
    <row r="215" spans="1:15" x14ac:dyDescent="0.2">
      <c r="A215" s="992"/>
      <c r="B215" s="817">
        <v>53103080010000</v>
      </c>
      <c r="C215" s="818" t="s">
        <v>103</v>
      </c>
      <c r="D215" s="331">
        <v>0</v>
      </c>
      <c r="E215" s="332">
        <v>0</v>
      </c>
      <c r="F215" s="333">
        <v>0</v>
      </c>
      <c r="G215" s="324">
        <f>E215*F215</f>
        <v>0</v>
      </c>
      <c r="H215" s="326">
        <f>D215+G215</f>
        <v>0</v>
      </c>
      <c r="K215" s="334" t="s">
        <v>111</v>
      </c>
      <c r="L215" s="335">
        <v>0</v>
      </c>
      <c r="M215" s="329">
        <f t="shared" si="24"/>
        <v>0</v>
      </c>
      <c r="N215" s="329">
        <f t="shared" si="25"/>
        <v>0</v>
      </c>
      <c r="O215" s="330">
        <f t="shared" si="26"/>
        <v>0</v>
      </c>
    </row>
    <row r="216" spans="1:15" x14ac:dyDescent="0.2">
      <c r="A216" s="992"/>
      <c r="B216" s="258"/>
      <c r="C216" s="259" t="s">
        <v>104</v>
      </c>
      <c r="D216" s="318">
        <f>SUM(D217:D236)</f>
        <v>0</v>
      </c>
      <c r="E216" s="319"/>
      <c r="F216" s="319"/>
      <c r="G216" s="318">
        <f>SUM(G217:G236)</f>
        <v>0</v>
      </c>
      <c r="H216" s="321">
        <f>SUM(H217:H236)</f>
        <v>0</v>
      </c>
      <c r="K216" s="334" t="s">
        <v>112</v>
      </c>
      <c r="L216" s="335">
        <v>0</v>
      </c>
      <c r="M216" s="329">
        <f t="shared" si="24"/>
        <v>0</v>
      </c>
      <c r="N216" s="329">
        <f t="shared" si="25"/>
        <v>0</v>
      </c>
      <c r="O216" s="330">
        <f t="shared" si="26"/>
        <v>0</v>
      </c>
    </row>
    <row r="217" spans="1:15" x14ac:dyDescent="0.2">
      <c r="A217" s="992"/>
      <c r="B217" s="817">
        <v>53201010100000</v>
      </c>
      <c r="C217" s="818" t="s">
        <v>105</v>
      </c>
      <c r="D217" s="331">
        <v>0</v>
      </c>
      <c r="E217" s="332">
        <v>0</v>
      </c>
      <c r="F217" s="333">
        <v>0</v>
      </c>
      <c r="G217" s="324">
        <f t="shared" ref="G217:G236" si="27">E217*F217</f>
        <v>0</v>
      </c>
      <c r="H217" s="326">
        <f t="shared" ref="H217:H236" si="28">D217+G217</f>
        <v>0</v>
      </c>
      <c r="K217" s="334" t="s">
        <v>113</v>
      </c>
      <c r="L217" s="335">
        <v>0</v>
      </c>
      <c r="M217" s="329">
        <f t="shared" si="24"/>
        <v>0</v>
      </c>
      <c r="N217" s="329">
        <f t="shared" si="25"/>
        <v>0</v>
      </c>
      <c r="O217" s="330">
        <f t="shared" si="26"/>
        <v>0</v>
      </c>
    </row>
    <row r="218" spans="1:15" x14ac:dyDescent="0.2">
      <c r="A218" s="992"/>
      <c r="B218" s="817">
        <v>53201010100000</v>
      </c>
      <c r="C218" s="818" t="s">
        <v>106</v>
      </c>
      <c r="D218" s="331">
        <v>0</v>
      </c>
      <c r="E218" s="332">
        <v>0</v>
      </c>
      <c r="F218" s="333">
        <v>0</v>
      </c>
      <c r="G218" s="324">
        <f t="shared" si="27"/>
        <v>0</v>
      </c>
      <c r="H218" s="326">
        <f t="shared" si="28"/>
        <v>0</v>
      </c>
      <c r="K218" s="334" t="s">
        <v>114</v>
      </c>
      <c r="L218" s="335">
        <v>0</v>
      </c>
      <c r="M218" s="329">
        <f t="shared" si="24"/>
        <v>0</v>
      </c>
      <c r="N218" s="329">
        <f t="shared" si="25"/>
        <v>0</v>
      </c>
      <c r="O218" s="330">
        <f t="shared" si="26"/>
        <v>0</v>
      </c>
    </row>
    <row r="219" spans="1:15" x14ac:dyDescent="0.2">
      <c r="A219" s="992"/>
      <c r="B219" s="817">
        <v>53201010100000</v>
      </c>
      <c r="C219" s="818" t="s">
        <v>107</v>
      </c>
      <c r="D219" s="331">
        <v>0</v>
      </c>
      <c r="E219" s="332">
        <v>0</v>
      </c>
      <c r="F219" s="333">
        <v>0</v>
      </c>
      <c r="G219" s="324">
        <f t="shared" si="27"/>
        <v>0</v>
      </c>
      <c r="H219" s="326">
        <f t="shared" si="28"/>
        <v>0</v>
      </c>
      <c r="K219" s="334" t="s">
        <v>115</v>
      </c>
      <c r="L219" s="335">
        <v>0</v>
      </c>
      <c r="M219" s="329">
        <f t="shared" si="24"/>
        <v>0</v>
      </c>
      <c r="N219" s="329">
        <f t="shared" si="25"/>
        <v>0</v>
      </c>
      <c r="O219" s="330">
        <f t="shared" si="26"/>
        <v>0</v>
      </c>
    </row>
    <row r="220" spans="1:15" x14ac:dyDescent="0.2">
      <c r="A220" s="992"/>
      <c r="B220" s="817">
        <v>53202010100000</v>
      </c>
      <c r="C220" s="818" t="s">
        <v>108</v>
      </c>
      <c r="D220" s="336">
        <f t="shared" ref="D220:D236" si="29">+O212</f>
        <v>0</v>
      </c>
      <c r="E220" s="336">
        <v>0</v>
      </c>
      <c r="F220" s="337">
        <v>0</v>
      </c>
      <c r="G220" s="324">
        <f t="shared" si="27"/>
        <v>0</v>
      </c>
      <c r="H220" s="326">
        <f t="shared" si="28"/>
        <v>0</v>
      </c>
      <c r="K220" s="334" t="s">
        <v>116</v>
      </c>
      <c r="L220" s="335">
        <v>0</v>
      </c>
      <c r="M220" s="329">
        <f t="shared" si="24"/>
        <v>0</v>
      </c>
      <c r="N220" s="329">
        <f t="shared" si="25"/>
        <v>0</v>
      </c>
      <c r="O220" s="330">
        <f t="shared" si="26"/>
        <v>0</v>
      </c>
    </row>
    <row r="221" spans="1:15" x14ac:dyDescent="0.2">
      <c r="A221" s="992"/>
      <c r="B221" s="817">
        <v>53203010100000</v>
      </c>
      <c r="C221" s="818" t="s">
        <v>109</v>
      </c>
      <c r="D221" s="336">
        <f t="shared" si="29"/>
        <v>0</v>
      </c>
      <c r="E221" s="324">
        <v>0</v>
      </c>
      <c r="F221" s="337">
        <v>0</v>
      </c>
      <c r="G221" s="324">
        <f t="shared" si="27"/>
        <v>0</v>
      </c>
      <c r="H221" s="326">
        <f t="shared" si="28"/>
        <v>0</v>
      </c>
      <c r="K221" s="334" t="s">
        <v>117</v>
      </c>
      <c r="L221" s="335">
        <v>0</v>
      </c>
      <c r="M221" s="329">
        <f t="shared" si="24"/>
        <v>0</v>
      </c>
      <c r="N221" s="329">
        <f t="shared" si="25"/>
        <v>0</v>
      </c>
      <c r="O221" s="330">
        <f t="shared" si="26"/>
        <v>0</v>
      </c>
    </row>
    <row r="222" spans="1:15" x14ac:dyDescent="0.2">
      <c r="A222" s="992"/>
      <c r="B222" s="817">
        <v>53203030000000</v>
      </c>
      <c r="C222" s="818" t="s">
        <v>110</v>
      </c>
      <c r="D222" s="336">
        <f t="shared" si="29"/>
        <v>0</v>
      </c>
      <c r="E222" s="324">
        <v>0</v>
      </c>
      <c r="F222" s="337">
        <v>0</v>
      </c>
      <c r="G222" s="324">
        <f t="shared" si="27"/>
        <v>0</v>
      </c>
      <c r="H222" s="326">
        <f t="shared" si="28"/>
        <v>0</v>
      </c>
      <c r="K222" s="334" t="s">
        <v>118</v>
      </c>
      <c r="L222" s="335">
        <v>0</v>
      </c>
      <c r="M222" s="329">
        <f t="shared" si="24"/>
        <v>0</v>
      </c>
      <c r="N222" s="329">
        <f t="shared" si="25"/>
        <v>0</v>
      </c>
      <c r="O222" s="330">
        <f t="shared" si="26"/>
        <v>0</v>
      </c>
    </row>
    <row r="223" spans="1:15" x14ac:dyDescent="0.2">
      <c r="A223" s="992"/>
      <c r="B223" s="817">
        <v>53204030000000</v>
      </c>
      <c r="C223" s="818" t="s">
        <v>111</v>
      </c>
      <c r="D223" s="336">
        <f t="shared" si="29"/>
        <v>0</v>
      </c>
      <c r="E223" s="324">
        <v>0</v>
      </c>
      <c r="F223" s="337">
        <v>0</v>
      </c>
      <c r="G223" s="324">
        <f t="shared" si="27"/>
        <v>0</v>
      </c>
      <c r="H223" s="326">
        <f t="shared" si="28"/>
        <v>0</v>
      </c>
      <c r="K223" s="334" t="s">
        <v>119</v>
      </c>
      <c r="L223" s="335">
        <v>0</v>
      </c>
      <c r="M223" s="329">
        <f t="shared" si="24"/>
        <v>0</v>
      </c>
      <c r="N223" s="329">
        <f t="shared" si="25"/>
        <v>0</v>
      </c>
      <c r="O223" s="330">
        <f t="shared" si="26"/>
        <v>0</v>
      </c>
    </row>
    <row r="224" spans="1:15" x14ac:dyDescent="0.2">
      <c r="A224" s="992"/>
      <c r="B224" s="817">
        <v>53204100100001</v>
      </c>
      <c r="C224" s="818" t="s">
        <v>112</v>
      </c>
      <c r="D224" s="336">
        <f t="shared" si="29"/>
        <v>0</v>
      </c>
      <c r="E224" s="324">
        <v>0</v>
      </c>
      <c r="F224" s="337">
        <v>0</v>
      </c>
      <c r="G224" s="324">
        <f t="shared" si="27"/>
        <v>0</v>
      </c>
      <c r="H224" s="326">
        <f t="shared" si="28"/>
        <v>0</v>
      </c>
      <c r="K224" s="334" t="s">
        <v>120</v>
      </c>
      <c r="L224" s="328">
        <v>0</v>
      </c>
      <c r="M224" s="329">
        <f t="shared" si="24"/>
        <v>0</v>
      </c>
      <c r="N224" s="329">
        <f t="shared" si="25"/>
        <v>0</v>
      </c>
      <c r="O224" s="330">
        <f t="shared" si="26"/>
        <v>0</v>
      </c>
    </row>
    <row r="225" spans="1:15" x14ac:dyDescent="0.2">
      <c r="A225" s="992"/>
      <c r="B225" s="817">
        <v>53204130100000</v>
      </c>
      <c r="C225" s="818" t="s">
        <v>113</v>
      </c>
      <c r="D225" s="336">
        <f t="shared" si="29"/>
        <v>0</v>
      </c>
      <c r="E225" s="324">
        <v>0</v>
      </c>
      <c r="F225" s="337">
        <v>0</v>
      </c>
      <c r="G225" s="324">
        <f t="shared" si="27"/>
        <v>0</v>
      </c>
      <c r="H225" s="326">
        <f t="shared" si="28"/>
        <v>0</v>
      </c>
      <c r="K225" s="334" t="s">
        <v>121</v>
      </c>
      <c r="L225" s="335">
        <v>0</v>
      </c>
      <c r="M225" s="329">
        <f t="shared" si="24"/>
        <v>0</v>
      </c>
      <c r="N225" s="329">
        <f t="shared" si="25"/>
        <v>0</v>
      </c>
      <c r="O225" s="330">
        <f t="shared" si="26"/>
        <v>0</v>
      </c>
    </row>
    <row r="226" spans="1:15" x14ac:dyDescent="0.2">
      <c r="A226" s="992"/>
      <c r="B226" s="817">
        <v>53205010100000</v>
      </c>
      <c r="C226" s="818" t="s">
        <v>114</v>
      </c>
      <c r="D226" s="336">
        <f t="shared" si="29"/>
        <v>0</v>
      </c>
      <c r="E226" s="324">
        <v>0</v>
      </c>
      <c r="F226" s="337">
        <v>0</v>
      </c>
      <c r="G226" s="324">
        <f t="shared" si="27"/>
        <v>0</v>
      </c>
      <c r="H226" s="326">
        <f t="shared" si="28"/>
        <v>0</v>
      </c>
      <c r="K226" s="334" t="s">
        <v>122</v>
      </c>
      <c r="L226" s="335">
        <v>0</v>
      </c>
      <c r="M226" s="329">
        <f t="shared" si="24"/>
        <v>0</v>
      </c>
      <c r="N226" s="329">
        <f t="shared" si="25"/>
        <v>0</v>
      </c>
      <c r="O226" s="330">
        <f t="shared" si="26"/>
        <v>0</v>
      </c>
    </row>
    <row r="227" spans="1:15" x14ac:dyDescent="0.2">
      <c r="A227" s="992"/>
      <c r="B227" s="817">
        <v>53205020100000</v>
      </c>
      <c r="C227" s="818" t="s">
        <v>115</v>
      </c>
      <c r="D227" s="336">
        <f t="shared" si="29"/>
        <v>0</v>
      </c>
      <c r="E227" s="324">
        <v>0</v>
      </c>
      <c r="F227" s="337">
        <v>0</v>
      </c>
      <c r="G227" s="324">
        <f t="shared" si="27"/>
        <v>0</v>
      </c>
      <c r="H227" s="326">
        <f t="shared" si="28"/>
        <v>0</v>
      </c>
      <c r="K227" s="327" t="s">
        <v>123</v>
      </c>
      <c r="L227" s="335">
        <v>0</v>
      </c>
      <c r="M227" s="329">
        <f t="shared" si="24"/>
        <v>0</v>
      </c>
      <c r="N227" s="329">
        <f t="shared" si="25"/>
        <v>0</v>
      </c>
      <c r="O227" s="330">
        <f t="shared" si="26"/>
        <v>0</v>
      </c>
    </row>
    <row r="228" spans="1:15" x14ac:dyDescent="0.2">
      <c r="A228" s="992"/>
      <c r="B228" s="817">
        <v>53205030100000</v>
      </c>
      <c r="C228" s="818" t="s">
        <v>116</v>
      </c>
      <c r="D228" s="336">
        <f t="shared" si="29"/>
        <v>0</v>
      </c>
      <c r="E228" s="324">
        <v>0</v>
      </c>
      <c r="F228" s="337">
        <v>0</v>
      </c>
      <c r="G228" s="324">
        <f t="shared" si="27"/>
        <v>0</v>
      </c>
      <c r="H228" s="326">
        <f t="shared" si="28"/>
        <v>0</v>
      </c>
      <c r="K228" s="334" t="s">
        <v>124</v>
      </c>
      <c r="L228" s="328">
        <v>0</v>
      </c>
      <c r="M228" s="329">
        <f t="shared" si="24"/>
        <v>0</v>
      </c>
      <c r="N228" s="329">
        <f t="shared" si="25"/>
        <v>0</v>
      </c>
      <c r="O228" s="330">
        <f t="shared" si="26"/>
        <v>0</v>
      </c>
    </row>
    <row r="229" spans="1:15" x14ac:dyDescent="0.2">
      <c r="A229" s="992"/>
      <c r="B229" s="817">
        <v>53205050100000</v>
      </c>
      <c r="C229" s="818" t="s">
        <v>117</v>
      </c>
      <c r="D229" s="336">
        <f t="shared" si="29"/>
        <v>0</v>
      </c>
      <c r="E229" s="324">
        <v>0</v>
      </c>
      <c r="F229" s="337">
        <v>0</v>
      </c>
      <c r="G229" s="324">
        <f t="shared" si="27"/>
        <v>0</v>
      </c>
      <c r="H229" s="326">
        <f t="shared" si="28"/>
        <v>0</v>
      </c>
      <c r="K229" s="317" t="s">
        <v>125</v>
      </c>
      <c r="L229" s="1007"/>
      <c r="M229" s="1007"/>
      <c r="N229" s="1007"/>
      <c r="O229" s="1007"/>
    </row>
    <row r="230" spans="1:15" x14ac:dyDescent="0.2">
      <c r="A230" s="992"/>
      <c r="B230" s="817">
        <v>53205070100000</v>
      </c>
      <c r="C230" s="818" t="s">
        <v>118</v>
      </c>
      <c r="D230" s="336">
        <f t="shared" si="29"/>
        <v>0</v>
      </c>
      <c r="E230" s="324">
        <v>0</v>
      </c>
      <c r="F230" s="337">
        <v>0</v>
      </c>
      <c r="G230" s="324">
        <f t="shared" si="27"/>
        <v>0</v>
      </c>
      <c r="H230" s="326">
        <f t="shared" si="28"/>
        <v>0</v>
      </c>
      <c r="K230" s="322" t="s">
        <v>126</v>
      </c>
      <c r="L230" s="1008"/>
      <c r="M230" s="1008"/>
      <c r="N230" s="1008"/>
      <c r="O230" s="1008"/>
    </row>
    <row r="231" spans="1:15" x14ac:dyDescent="0.2">
      <c r="A231" s="992"/>
      <c r="B231" s="817">
        <v>53208010100000</v>
      </c>
      <c r="C231" s="818" t="s">
        <v>119</v>
      </c>
      <c r="D231" s="336">
        <f t="shared" si="29"/>
        <v>0</v>
      </c>
      <c r="E231" s="324">
        <v>0</v>
      </c>
      <c r="F231" s="337">
        <v>0</v>
      </c>
      <c r="G231" s="324">
        <f t="shared" si="27"/>
        <v>0</v>
      </c>
      <c r="H231" s="326">
        <f t="shared" si="28"/>
        <v>0</v>
      </c>
      <c r="K231" s="334" t="s">
        <v>129</v>
      </c>
      <c r="L231" s="335">
        <v>0</v>
      </c>
      <c r="M231" s="329">
        <f>+L231*0.5</f>
        <v>0</v>
      </c>
      <c r="N231" s="329">
        <f>+L231*0.1</f>
        <v>0</v>
      </c>
      <c r="O231" s="330">
        <f>+L231*0.4</f>
        <v>0</v>
      </c>
    </row>
    <row r="232" spans="1:15" x14ac:dyDescent="0.2">
      <c r="A232" s="992"/>
      <c r="B232" s="817">
        <v>53208070100001</v>
      </c>
      <c r="C232" s="818" t="s">
        <v>120</v>
      </c>
      <c r="D232" s="336">
        <f t="shared" si="29"/>
        <v>0</v>
      </c>
      <c r="E232" s="324">
        <v>0</v>
      </c>
      <c r="F232" s="337">
        <v>0</v>
      </c>
      <c r="G232" s="324">
        <f t="shared" si="27"/>
        <v>0</v>
      </c>
      <c r="H232" s="326">
        <f t="shared" si="28"/>
        <v>0</v>
      </c>
      <c r="K232" s="327" t="s">
        <v>130</v>
      </c>
      <c r="L232" s="335">
        <v>0</v>
      </c>
      <c r="M232" s="329">
        <f>+L232*0.5</f>
        <v>0</v>
      </c>
      <c r="N232" s="329">
        <f>+L232*0.1</f>
        <v>0</v>
      </c>
      <c r="O232" s="330">
        <f>+L232*0.4</f>
        <v>0</v>
      </c>
    </row>
    <row r="233" spans="1:15" x14ac:dyDescent="0.2">
      <c r="A233" s="992"/>
      <c r="B233" s="817">
        <v>53208100100001</v>
      </c>
      <c r="C233" s="818" t="s">
        <v>121</v>
      </c>
      <c r="D233" s="336">
        <f t="shared" si="29"/>
        <v>0</v>
      </c>
      <c r="E233" s="324">
        <v>0</v>
      </c>
      <c r="F233" s="337">
        <v>0</v>
      </c>
      <c r="G233" s="324">
        <f t="shared" si="27"/>
        <v>0</v>
      </c>
      <c r="H233" s="326">
        <f t="shared" si="28"/>
        <v>0</v>
      </c>
      <c r="K233" s="322" t="s">
        <v>131</v>
      </c>
      <c r="L233" s="1008"/>
      <c r="M233" s="1008"/>
      <c r="N233" s="1008"/>
      <c r="O233" s="1008"/>
    </row>
    <row r="234" spans="1:15" x14ac:dyDescent="0.2">
      <c r="A234" s="992"/>
      <c r="B234" s="817">
        <v>53211030000000</v>
      </c>
      <c r="C234" s="818" t="s">
        <v>122</v>
      </c>
      <c r="D234" s="336">
        <f t="shared" si="29"/>
        <v>0</v>
      </c>
      <c r="E234" s="324">
        <v>0</v>
      </c>
      <c r="F234" s="337">
        <v>0</v>
      </c>
      <c r="G234" s="324">
        <f t="shared" si="27"/>
        <v>0</v>
      </c>
      <c r="H234" s="326">
        <f t="shared" si="28"/>
        <v>0</v>
      </c>
      <c r="K234" s="334" t="s">
        <v>132</v>
      </c>
      <c r="L234" s="335">
        <v>0</v>
      </c>
      <c r="M234" s="329">
        <f>+L234*0.5</f>
        <v>0</v>
      </c>
      <c r="N234" s="329">
        <f>+L234*0.1</f>
        <v>0</v>
      </c>
      <c r="O234" s="330">
        <f>+L234*0.4</f>
        <v>0</v>
      </c>
    </row>
    <row r="235" spans="1:15" x14ac:dyDescent="0.2">
      <c r="A235" s="992"/>
      <c r="B235" s="817">
        <v>53212020100000</v>
      </c>
      <c r="C235" s="818" t="s">
        <v>123</v>
      </c>
      <c r="D235" s="336">
        <f t="shared" si="29"/>
        <v>0</v>
      </c>
      <c r="E235" s="324">
        <v>0</v>
      </c>
      <c r="F235" s="337">
        <v>0</v>
      </c>
      <c r="G235" s="324">
        <f t="shared" si="27"/>
        <v>0</v>
      </c>
      <c r="H235" s="326">
        <f t="shared" si="28"/>
        <v>0</v>
      </c>
      <c r="K235" s="322" t="s">
        <v>133</v>
      </c>
      <c r="L235" s="1008"/>
      <c r="M235" s="1008"/>
      <c r="N235" s="1008"/>
      <c r="O235" s="1008"/>
    </row>
    <row r="236" spans="1:15" ht="15.75" customHeight="1" x14ac:dyDescent="0.2">
      <c r="A236" s="992"/>
      <c r="B236" s="817">
        <v>53214020000000</v>
      </c>
      <c r="C236" s="818" t="s">
        <v>124</v>
      </c>
      <c r="D236" s="336">
        <f t="shared" si="29"/>
        <v>0</v>
      </c>
      <c r="E236" s="324">
        <v>0</v>
      </c>
      <c r="F236" s="337">
        <v>0</v>
      </c>
      <c r="G236" s="324">
        <f t="shared" si="27"/>
        <v>0</v>
      </c>
      <c r="H236" s="326">
        <f t="shared" si="28"/>
        <v>0</v>
      </c>
      <c r="K236" s="334" t="s">
        <v>134</v>
      </c>
      <c r="L236" s="335">
        <v>0</v>
      </c>
      <c r="M236" s="329">
        <f t="shared" ref="M236:M243" si="30">+L236*0.5</f>
        <v>0</v>
      </c>
      <c r="N236" s="329">
        <f t="shared" ref="N236:N243" si="31">+L236*0.1</f>
        <v>0</v>
      </c>
      <c r="O236" s="330">
        <f t="shared" ref="O236:O243" si="32">+L236*0.4</f>
        <v>0</v>
      </c>
    </row>
    <row r="237" spans="1:15" x14ac:dyDescent="0.2">
      <c r="A237" s="992"/>
      <c r="B237" s="252"/>
      <c r="C237" s="253" t="s">
        <v>125</v>
      </c>
      <c r="D237" s="338">
        <v>0</v>
      </c>
      <c r="E237" s="314"/>
      <c r="F237" s="314"/>
      <c r="G237" s="313">
        <f>SUM(G238,G243,G245,G254,G263,G271)</f>
        <v>0</v>
      </c>
      <c r="H237" s="338">
        <f>SUM(H238,H243,H245,H254,H263,H271)</f>
        <v>0</v>
      </c>
      <c r="K237" s="334" t="s">
        <v>135</v>
      </c>
      <c r="L237" s="335">
        <v>0</v>
      </c>
      <c r="M237" s="329">
        <f t="shared" si="30"/>
        <v>0</v>
      </c>
      <c r="N237" s="329">
        <f t="shared" si="31"/>
        <v>0</v>
      </c>
      <c r="O237" s="330">
        <f t="shared" si="32"/>
        <v>0</v>
      </c>
    </row>
    <row r="238" spans="1:15" x14ac:dyDescent="0.2">
      <c r="A238" s="992"/>
      <c r="B238" s="258"/>
      <c r="C238" s="259" t="s">
        <v>126</v>
      </c>
      <c r="D238" s="318">
        <f>SUM(D239:D242)</f>
        <v>0</v>
      </c>
      <c r="E238" s="319"/>
      <c r="F238" s="319"/>
      <c r="G238" s="318">
        <f>SUM(G239:G242)</f>
        <v>0</v>
      </c>
      <c r="H238" s="318">
        <f>SUM(H239:H242)</f>
        <v>0</v>
      </c>
      <c r="K238" s="334" t="s">
        <v>136</v>
      </c>
      <c r="L238" s="335">
        <v>0</v>
      </c>
      <c r="M238" s="329">
        <f t="shared" si="30"/>
        <v>0</v>
      </c>
      <c r="N238" s="329">
        <f t="shared" si="31"/>
        <v>0</v>
      </c>
      <c r="O238" s="330">
        <f t="shared" si="32"/>
        <v>0</v>
      </c>
    </row>
    <row r="239" spans="1:15" x14ac:dyDescent="0.2">
      <c r="A239" s="992"/>
      <c r="B239" s="817">
        <v>53202020100000</v>
      </c>
      <c r="C239" s="818" t="s">
        <v>127</v>
      </c>
      <c r="D239" s="331">
        <v>0</v>
      </c>
      <c r="E239" s="332">
        <v>0</v>
      </c>
      <c r="F239" s="339">
        <v>0</v>
      </c>
      <c r="G239" s="324">
        <f>E239*F239</f>
        <v>0</v>
      </c>
      <c r="H239" s="326">
        <f>D239+G239</f>
        <v>0</v>
      </c>
      <c r="K239" s="334" t="s">
        <v>137</v>
      </c>
      <c r="L239" s="335">
        <v>0</v>
      </c>
      <c r="M239" s="329">
        <f t="shared" si="30"/>
        <v>0</v>
      </c>
      <c r="N239" s="329">
        <f t="shared" si="31"/>
        <v>0</v>
      </c>
      <c r="O239" s="330">
        <f t="shared" si="32"/>
        <v>0</v>
      </c>
    </row>
    <row r="240" spans="1:15" x14ac:dyDescent="0.2">
      <c r="A240" s="992"/>
      <c r="B240" s="817">
        <v>53202030000000</v>
      </c>
      <c r="C240" s="818" t="s">
        <v>128</v>
      </c>
      <c r="D240" s="331">
        <v>0</v>
      </c>
      <c r="E240" s="332">
        <v>0</v>
      </c>
      <c r="F240" s="339">
        <v>0</v>
      </c>
      <c r="G240" s="324">
        <f>E240*F240</f>
        <v>0</v>
      </c>
      <c r="H240" s="326">
        <f>D240+G240</f>
        <v>0</v>
      </c>
      <c r="K240" s="334" t="s">
        <v>139</v>
      </c>
      <c r="L240" s="335">
        <v>0</v>
      </c>
      <c r="M240" s="329">
        <f t="shared" si="30"/>
        <v>0</v>
      </c>
      <c r="N240" s="329">
        <f t="shared" si="31"/>
        <v>0</v>
      </c>
      <c r="O240" s="330">
        <f t="shared" si="32"/>
        <v>0</v>
      </c>
    </row>
    <row r="241" spans="1:15" x14ac:dyDescent="0.2">
      <c r="A241" s="992"/>
      <c r="B241" s="817">
        <v>53211020000000</v>
      </c>
      <c r="C241" s="818" t="s">
        <v>129</v>
      </c>
      <c r="D241" s="324">
        <f>+O231</f>
        <v>0</v>
      </c>
      <c r="E241" s="324">
        <v>0</v>
      </c>
      <c r="F241" s="337">
        <v>0</v>
      </c>
      <c r="G241" s="324">
        <f>E241*F241</f>
        <v>0</v>
      </c>
      <c r="H241" s="326">
        <f>D241+G241</f>
        <v>0</v>
      </c>
      <c r="K241" s="334" t="s">
        <v>140</v>
      </c>
      <c r="L241" s="328">
        <v>0</v>
      </c>
      <c r="M241" s="329">
        <f t="shared" si="30"/>
        <v>0</v>
      </c>
      <c r="N241" s="329">
        <f t="shared" si="31"/>
        <v>0</v>
      </c>
      <c r="O241" s="330">
        <f t="shared" si="32"/>
        <v>0</v>
      </c>
    </row>
    <row r="242" spans="1:15" x14ac:dyDescent="0.2">
      <c r="A242" s="992"/>
      <c r="B242" s="817">
        <v>53101040600000</v>
      </c>
      <c r="C242" s="818" t="s">
        <v>130</v>
      </c>
      <c r="D242" s="324">
        <f>+O232</f>
        <v>0</v>
      </c>
      <c r="E242" s="324">
        <v>0</v>
      </c>
      <c r="F242" s="337">
        <v>0</v>
      </c>
      <c r="G242" s="324">
        <f>E242*F242</f>
        <v>0</v>
      </c>
      <c r="H242" s="326">
        <f>D242+G242</f>
        <v>0</v>
      </c>
      <c r="K242" s="327" t="s">
        <v>141</v>
      </c>
      <c r="L242" s="328">
        <v>0</v>
      </c>
      <c r="M242" s="329">
        <f t="shared" si="30"/>
        <v>0</v>
      </c>
      <c r="N242" s="329">
        <f t="shared" si="31"/>
        <v>0</v>
      </c>
      <c r="O242" s="330">
        <f t="shared" si="32"/>
        <v>0</v>
      </c>
    </row>
    <row r="243" spans="1:15" x14ac:dyDescent="0.2">
      <c r="A243" s="992"/>
      <c r="B243" s="258"/>
      <c r="C243" s="259" t="s">
        <v>131</v>
      </c>
      <c r="D243" s="318">
        <f>SUM(D244)</f>
        <v>0</v>
      </c>
      <c r="E243" s="319"/>
      <c r="F243" s="319"/>
      <c r="G243" s="340">
        <f>SUM(G244:G244)</f>
        <v>0</v>
      </c>
      <c r="H243" s="318">
        <f>SUM(H244:H244)</f>
        <v>0</v>
      </c>
      <c r="K243" s="334" t="s">
        <v>142</v>
      </c>
      <c r="L243" s="335">
        <v>0</v>
      </c>
      <c r="M243" s="329">
        <f t="shared" si="30"/>
        <v>0</v>
      </c>
      <c r="N243" s="329">
        <f t="shared" si="31"/>
        <v>0</v>
      </c>
      <c r="O243" s="330">
        <f t="shared" si="32"/>
        <v>0</v>
      </c>
    </row>
    <row r="244" spans="1:15" x14ac:dyDescent="0.2">
      <c r="A244" s="992"/>
      <c r="B244" s="825">
        <v>53205990000000</v>
      </c>
      <c r="C244" s="818" t="s">
        <v>132</v>
      </c>
      <c r="D244" s="324">
        <f>+O234</f>
        <v>0</v>
      </c>
      <c r="E244" s="324">
        <v>0</v>
      </c>
      <c r="F244" s="337">
        <v>0</v>
      </c>
      <c r="G244" s="324">
        <f>E244*F244</f>
        <v>0</v>
      </c>
      <c r="H244" s="326">
        <f>D244+G244</f>
        <v>0</v>
      </c>
      <c r="K244" s="322" t="s">
        <v>143</v>
      </c>
      <c r="L244" s="1008"/>
      <c r="M244" s="1008"/>
      <c r="N244" s="1008"/>
      <c r="O244" s="1008"/>
    </row>
    <row r="245" spans="1:15" x14ac:dyDescent="0.2">
      <c r="A245" s="992"/>
      <c r="B245" s="258"/>
      <c r="C245" s="259" t="s">
        <v>133</v>
      </c>
      <c r="D245" s="318">
        <f>SUM(D246:D253)</f>
        <v>0</v>
      </c>
      <c r="E245" s="319"/>
      <c r="F245" s="319"/>
      <c r="G245" s="318">
        <f>SUM(G246:G253)</f>
        <v>0</v>
      </c>
      <c r="H245" s="318">
        <f>SUM(H246:H253)</f>
        <v>0</v>
      </c>
      <c r="K245" s="334" t="s">
        <v>144</v>
      </c>
      <c r="L245" s="335">
        <v>0</v>
      </c>
      <c r="M245" s="329">
        <f t="shared" ref="M245:M251" si="33">+L245*0.5</f>
        <v>0</v>
      </c>
      <c r="N245" s="329">
        <f t="shared" ref="N245:N251" si="34">+L245*0.1</f>
        <v>0</v>
      </c>
      <c r="O245" s="330">
        <f t="shared" ref="O245:O251" si="35">+L245*0.4</f>
        <v>0</v>
      </c>
    </row>
    <row r="246" spans="1:15" x14ac:dyDescent="0.2">
      <c r="A246" s="992"/>
      <c r="B246" s="817">
        <v>53204010000000</v>
      </c>
      <c r="C246" s="818" t="s">
        <v>134</v>
      </c>
      <c r="D246" s="324">
        <f t="shared" ref="D246:D253" si="36">+O236</f>
        <v>0</v>
      </c>
      <c r="E246" s="324">
        <v>0</v>
      </c>
      <c r="F246" s="337">
        <v>0</v>
      </c>
      <c r="G246" s="324">
        <f t="shared" ref="G246:G253" si="37">E246*F246</f>
        <v>0</v>
      </c>
      <c r="H246" s="326">
        <f t="shared" ref="H246:H253" si="38">D246+G246</f>
        <v>0</v>
      </c>
      <c r="K246" s="334" t="s">
        <v>145</v>
      </c>
      <c r="L246" s="335">
        <v>0</v>
      </c>
      <c r="M246" s="329">
        <f t="shared" si="33"/>
        <v>0</v>
      </c>
      <c r="N246" s="329">
        <f t="shared" si="34"/>
        <v>0</v>
      </c>
      <c r="O246" s="330">
        <f t="shared" si="35"/>
        <v>0</v>
      </c>
    </row>
    <row r="247" spans="1:15" x14ac:dyDescent="0.2">
      <c r="A247" s="992"/>
      <c r="B247" s="825">
        <v>53204040200000</v>
      </c>
      <c r="C247" s="818" t="s">
        <v>135</v>
      </c>
      <c r="D247" s="324">
        <f t="shared" si="36"/>
        <v>0</v>
      </c>
      <c r="E247" s="324">
        <v>0</v>
      </c>
      <c r="F247" s="337">
        <v>0</v>
      </c>
      <c r="G247" s="324">
        <f t="shared" si="37"/>
        <v>0</v>
      </c>
      <c r="H247" s="326">
        <f t="shared" si="38"/>
        <v>0</v>
      </c>
      <c r="K247" s="334" t="s">
        <v>146</v>
      </c>
      <c r="L247" s="335">
        <v>0</v>
      </c>
      <c r="M247" s="329">
        <f t="shared" si="33"/>
        <v>0</v>
      </c>
      <c r="N247" s="329">
        <f t="shared" si="34"/>
        <v>0</v>
      </c>
      <c r="O247" s="330">
        <f t="shared" si="35"/>
        <v>0</v>
      </c>
    </row>
    <row r="248" spans="1:15" x14ac:dyDescent="0.2">
      <c r="A248" s="992"/>
      <c r="B248" s="817">
        <v>53204060000000</v>
      </c>
      <c r="C248" s="818" t="s">
        <v>136</v>
      </c>
      <c r="D248" s="324">
        <f t="shared" si="36"/>
        <v>0</v>
      </c>
      <c r="E248" s="324">
        <v>0</v>
      </c>
      <c r="F248" s="337">
        <v>0</v>
      </c>
      <c r="G248" s="324">
        <f t="shared" si="37"/>
        <v>0</v>
      </c>
      <c r="H248" s="326">
        <f t="shared" si="38"/>
        <v>0</v>
      </c>
      <c r="K248" s="334" t="s">
        <v>147</v>
      </c>
      <c r="L248" s="335">
        <v>0</v>
      </c>
      <c r="M248" s="329">
        <f t="shared" si="33"/>
        <v>0</v>
      </c>
      <c r="N248" s="329">
        <f t="shared" si="34"/>
        <v>0</v>
      </c>
      <c r="O248" s="330">
        <f t="shared" si="35"/>
        <v>0</v>
      </c>
    </row>
    <row r="249" spans="1:15" x14ac:dyDescent="0.2">
      <c r="A249" s="992"/>
      <c r="B249" s="817">
        <v>53204070000000</v>
      </c>
      <c r="C249" s="818" t="s">
        <v>137</v>
      </c>
      <c r="D249" s="324">
        <f t="shared" si="36"/>
        <v>0</v>
      </c>
      <c r="E249" s="324">
        <v>0</v>
      </c>
      <c r="F249" s="337">
        <v>0</v>
      </c>
      <c r="G249" s="324">
        <f t="shared" si="37"/>
        <v>0</v>
      </c>
      <c r="H249" s="326">
        <f t="shared" si="38"/>
        <v>0</v>
      </c>
      <c r="K249" s="334" t="s">
        <v>149</v>
      </c>
      <c r="L249" s="335">
        <v>0</v>
      </c>
      <c r="M249" s="329">
        <f t="shared" si="33"/>
        <v>0</v>
      </c>
      <c r="N249" s="329">
        <f t="shared" si="34"/>
        <v>0</v>
      </c>
      <c r="O249" s="330">
        <f t="shared" si="35"/>
        <v>0</v>
      </c>
    </row>
    <row r="250" spans="1:15" x14ac:dyDescent="0.2">
      <c r="A250" s="992"/>
      <c r="B250" s="817">
        <v>53204080000000</v>
      </c>
      <c r="C250" s="818" t="s">
        <v>139</v>
      </c>
      <c r="D250" s="324">
        <f t="shared" si="36"/>
        <v>0</v>
      </c>
      <c r="E250" s="324">
        <v>0</v>
      </c>
      <c r="F250" s="337">
        <v>0</v>
      </c>
      <c r="G250" s="324">
        <f t="shared" si="37"/>
        <v>0</v>
      </c>
      <c r="H250" s="326">
        <f t="shared" si="38"/>
        <v>0</v>
      </c>
      <c r="K250" s="334" t="s">
        <v>150</v>
      </c>
      <c r="L250" s="335">
        <v>0</v>
      </c>
      <c r="M250" s="329">
        <f t="shared" si="33"/>
        <v>0</v>
      </c>
      <c r="N250" s="329">
        <f t="shared" si="34"/>
        <v>0</v>
      </c>
      <c r="O250" s="330">
        <f t="shared" si="35"/>
        <v>0</v>
      </c>
    </row>
    <row r="251" spans="1:15" x14ac:dyDescent="0.2">
      <c r="A251" s="992"/>
      <c r="B251" s="817">
        <v>53214010000000</v>
      </c>
      <c r="C251" s="818" t="s">
        <v>140</v>
      </c>
      <c r="D251" s="324">
        <f t="shared" si="36"/>
        <v>0</v>
      </c>
      <c r="E251" s="324">
        <v>0</v>
      </c>
      <c r="F251" s="337">
        <v>0</v>
      </c>
      <c r="G251" s="324">
        <f t="shared" si="37"/>
        <v>0</v>
      </c>
      <c r="H251" s="326">
        <f t="shared" si="38"/>
        <v>0</v>
      </c>
      <c r="K251" s="334" t="s">
        <v>151</v>
      </c>
      <c r="L251" s="335">
        <v>0</v>
      </c>
      <c r="M251" s="329">
        <f t="shared" si="33"/>
        <v>0</v>
      </c>
      <c r="N251" s="329">
        <f t="shared" si="34"/>
        <v>0</v>
      </c>
      <c r="O251" s="330">
        <f t="shared" si="35"/>
        <v>0</v>
      </c>
    </row>
    <row r="252" spans="1:15" x14ac:dyDescent="0.2">
      <c r="A252" s="992"/>
      <c r="B252" s="817">
        <v>53214040000000</v>
      </c>
      <c r="C252" s="818" t="s">
        <v>141</v>
      </c>
      <c r="D252" s="324">
        <f t="shared" si="36"/>
        <v>0</v>
      </c>
      <c r="E252" s="324">
        <v>0</v>
      </c>
      <c r="F252" s="337">
        <v>0</v>
      </c>
      <c r="G252" s="324">
        <f t="shared" si="37"/>
        <v>0</v>
      </c>
      <c r="H252" s="326">
        <f t="shared" si="38"/>
        <v>0</v>
      </c>
      <c r="K252" s="322" t="s">
        <v>152</v>
      </c>
      <c r="L252" s="1008"/>
      <c r="M252" s="1008"/>
      <c r="N252" s="1008"/>
      <c r="O252" s="1008"/>
    </row>
    <row r="253" spans="1:15" x14ac:dyDescent="0.2">
      <c r="A253" s="992"/>
      <c r="B253" s="822">
        <v>53204020100000</v>
      </c>
      <c r="C253" s="818" t="s">
        <v>142</v>
      </c>
      <c r="D253" s="324">
        <f t="shared" si="36"/>
        <v>0</v>
      </c>
      <c r="E253" s="324">
        <v>0</v>
      </c>
      <c r="F253" s="337">
        <v>0</v>
      </c>
      <c r="G253" s="324">
        <f t="shared" si="37"/>
        <v>0</v>
      </c>
      <c r="H253" s="326">
        <f t="shared" si="38"/>
        <v>0</v>
      </c>
      <c r="K253" s="334" t="s">
        <v>153</v>
      </c>
      <c r="L253" s="335">
        <v>0</v>
      </c>
      <c r="M253" s="329">
        <f t="shared" ref="M253:M259" si="39">+L253*0.5</f>
        <v>0</v>
      </c>
      <c r="N253" s="329">
        <f t="shared" ref="N253:N259" si="40">+L253*0.1</f>
        <v>0</v>
      </c>
      <c r="O253" s="330">
        <f t="shared" ref="O253:O259" si="41">+L253*0.4</f>
        <v>0</v>
      </c>
    </row>
    <row r="254" spans="1:15" x14ac:dyDescent="0.2">
      <c r="A254" s="992"/>
      <c r="B254" s="258"/>
      <c r="C254" s="259" t="s">
        <v>143</v>
      </c>
      <c r="D254" s="318"/>
      <c r="E254" s="319"/>
      <c r="F254" s="319"/>
      <c r="G254" s="318">
        <f>SUM(G255:G262)</f>
        <v>0</v>
      </c>
      <c r="H254" s="321">
        <f>SUM(H255:H262)</f>
        <v>0</v>
      </c>
      <c r="K254" s="334" t="s">
        <v>154</v>
      </c>
      <c r="L254" s="335">
        <v>0</v>
      </c>
      <c r="M254" s="329">
        <f t="shared" si="39"/>
        <v>0</v>
      </c>
      <c r="N254" s="329">
        <f t="shared" si="40"/>
        <v>0</v>
      </c>
      <c r="O254" s="330">
        <f t="shared" si="41"/>
        <v>0</v>
      </c>
    </row>
    <row r="255" spans="1:15" x14ac:dyDescent="0.2">
      <c r="A255" s="992"/>
      <c r="B255" s="817">
        <v>53207010000000</v>
      </c>
      <c r="C255" s="818" t="s">
        <v>144</v>
      </c>
      <c r="D255" s="324">
        <f>+O245</f>
        <v>0</v>
      </c>
      <c r="E255" s="324">
        <v>0</v>
      </c>
      <c r="F255" s="337">
        <v>0</v>
      </c>
      <c r="G255" s="324">
        <f t="shared" ref="G255:G262" si="42">E255*F255</f>
        <v>0</v>
      </c>
      <c r="H255" s="326">
        <f t="shared" ref="H255:H262" si="43">D255+G255</f>
        <v>0</v>
      </c>
      <c r="K255" s="334" t="s">
        <v>155</v>
      </c>
      <c r="L255" s="335">
        <v>0</v>
      </c>
      <c r="M255" s="329">
        <f t="shared" si="39"/>
        <v>0</v>
      </c>
      <c r="N255" s="329">
        <f t="shared" si="40"/>
        <v>0</v>
      </c>
      <c r="O255" s="330">
        <f t="shared" si="41"/>
        <v>0</v>
      </c>
    </row>
    <row r="256" spans="1:15" x14ac:dyDescent="0.2">
      <c r="A256" s="992"/>
      <c r="B256" s="817">
        <v>53207020000000</v>
      </c>
      <c r="C256" s="818" t="s">
        <v>145</v>
      </c>
      <c r="D256" s="324">
        <f>+O246</f>
        <v>0</v>
      </c>
      <c r="E256" s="324">
        <v>0</v>
      </c>
      <c r="F256" s="337">
        <v>0</v>
      </c>
      <c r="G256" s="324">
        <f t="shared" si="42"/>
        <v>0</v>
      </c>
      <c r="H256" s="326">
        <f t="shared" si="43"/>
        <v>0</v>
      </c>
      <c r="K256" s="334" t="s">
        <v>156</v>
      </c>
      <c r="L256" s="335">
        <v>0</v>
      </c>
      <c r="M256" s="329">
        <f t="shared" si="39"/>
        <v>0</v>
      </c>
      <c r="N256" s="329">
        <f t="shared" si="40"/>
        <v>0</v>
      </c>
      <c r="O256" s="330">
        <f t="shared" si="41"/>
        <v>0</v>
      </c>
    </row>
    <row r="257" spans="1:15" x14ac:dyDescent="0.2">
      <c r="A257" s="992"/>
      <c r="B257" s="817">
        <v>53208020000000</v>
      </c>
      <c r="C257" s="818" t="s">
        <v>146</v>
      </c>
      <c r="D257" s="324">
        <f>+O247</f>
        <v>0</v>
      </c>
      <c r="E257" s="324">
        <v>0</v>
      </c>
      <c r="F257" s="337">
        <v>0</v>
      </c>
      <c r="G257" s="324">
        <f t="shared" si="42"/>
        <v>0</v>
      </c>
      <c r="H257" s="326">
        <f t="shared" si="43"/>
        <v>0</v>
      </c>
      <c r="K257" s="327" t="s">
        <v>157</v>
      </c>
      <c r="L257" s="335">
        <v>0</v>
      </c>
      <c r="M257" s="329">
        <f t="shared" si="39"/>
        <v>0</v>
      </c>
      <c r="N257" s="329">
        <f t="shared" si="40"/>
        <v>0</v>
      </c>
      <c r="O257" s="330">
        <f t="shared" si="41"/>
        <v>0</v>
      </c>
    </row>
    <row r="258" spans="1:15" x14ac:dyDescent="0.2">
      <c r="A258" s="992"/>
      <c r="B258" s="817">
        <v>53208990000000</v>
      </c>
      <c r="C258" s="818" t="s">
        <v>147</v>
      </c>
      <c r="D258" s="324">
        <f>+O248</f>
        <v>0</v>
      </c>
      <c r="E258" s="324">
        <v>0</v>
      </c>
      <c r="F258" s="337">
        <v>0</v>
      </c>
      <c r="G258" s="324">
        <f t="shared" si="42"/>
        <v>0</v>
      </c>
      <c r="H258" s="326">
        <f t="shared" si="43"/>
        <v>0</v>
      </c>
      <c r="K258" s="334" t="s">
        <v>158</v>
      </c>
      <c r="L258" s="335">
        <v>0</v>
      </c>
      <c r="M258" s="329">
        <f t="shared" si="39"/>
        <v>0</v>
      </c>
      <c r="N258" s="329">
        <f t="shared" si="40"/>
        <v>0</v>
      </c>
      <c r="O258" s="330">
        <f t="shared" si="41"/>
        <v>0</v>
      </c>
    </row>
    <row r="259" spans="1:15" x14ac:dyDescent="0.2">
      <c r="A259" s="992"/>
      <c r="B259" s="822">
        <v>53210020300000</v>
      </c>
      <c r="C259" s="818" t="s">
        <v>148</v>
      </c>
      <c r="D259" s="341">
        <v>0</v>
      </c>
      <c r="E259" s="341">
        <v>0</v>
      </c>
      <c r="F259" s="342">
        <v>0</v>
      </c>
      <c r="G259" s="324">
        <f t="shared" si="42"/>
        <v>0</v>
      </c>
      <c r="H259" s="326">
        <f t="shared" si="43"/>
        <v>0</v>
      </c>
      <c r="K259" s="334" t="s">
        <v>159</v>
      </c>
      <c r="L259" s="335">
        <v>0</v>
      </c>
      <c r="M259" s="329">
        <f t="shared" si="39"/>
        <v>0</v>
      </c>
      <c r="N259" s="329">
        <f t="shared" si="40"/>
        <v>0</v>
      </c>
      <c r="O259" s="330">
        <f t="shared" si="41"/>
        <v>0</v>
      </c>
    </row>
    <row r="260" spans="1:15" x14ac:dyDescent="0.2">
      <c r="A260" s="992"/>
      <c r="B260" s="817">
        <v>53208990000000</v>
      </c>
      <c r="C260" s="818" t="s">
        <v>149</v>
      </c>
      <c r="D260" s="324">
        <f>+O249</f>
        <v>0</v>
      </c>
      <c r="E260" s="324">
        <v>0</v>
      </c>
      <c r="F260" s="337">
        <v>0</v>
      </c>
      <c r="G260" s="324">
        <f t="shared" si="42"/>
        <v>0</v>
      </c>
      <c r="H260" s="326">
        <f t="shared" si="43"/>
        <v>0</v>
      </c>
    </row>
    <row r="261" spans="1:15" x14ac:dyDescent="0.2">
      <c r="A261" s="992"/>
      <c r="B261" s="817">
        <v>53209990000000</v>
      </c>
      <c r="C261" s="818" t="s">
        <v>150</v>
      </c>
      <c r="D261" s="324">
        <f>+O250</f>
        <v>0</v>
      </c>
      <c r="E261" s="324">
        <v>0</v>
      </c>
      <c r="F261" s="337">
        <v>0</v>
      </c>
      <c r="G261" s="324">
        <f t="shared" si="42"/>
        <v>0</v>
      </c>
      <c r="H261" s="326">
        <f t="shared" si="43"/>
        <v>0</v>
      </c>
    </row>
    <row r="262" spans="1:15" x14ac:dyDescent="0.2">
      <c r="A262" s="992"/>
      <c r="B262" s="817">
        <v>53210020100000</v>
      </c>
      <c r="C262" s="818" t="s">
        <v>151</v>
      </c>
      <c r="D262" s="324">
        <f>+O251</f>
        <v>0</v>
      </c>
      <c r="E262" s="324">
        <v>0</v>
      </c>
      <c r="F262" s="337">
        <v>0</v>
      </c>
      <c r="G262" s="324">
        <f t="shared" si="42"/>
        <v>0</v>
      </c>
      <c r="H262" s="326">
        <f t="shared" si="43"/>
        <v>0</v>
      </c>
    </row>
    <row r="263" spans="1:15" x14ac:dyDescent="0.2">
      <c r="A263" s="992"/>
      <c r="B263" s="258"/>
      <c r="C263" s="259" t="s">
        <v>152</v>
      </c>
      <c r="D263" s="318">
        <f>SUM(D264:D270)</f>
        <v>0</v>
      </c>
      <c r="E263" s="319"/>
      <c r="F263" s="319"/>
      <c r="G263" s="318">
        <f>SUM(G264:G270)</f>
        <v>0</v>
      </c>
      <c r="H263" s="321">
        <f>SUM(H264:H270)</f>
        <v>0</v>
      </c>
    </row>
    <row r="264" spans="1:15" x14ac:dyDescent="0.2">
      <c r="A264" s="992"/>
      <c r="B264" s="817">
        <v>53206030000000</v>
      </c>
      <c r="C264" s="818" t="s">
        <v>153</v>
      </c>
      <c r="D264" s="324">
        <f t="shared" ref="D264:D270" si="44">+O253</f>
        <v>0</v>
      </c>
      <c r="E264" s="324">
        <v>0</v>
      </c>
      <c r="F264" s="337">
        <v>0</v>
      </c>
      <c r="G264" s="324">
        <f t="shared" ref="G264:G270" si="45">E264*F264</f>
        <v>0</v>
      </c>
      <c r="H264" s="326">
        <f t="shared" ref="H264:H270" si="46">D264+G264</f>
        <v>0</v>
      </c>
    </row>
    <row r="265" spans="1:15" x14ac:dyDescent="0.2">
      <c r="A265" s="992"/>
      <c r="B265" s="817">
        <v>53206040000000</v>
      </c>
      <c r="C265" s="818" t="s">
        <v>154</v>
      </c>
      <c r="D265" s="324">
        <f t="shared" si="44"/>
        <v>0</v>
      </c>
      <c r="E265" s="324">
        <v>0</v>
      </c>
      <c r="F265" s="337">
        <v>0</v>
      </c>
      <c r="G265" s="324">
        <f t="shared" si="45"/>
        <v>0</v>
      </c>
      <c r="H265" s="326">
        <f t="shared" si="46"/>
        <v>0</v>
      </c>
    </row>
    <row r="266" spans="1:15" x14ac:dyDescent="0.2">
      <c r="A266" s="992"/>
      <c r="B266" s="817">
        <v>53206060000000</v>
      </c>
      <c r="C266" s="818" t="s">
        <v>155</v>
      </c>
      <c r="D266" s="324">
        <f t="shared" si="44"/>
        <v>0</v>
      </c>
      <c r="E266" s="324">
        <v>0</v>
      </c>
      <c r="F266" s="337">
        <v>0</v>
      </c>
      <c r="G266" s="324">
        <f t="shared" si="45"/>
        <v>0</v>
      </c>
      <c r="H266" s="326">
        <f t="shared" si="46"/>
        <v>0</v>
      </c>
    </row>
    <row r="267" spans="1:15" x14ac:dyDescent="0.2">
      <c r="A267" s="992"/>
      <c r="B267" s="817">
        <v>53206070000000</v>
      </c>
      <c r="C267" s="818" t="s">
        <v>156</v>
      </c>
      <c r="D267" s="324">
        <f t="shared" si="44"/>
        <v>0</v>
      </c>
      <c r="E267" s="324">
        <v>0</v>
      </c>
      <c r="F267" s="337">
        <v>0</v>
      </c>
      <c r="G267" s="324">
        <f t="shared" si="45"/>
        <v>0</v>
      </c>
      <c r="H267" s="326">
        <f t="shared" si="46"/>
        <v>0</v>
      </c>
    </row>
    <row r="268" spans="1:15" x14ac:dyDescent="0.2">
      <c r="A268" s="992"/>
      <c r="B268" s="817">
        <v>53206990000000</v>
      </c>
      <c r="C268" s="818" t="s">
        <v>157</v>
      </c>
      <c r="D268" s="324">
        <f t="shared" si="44"/>
        <v>0</v>
      </c>
      <c r="E268" s="324">
        <v>0</v>
      </c>
      <c r="F268" s="337">
        <v>0</v>
      </c>
      <c r="G268" s="324">
        <f t="shared" si="45"/>
        <v>0</v>
      </c>
      <c r="H268" s="326">
        <f t="shared" si="46"/>
        <v>0</v>
      </c>
    </row>
    <row r="269" spans="1:15" x14ac:dyDescent="0.2">
      <c r="A269" s="992"/>
      <c r="B269" s="817">
        <v>53208030000000</v>
      </c>
      <c r="C269" s="818" t="s">
        <v>158</v>
      </c>
      <c r="D269" s="324">
        <f t="shared" si="44"/>
        <v>0</v>
      </c>
      <c r="E269" s="324">
        <v>0</v>
      </c>
      <c r="F269" s="337">
        <v>0</v>
      </c>
      <c r="G269" s="324">
        <f t="shared" si="45"/>
        <v>0</v>
      </c>
      <c r="H269" s="326">
        <f t="shared" si="46"/>
        <v>0</v>
      </c>
    </row>
    <row r="270" spans="1:15" x14ac:dyDescent="0.2">
      <c r="A270" s="992"/>
      <c r="B270" s="817">
        <v>53206990000000</v>
      </c>
      <c r="C270" s="818" t="s">
        <v>159</v>
      </c>
      <c r="D270" s="324">
        <f t="shared" si="44"/>
        <v>0</v>
      </c>
      <c r="E270" s="324">
        <v>0</v>
      </c>
      <c r="F270" s="337">
        <v>0</v>
      </c>
      <c r="G270" s="324">
        <f t="shared" si="45"/>
        <v>0</v>
      </c>
      <c r="H270" s="326">
        <f t="shared" si="46"/>
        <v>0</v>
      </c>
    </row>
    <row r="271" spans="1:15" x14ac:dyDescent="0.2">
      <c r="A271" s="992"/>
      <c r="B271" s="258"/>
      <c r="C271" s="259" t="s">
        <v>160</v>
      </c>
      <c r="D271" s="318">
        <f>SUM(D272:D272)</f>
        <v>0</v>
      </c>
      <c r="E271" s="319"/>
      <c r="F271" s="319"/>
      <c r="G271" s="318">
        <f>SUM(G272:G272)</f>
        <v>0</v>
      </c>
      <c r="H271" s="321">
        <f>SUM(H272:H272)</f>
        <v>0</v>
      </c>
    </row>
    <row r="272" spans="1:15" x14ac:dyDescent="0.2">
      <c r="A272" s="992"/>
      <c r="B272" s="826"/>
      <c r="C272" s="827" t="s">
        <v>161</v>
      </c>
      <c r="D272" s="331">
        <v>0</v>
      </c>
      <c r="E272" s="331">
        <v>0</v>
      </c>
      <c r="F272" s="339">
        <v>0</v>
      </c>
      <c r="G272" s="324">
        <f>E272*F272</f>
        <v>0</v>
      </c>
      <c r="H272" s="343">
        <f>D272+G272</f>
        <v>0</v>
      </c>
      <c r="I272" s="344" t="s">
        <v>162</v>
      </c>
      <c r="J272" s="345">
        <f>+H270+H269+H268+H267+H266+H265+H264+H262+H261+H260+H259+H258+H257+H256+H255+H253+H250+H249+H248+H247+H246+H244+H242+H241+H235+H234+H233+H231+H230+H229+H228+H227+H226+H225+H224+H223+H222+H221</f>
        <v>0</v>
      </c>
    </row>
    <row r="273" spans="1:10" x14ac:dyDescent="0.2">
      <c r="A273" s="992"/>
      <c r="B273" s="290"/>
      <c r="C273" s="308" t="s">
        <v>163</v>
      </c>
      <c r="D273" s="346">
        <f>SUM(D210,D237)</f>
        <v>0</v>
      </c>
      <c r="E273" s="347"/>
      <c r="F273" s="347"/>
      <c r="G273" s="346">
        <f>SUM(G210,G237)</f>
        <v>0</v>
      </c>
      <c r="H273" s="348">
        <f>SUM(H210,H237)</f>
        <v>0</v>
      </c>
      <c r="I273" s="349" t="s">
        <v>164</v>
      </c>
      <c r="J273" s="350">
        <f>+H273-J272</f>
        <v>0</v>
      </c>
    </row>
    <row r="274" spans="1:10" ht="12.75" customHeight="1" x14ac:dyDescent="0.2">
      <c r="A274" s="994" t="s">
        <v>165</v>
      </c>
      <c r="B274" s="995" t="s">
        <v>90</v>
      </c>
      <c r="C274" s="996" t="s">
        <v>91</v>
      </c>
      <c r="D274" s="1005" t="s">
        <v>92</v>
      </c>
      <c r="E274" s="1006" t="s">
        <v>93</v>
      </c>
      <c r="F274" s="1006"/>
      <c r="G274" s="1006"/>
      <c r="H274" s="1004" t="s">
        <v>94</v>
      </c>
    </row>
    <row r="275" spans="1:10" ht="25.5" x14ac:dyDescent="0.2">
      <c r="A275" s="994"/>
      <c r="B275" s="995"/>
      <c r="C275" s="996"/>
      <c r="D275" s="1005"/>
      <c r="E275" s="351" t="s">
        <v>95</v>
      </c>
      <c r="F275" s="352" t="s">
        <v>96</v>
      </c>
      <c r="G275" s="790" t="s">
        <v>97</v>
      </c>
      <c r="H275" s="1004"/>
    </row>
    <row r="276" spans="1:10" ht="15.75" customHeight="1" x14ac:dyDescent="0.2">
      <c r="A276" s="992" t="s">
        <v>37</v>
      </c>
      <c r="B276" s="252"/>
      <c r="C276" s="253" t="s">
        <v>98</v>
      </c>
      <c r="D276" s="254">
        <f>+D277+D282</f>
        <v>75253044.758560002</v>
      </c>
      <c r="E276" s="295"/>
      <c r="F276" s="295"/>
      <c r="G276" s="256">
        <f>SUM(G277,G282)</f>
        <v>15376004</v>
      </c>
      <c r="H276" s="257">
        <f>SUM(H277,H282)</f>
        <v>90629048.758560002</v>
      </c>
    </row>
    <row r="277" spans="1:10" x14ac:dyDescent="0.2">
      <c r="A277" s="992"/>
      <c r="B277" s="258"/>
      <c r="C277" s="259" t="s">
        <v>99</v>
      </c>
      <c r="D277" s="260">
        <f>SUM(D278:D281)</f>
        <v>68071727.758560002</v>
      </c>
      <c r="E277" s="279"/>
      <c r="F277" s="279"/>
      <c r="G277" s="46">
        <f>SUM(G278:G281)</f>
        <v>0</v>
      </c>
      <c r="H277" s="262">
        <f>SUM(H278:H281)</f>
        <v>68071727.758560002</v>
      </c>
    </row>
    <row r="278" spans="1:10" x14ac:dyDescent="0.2">
      <c r="A278" s="992"/>
      <c r="B278" s="817">
        <v>53103040100000</v>
      </c>
      <c r="C278" s="818" t="s">
        <v>100</v>
      </c>
      <c r="D278" s="298">
        <f>+'F) Remuneraciones'!L75</f>
        <v>67397750.255999997</v>
      </c>
      <c r="E278" s="263">
        <v>0</v>
      </c>
      <c r="F278" s="829">
        <v>0</v>
      </c>
      <c r="G278" s="263">
        <f>E278*F278</f>
        <v>0</v>
      </c>
      <c r="H278" s="264">
        <f>D278+G278</f>
        <v>67397750.255999997</v>
      </c>
    </row>
    <row r="279" spans="1:10" x14ac:dyDescent="0.2">
      <c r="A279" s="992"/>
      <c r="B279" s="817">
        <v>53103050000000</v>
      </c>
      <c r="C279" s="818" t="s">
        <v>166</v>
      </c>
      <c r="D279" s="265">
        <v>0</v>
      </c>
      <c r="E279" s="266">
        <v>0</v>
      </c>
      <c r="F279" s="267">
        <v>0</v>
      </c>
      <c r="G279" s="263">
        <f>E279*F279</f>
        <v>0</v>
      </c>
      <c r="H279" s="264">
        <f>D279+G279</f>
        <v>0</v>
      </c>
    </row>
    <row r="280" spans="1:10" x14ac:dyDescent="0.2">
      <c r="A280" s="992"/>
      <c r="B280" s="822">
        <v>53103040400000</v>
      </c>
      <c r="C280" s="823" t="s">
        <v>102</v>
      </c>
      <c r="D280" s="265">
        <f>D278*0.01</f>
        <v>673977.50255999994</v>
      </c>
      <c r="E280" s="266">
        <v>0</v>
      </c>
      <c r="F280" s="267">
        <v>0</v>
      </c>
      <c r="G280" s="263">
        <f>E280*F280</f>
        <v>0</v>
      </c>
      <c r="H280" s="264">
        <f>D280+G280</f>
        <v>673977.50255999994</v>
      </c>
    </row>
    <row r="281" spans="1:10" x14ac:dyDescent="0.2">
      <c r="A281" s="992"/>
      <c r="B281" s="817">
        <v>53103080010000</v>
      </c>
      <c r="C281" s="818" t="s">
        <v>103</v>
      </c>
      <c r="D281" s="265">
        <v>0</v>
      </c>
      <c r="E281" s="266">
        <v>0</v>
      </c>
      <c r="F281" s="267">
        <v>0</v>
      </c>
      <c r="G281" s="263">
        <f>E281*F281</f>
        <v>0</v>
      </c>
      <c r="H281" s="264">
        <f>D281+G281</f>
        <v>0</v>
      </c>
    </row>
    <row r="282" spans="1:10" x14ac:dyDescent="0.2">
      <c r="A282" s="992"/>
      <c r="B282" s="258"/>
      <c r="C282" s="259" t="s">
        <v>104</v>
      </c>
      <c r="D282" s="260">
        <f>SUM(D283:D302)</f>
        <v>7181317</v>
      </c>
      <c r="E282" s="279"/>
      <c r="F282" s="279"/>
      <c r="G282" s="260">
        <f>SUM(G283:G302)</f>
        <v>15376004</v>
      </c>
      <c r="H282" s="262">
        <f>SUM(H283:H302)</f>
        <v>22557321</v>
      </c>
    </row>
    <row r="283" spans="1:10" x14ac:dyDescent="0.2">
      <c r="A283" s="992"/>
      <c r="B283" s="817">
        <v>53201010100000</v>
      </c>
      <c r="C283" s="818" t="s">
        <v>105</v>
      </c>
      <c r="D283" s="265">
        <v>0</v>
      </c>
      <c r="E283" s="266">
        <v>1821</v>
      </c>
      <c r="F283" s="270">
        <f>9*20*11</f>
        <v>1980</v>
      </c>
      <c r="G283" s="263">
        <f t="shared" ref="G283:G302" si="47">E283*F283</f>
        <v>3605580</v>
      </c>
      <c r="H283" s="264">
        <f t="shared" ref="H283:H302" si="48">D283+G283</f>
        <v>3605580</v>
      </c>
      <c r="I283" s="250" t="s">
        <v>174</v>
      </c>
    </row>
    <row r="284" spans="1:10" x14ac:dyDescent="0.2">
      <c r="A284" s="992"/>
      <c r="B284" s="817">
        <v>53201010100000</v>
      </c>
      <c r="C284" s="818" t="s">
        <v>106</v>
      </c>
      <c r="D284" s="265">
        <v>0</v>
      </c>
      <c r="E284" s="266">
        <v>1000</v>
      </c>
      <c r="F284" s="270">
        <f>33*20*12</f>
        <v>7920</v>
      </c>
      <c r="G284" s="263">
        <f t="shared" si="47"/>
        <v>7920000</v>
      </c>
      <c r="H284" s="264">
        <f t="shared" si="48"/>
        <v>7920000</v>
      </c>
      <c r="I284" s="250" t="s">
        <v>175</v>
      </c>
    </row>
    <row r="285" spans="1:10" x14ac:dyDescent="0.2">
      <c r="A285" s="992"/>
      <c r="B285" s="817">
        <v>53201010100000</v>
      </c>
      <c r="C285" s="818" t="s">
        <v>107</v>
      </c>
      <c r="D285" s="265">
        <v>0</v>
      </c>
      <c r="E285" s="266">
        <v>0</v>
      </c>
      <c r="F285" s="267">
        <v>0</v>
      </c>
      <c r="G285" s="263">
        <f t="shared" si="47"/>
        <v>0</v>
      </c>
      <c r="H285" s="264">
        <f t="shared" si="48"/>
        <v>0</v>
      </c>
    </row>
    <row r="286" spans="1:10" x14ac:dyDescent="0.2">
      <c r="A286" s="992"/>
      <c r="B286" s="817">
        <v>53202010100000</v>
      </c>
      <c r="C286" s="818" t="s">
        <v>108</v>
      </c>
      <c r="D286" s="266">
        <v>0</v>
      </c>
      <c r="E286" s="266">
        <v>70000</v>
      </c>
      <c r="F286" s="353">
        <v>10</v>
      </c>
      <c r="G286" s="263">
        <f t="shared" si="47"/>
        <v>700000</v>
      </c>
      <c r="H286" s="264">
        <f t="shared" si="48"/>
        <v>700000</v>
      </c>
      <c r="I286" s="250" t="s">
        <v>831</v>
      </c>
    </row>
    <row r="287" spans="1:10" x14ac:dyDescent="0.2">
      <c r="A287" s="992"/>
      <c r="B287" s="817">
        <v>53203010100000</v>
      </c>
      <c r="C287" s="818" t="s">
        <v>109</v>
      </c>
      <c r="D287" s="275">
        <v>0</v>
      </c>
      <c r="E287" s="275">
        <v>0</v>
      </c>
      <c r="F287" s="354">
        <v>0</v>
      </c>
      <c r="G287" s="263">
        <f t="shared" si="47"/>
        <v>0</v>
      </c>
      <c r="H287" s="264">
        <f t="shared" si="48"/>
        <v>0</v>
      </c>
    </row>
    <row r="288" spans="1:10" x14ac:dyDescent="0.2">
      <c r="A288" s="992"/>
      <c r="B288" s="817">
        <v>53203030000000</v>
      </c>
      <c r="C288" s="818" t="s">
        <v>110</v>
      </c>
      <c r="D288" s="275">
        <v>0</v>
      </c>
      <c r="E288" s="275">
        <v>0</v>
      </c>
      <c r="F288" s="354">
        <v>0</v>
      </c>
      <c r="G288" s="263">
        <f t="shared" si="47"/>
        <v>0</v>
      </c>
      <c r="H288" s="264">
        <f t="shared" si="48"/>
        <v>0</v>
      </c>
    </row>
    <row r="289" spans="1:9" x14ac:dyDescent="0.2">
      <c r="A289" s="992"/>
      <c r="B289" s="817">
        <v>53204030000000</v>
      </c>
      <c r="C289" s="818" t="s">
        <v>111</v>
      </c>
      <c r="D289" s="275">
        <v>0</v>
      </c>
      <c r="E289" s="275">
        <v>26390</v>
      </c>
      <c r="F289" s="354">
        <v>6</v>
      </c>
      <c r="G289" s="263">
        <f t="shared" si="47"/>
        <v>158340</v>
      </c>
      <c r="H289" s="264">
        <f t="shared" si="48"/>
        <v>158340</v>
      </c>
    </row>
    <row r="290" spans="1:9" x14ac:dyDescent="0.2">
      <c r="A290" s="992"/>
      <c r="B290" s="817">
        <v>53204100100001</v>
      </c>
      <c r="C290" s="818" t="s">
        <v>112</v>
      </c>
      <c r="D290" s="283">
        <v>0</v>
      </c>
      <c r="E290" s="283">
        <v>0</v>
      </c>
      <c r="F290" s="355">
        <v>0</v>
      </c>
      <c r="G290" s="271">
        <f t="shared" si="47"/>
        <v>0</v>
      </c>
      <c r="H290" s="272">
        <f t="shared" si="48"/>
        <v>0</v>
      </c>
      <c r="I290" s="250" t="s">
        <v>176</v>
      </c>
    </row>
    <row r="291" spans="1:9" ht="14.25" customHeight="1" x14ac:dyDescent="0.2">
      <c r="A291" s="992"/>
      <c r="B291" s="817">
        <v>53204130100000</v>
      </c>
      <c r="C291" s="818" t="s">
        <v>113</v>
      </c>
      <c r="D291" s="275">
        <v>0</v>
      </c>
      <c r="E291" s="275">
        <v>0</v>
      </c>
      <c r="F291" s="354">
        <v>0</v>
      </c>
      <c r="G291" s="263">
        <f t="shared" si="47"/>
        <v>0</v>
      </c>
      <c r="H291" s="264">
        <f t="shared" si="48"/>
        <v>0</v>
      </c>
    </row>
    <row r="292" spans="1:9" x14ac:dyDescent="0.2">
      <c r="A292" s="992"/>
      <c r="B292" s="817">
        <v>53205010100000</v>
      </c>
      <c r="C292" s="818" t="s">
        <v>114</v>
      </c>
      <c r="D292" s="356">
        <v>1944431</v>
      </c>
      <c r="E292" s="275">
        <v>0</v>
      </c>
      <c r="F292" s="354">
        <v>0</v>
      </c>
      <c r="G292" s="263">
        <f t="shared" si="47"/>
        <v>0</v>
      </c>
      <c r="H292" s="264">
        <f t="shared" si="48"/>
        <v>1944431</v>
      </c>
    </row>
    <row r="293" spans="1:9" x14ac:dyDescent="0.2">
      <c r="A293" s="992"/>
      <c r="B293" s="817">
        <v>53205020100000</v>
      </c>
      <c r="C293" s="818" t="s">
        <v>115</v>
      </c>
      <c r="D293" s="356">
        <v>1362947</v>
      </c>
      <c r="E293" s="275">
        <v>0</v>
      </c>
      <c r="F293" s="354">
        <v>0</v>
      </c>
      <c r="G293" s="263">
        <f t="shared" si="47"/>
        <v>0</v>
      </c>
      <c r="H293" s="264">
        <f t="shared" si="48"/>
        <v>1362947</v>
      </c>
    </row>
    <row r="294" spans="1:9" ht="12.75" customHeight="1" x14ac:dyDescent="0.2">
      <c r="A294" s="992"/>
      <c r="B294" s="817">
        <v>53205030100000</v>
      </c>
      <c r="C294" s="818" t="s">
        <v>116</v>
      </c>
      <c r="D294" s="356">
        <v>2355469</v>
      </c>
      <c r="E294" s="275">
        <v>0</v>
      </c>
      <c r="F294" s="354">
        <v>0</v>
      </c>
      <c r="G294" s="263">
        <f t="shared" si="47"/>
        <v>0</v>
      </c>
      <c r="H294" s="264">
        <f t="shared" si="48"/>
        <v>2355469</v>
      </c>
    </row>
    <row r="295" spans="1:9" x14ac:dyDescent="0.2">
      <c r="A295" s="992"/>
      <c r="B295" s="817">
        <v>53205050100000</v>
      </c>
      <c r="C295" s="818" t="s">
        <v>117</v>
      </c>
      <c r="D295" s="356">
        <v>668470</v>
      </c>
      <c r="E295" s="275">
        <v>0</v>
      </c>
      <c r="F295" s="354">
        <v>0</v>
      </c>
      <c r="G295" s="263">
        <f t="shared" si="47"/>
        <v>0</v>
      </c>
      <c r="H295" s="264">
        <f t="shared" si="48"/>
        <v>668470</v>
      </c>
    </row>
    <row r="296" spans="1:9" x14ac:dyDescent="0.2">
      <c r="A296" s="992"/>
      <c r="B296" s="817">
        <v>53205070100000</v>
      </c>
      <c r="C296" s="818" t="s">
        <v>118</v>
      </c>
      <c r="D296" s="275">
        <v>0</v>
      </c>
      <c r="E296" s="275">
        <v>0</v>
      </c>
      <c r="F296" s="354">
        <v>0</v>
      </c>
      <c r="G296" s="263">
        <f t="shared" si="47"/>
        <v>0</v>
      </c>
      <c r="H296" s="264">
        <f t="shared" si="48"/>
        <v>0</v>
      </c>
    </row>
    <row r="297" spans="1:9" x14ac:dyDescent="0.2">
      <c r="A297" s="992"/>
      <c r="B297" s="817">
        <v>53208010100000</v>
      </c>
      <c r="C297" s="818" t="s">
        <v>119</v>
      </c>
      <c r="D297" s="275">
        <v>0</v>
      </c>
      <c r="E297" s="275">
        <v>703412</v>
      </c>
      <c r="F297" s="354">
        <v>2</v>
      </c>
      <c r="G297" s="263">
        <f t="shared" si="47"/>
        <v>1406824</v>
      </c>
      <c r="H297" s="264">
        <f t="shared" si="48"/>
        <v>1406824</v>
      </c>
    </row>
    <row r="298" spans="1:9" x14ac:dyDescent="0.2">
      <c r="A298" s="992"/>
      <c r="B298" s="817">
        <v>53208070100001</v>
      </c>
      <c r="C298" s="818" t="s">
        <v>120</v>
      </c>
      <c r="D298" s="266">
        <v>0</v>
      </c>
      <c r="E298" s="266">
        <v>0</v>
      </c>
      <c r="F298" s="353">
        <v>0</v>
      </c>
      <c r="G298" s="263">
        <f t="shared" si="47"/>
        <v>0</v>
      </c>
      <c r="H298" s="264">
        <f t="shared" si="48"/>
        <v>0</v>
      </c>
    </row>
    <row r="299" spans="1:9" x14ac:dyDescent="0.2">
      <c r="A299" s="992"/>
      <c r="B299" s="817">
        <v>53208100100001</v>
      </c>
      <c r="C299" s="818" t="s">
        <v>121</v>
      </c>
      <c r="D299" s="275">
        <v>0</v>
      </c>
      <c r="E299" s="275">
        <v>0</v>
      </c>
      <c r="F299" s="354">
        <v>0</v>
      </c>
      <c r="G299" s="263">
        <f t="shared" si="47"/>
        <v>0</v>
      </c>
      <c r="H299" s="264">
        <f t="shared" si="48"/>
        <v>0</v>
      </c>
    </row>
    <row r="300" spans="1:9" x14ac:dyDescent="0.2">
      <c r="A300" s="992"/>
      <c r="B300" s="817">
        <v>53211030000000</v>
      </c>
      <c r="C300" s="818" t="s">
        <v>122</v>
      </c>
      <c r="D300" s="275">
        <v>0</v>
      </c>
      <c r="E300" s="275">
        <v>0</v>
      </c>
      <c r="F300" s="354">
        <v>0</v>
      </c>
      <c r="G300" s="263">
        <f t="shared" si="47"/>
        <v>0</v>
      </c>
      <c r="H300" s="264">
        <f t="shared" si="48"/>
        <v>0</v>
      </c>
    </row>
    <row r="301" spans="1:9" x14ac:dyDescent="0.2">
      <c r="A301" s="992"/>
      <c r="B301" s="817">
        <v>53212020100000</v>
      </c>
      <c r="C301" s="818" t="s">
        <v>123</v>
      </c>
      <c r="D301" s="275">
        <v>0</v>
      </c>
      <c r="E301" s="283">
        <v>317052</v>
      </c>
      <c r="F301" s="355">
        <v>5</v>
      </c>
      <c r="G301" s="271">
        <f t="shared" si="47"/>
        <v>1585260</v>
      </c>
      <c r="H301" s="272">
        <f t="shared" si="48"/>
        <v>1585260</v>
      </c>
      <c r="I301" s="250" t="s">
        <v>177</v>
      </c>
    </row>
    <row r="302" spans="1:9" ht="13.5" customHeight="1" x14ac:dyDescent="0.2">
      <c r="A302" s="992"/>
      <c r="B302" s="817">
        <v>53214020000000</v>
      </c>
      <c r="C302" s="818" t="s">
        <v>124</v>
      </c>
      <c r="D302" s="266">
        <v>850000</v>
      </c>
      <c r="E302" s="266">
        <v>0</v>
      </c>
      <c r="F302" s="353">
        <v>0</v>
      </c>
      <c r="G302" s="263">
        <f t="shared" si="47"/>
        <v>0</v>
      </c>
      <c r="H302" s="264">
        <f t="shared" si="48"/>
        <v>850000</v>
      </c>
      <c r="I302" s="250">
        <v>850000</v>
      </c>
    </row>
    <row r="303" spans="1:9" x14ac:dyDescent="0.2">
      <c r="A303" s="992"/>
      <c r="B303" s="252"/>
      <c r="C303" s="253" t="s">
        <v>125</v>
      </c>
      <c r="D303" s="830">
        <f>+D304+D309+D311+D320+D329+D337</f>
        <v>5312350</v>
      </c>
      <c r="E303" s="295"/>
      <c r="F303" s="295"/>
      <c r="G303" s="254">
        <f>SUM(G304,G309,G311,G320,G329,G337)</f>
        <v>5254864</v>
      </c>
      <c r="H303" s="830">
        <f>SUM(H304,H309,H311,H320,H329,H337)</f>
        <v>12124280</v>
      </c>
    </row>
    <row r="304" spans="1:9" x14ac:dyDescent="0.2">
      <c r="A304" s="992"/>
      <c r="B304" s="258"/>
      <c r="C304" s="259" t="s">
        <v>126</v>
      </c>
      <c r="D304" s="260">
        <f>SUM(D305:D308)</f>
        <v>60000</v>
      </c>
      <c r="E304" s="279"/>
      <c r="F304" s="279"/>
      <c r="G304" s="260">
        <f>SUM(G305:G308)</f>
        <v>564820</v>
      </c>
      <c r="H304" s="260">
        <f>SUM(H305:H308)</f>
        <v>624820</v>
      </c>
    </row>
    <row r="305" spans="1:9" x14ac:dyDescent="0.2">
      <c r="A305" s="992"/>
      <c r="B305" s="817">
        <v>53202020100000</v>
      </c>
      <c r="C305" s="818" t="s">
        <v>127</v>
      </c>
      <c r="D305" s="265">
        <f>2*30000</f>
        <v>60000</v>
      </c>
      <c r="E305" s="266">
        <v>40000</v>
      </c>
      <c r="F305" s="357">
        <v>9</v>
      </c>
      <c r="G305" s="263">
        <f>E305*F305</f>
        <v>360000</v>
      </c>
      <c r="H305" s="264">
        <f>D305+G305</f>
        <v>420000</v>
      </c>
    </row>
    <row r="306" spans="1:9" x14ac:dyDescent="0.2">
      <c r="A306" s="992"/>
      <c r="B306" s="817">
        <v>53202030000000</v>
      </c>
      <c r="C306" s="818" t="s">
        <v>128</v>
      </c>
      <c r="D306" s="265">
        <v>0</v>
      </c>
      <c r="E306" s="266">
        <v>38990</v>
      </c>
      <c r="F306" s="357">
        <v>2</v>
      </c>
      <c r="G306" s="263">
        <f>E306*F306</f>
        <v>77980</v>
      </c>
      <c r="H306" s="264">
        <f>D306+G306</f>
        <v>77980</v>
      </c>
    </row>
    <row r="307" spans="1:9" x14ac:dyDescent="0.2">
      <c r="A307" s="992"/>
      <c r="B307" s="817">
        <v>53211020000000</v>
      </c>
      <c r="C307" s="818" t="s">
        <v>129</v>
      </c>
      <c r="D307" s="275">
        <v>0</v>
      </c>
      <c r="E307" s="275">
        <v>63420</v>
      </c>
      <c r="F307" s="358">
        <v>2</v>
      </c>
      <c r="G307" s="263">
        <f>E307*F307</f>
        <v>126840</v>
      </c>
      <c r="H307" s="264">
        <f>D307+G307</f>
        <v>126840</v>
      </c>
    </row>
    <row r="308" spans="1:9" x14ac:dyDescent="0.2">
      <c r="A308" s="992"/>
      <c r="B308" s="817">
        <v>53101040600000</v>
      </c>
      <c r="C308" s="818" t="s">
        <v>130</v>
      </c>
      <c r="D308" s="275">
        <v>0</v>
      </c>
      <c r="E308" s="275">
        <v>0</v>
      </c>
      <c r="F308" s="358">
        <v>0</v>
      </c>
      <c r="G308" s="263">
        <f>E308*F308</f>
        <v>0</v>
      </c>
      <c r="H308" s="264">
        <f>D308+G308</f>
        <v>0</v>
      </c>
    </row>
    <row r="309" spans="1:9" x14ac:dyDescent="0.2">
      <c r="A309" s="992"/>
      <c r="B309" s="258"/>
      <c r="C309" s="259" t="s">
        <v>131</v>
      </c>
      <c r="D309" s="260">
        <f>SUM(D310)</f>
        <v>0</v>
      </c>
      <c r="E309" s="279"/>
      <c r="F309" s="279"/>
      <c r="G309" s="279">
        <f>SUM(G310:G310)</f>
        <v>0</v>
      </c>
      <c r="H309" s="260">
        <f>SUM(H310:H310)</f>
        <v>0</v>
      </c>
    </row>
    <row r="310" spans="1:9" x14ac:dyDescent="0.2">
      <c r="A310" s="992"/>
      <c r="B310" s="825">
        <v>53205990000000</v>
      </c>
      <c r="C310" s="818" t="s">
        <v>132</v>
      </c>
      <c r="D310" s="275">
        <v>0</v>
      </c>
      <c r="E310" s="275">
        <v>0</v>
      </c>
      <c r="F310" s="358">
        <v>0</v>
      </c>
      <c r="G310" s="263">
        <f>E310*F310</f>
        <v>0</v>
      </c>
      <c r="H310" s="264">
        <f>D310+G310</f>
        <v>0</v>
      </c>
    </row>
    <row r="311" spans="1:9" x14ac:dyDescent="0.2">
      <c r="A311" s="992"/>
      <c r="B311" s="258"/>
      <c r="C311" s="259" t="s">
        <v>133</v>
      </c>
      <c r="D311" s="260">
        <f>SUM(D312:D319)</f>
        <v>4996650</v>
      </c>
      <c r="E311" s="279"/>
      <c r="F311" s="279"/>
      <c r="G311" s="260">
        <f>SUM(G312:G319)</f>
        <v>1734000</v>
      </c>
      <c r="H311" s="260">
        <f>SUM(H312:H319)</f>
        <v>6730650</v>
      </c>
    </row>
    <row r="312" spans="1:9" x14ac:dyDescent="0.2">
      <c r="A312" s="992"/>
      <c r="B312" s="817">
        <v>53204010000000</v>
      </c>
      <c r="C312" s="818" t="s">
        <v>134</v>
      </c>
      <c r="D312" s="275">
        <v>687050</v>
      </c>
      <c r="E312" s="275">
        <v>0</v>
      </c>
      <c r="F312" s="358">
        <v>0</v>
      </c>
      <c r="G312" s="263">
        <f t="shared" ref="G312:G319" si="49">E312*F312</f>
        <v>0</v>
      </c>
      <c r="H312" s="264">
        <f t="shared" ref="H312:H319" si="50">D312+G312</f>
        <v>687050</v>
      </c>
    </row>
    <row r="313" spans="1:9" x14ac:dyDescent="0.2">
      <c r="A313" s="992"/>
      <c r="B313" s="825">
        <v>53204040200000</v>
      </c>
      <c r="C313" s="818" t="s">
        <v>135</v>
      </c>
      <c r="D313" s="275">
        <v>0</v>
      </c>
      <c r="E313" s="275">
        <v>18000</v>
      </c>
      <c r="F313" s="358">
        <v>3</v>
      </c>
      <c r="G313" s="263">
        <f t="shared" si="49"/>
        <v>54000</v>
      </c>
      <c r="H313" s="264">
        <f t="shared" si="50"/>
        <v>54000</v>
      </c>
    </row>
    <row r="314" spans="1:9" x14ac:dyDescent="0.2">
      <c r="A314" s="992"/>
      <c r="B314" s="817">
        <v>53204060000000</v>
      </c>
      <c r="C314" s="818" t="s">
        <v>136</v>
      </c>
      <c r="D314" s="275">
        <f>'H) Detalle Datos'!J206</f>
        <v>112000</v>
      </c>
      <c r="E314" s="275">
        <v>0</v>
      </c>
      <c r="F314" s="358">
        <v>0</v>
      </c>
      <c r="G314" s="263">
        <f t="shared" si="49"/>
        <v>0</v>
      </c>
      <c r="H314" s="264">
        <f t="shared" si="50"/>
        <v>112000</v>
      </c>
    </row>
    <row r="315" spans="1:9" x14ac:dyDescent="0.2">
      <c r="A315" s="992"/>
      <c r="B315" s="817">
        <v>53204070000000</v>
      </c>
      <c r="C315" s="818" t="s">
        <v>137</v>
      </c>
      <c r="D315" s="283">
        <f>'H) Detalle Datos'!F206</f>
        <v>4197600</v>
      </c>
      <c r="E315" s="283">
        <v>140000</v>
      </c>
      <c r="F315" s="355">
        <v>12</v>
      </c>
      <c r="G315" s="271">
        <f t="shared" si="49"/>
        <v>1680000</v>
      </c>
      <c r="H315" s="272">
        <f t="shared" si="50"/>
        <v>5877600</v>
      </c>
      <c r="I315" s="250" t="s">
        <v>178</v>
      </c>
    </row>
    <row r="316" spans="1:9" x14ac:dyDescent="0.2">
      <c r="A316" s="992"/>
      <c r="B316" s="817">
        <v>53204080000000</v>
      </c>
      <c r="C316" s="818" t="s">
        <v>139</v>
      </c>
      <c r="D316" s="275">
        <v>0</v>
      </c>
      <c r="E316" s="275"/>
      <c r="F316" s="358">
        <v>0</v>
      </c>
      <c r="G316" s="263">
        <f t="shared" si="49"/>
        <v>0</v>
      </c>
      <c r="H316" s="264">
        <f t="shared" si="50"/>
        <v>0</v>
      </c>
      <c r="I316" s="250" t="s">
        <v>807</v>
      </c>
    </row>
    <row r="317" spans="1:9" x14ac:dyDescent="0.2">
      <c r="A317" s="992"/>
      <c r="B317" s="817">
        <v>53214010000000</v>
      </c>
      <c r="C317" s="818" t="s">
        <v>140</v>
      </c>
      <c r="D317" s="266"/>
      <c r="E317" s="266"/>
      <c r="F317" s="357">
        <v>0</v>
      </c>
      <c r="G317" s="263">
        <f t="shared" si="49"/>
        <v>0</v>
      </c>
      <c r="H317" s="264">
        <f t="shared" si="50"/>
        <v>0</v>
      </c>
      <c r="I317" s="250" t="s">
        <v>808</v>
      </c>
    </row>
    <row r="318" spans="1:9" x14ac:dyDescent="0.2">
      <c r="A318" s="992"/>
      <c r="B318" s="817">
        <v>53214040000000</v>
      </c>
      <c r="C318" s="818" t="s">
        <v>141</v>
      </c>
      <c r="D318" s="266">
        <v>0</v>
      </c>
      <c r="E318" s="266">
        <v>0</v>
      </c>
      <c r="F318" s="357">
        <v>0</v>
      </c>
      <c r="G318" s="263">
        <f t="shared" si="49"/>
        <v>0</v>
      </c>
      <c r="H318" s="264">
        <f t="shared" si="50"/>
        <v>0</v>
      </c>
    </row>
    <row r="319" spans="1:9" x14ac:dyDescent="0.2">
      <c r="A319" s="992"/>
      <c r="B319" s="822">
        <v>53204020100000</v>
      </c>
      <c r="C319" s="818" t="s">
        <v>142</v>
      </c>
      <c r="D319" s="275">
        <v>0</v>
      </c>
      <c r="E319" s="275">
        <v>0</v>
      </c>
      <c r="F319" s="358">
        <v>0</v>
      </c>
      <c r="G319" s="263">
        <f t="shared" si="49"/>
        <v>0</v>
      </c>
      <c r="H319" s="264">
        <f t="shared" si="50"/>
        <v>0</v>
      </c>
    </row>
    <row r="320" spans="1:9" x14ac:dyDescent="0.2">
      <c r="A320" s="992"/>
      <c r="B320" s="258"/>
      <c r="C320" s="259" t="s">
        <v>143</v>
      </c>
      <c r="D320" s="260"/>
      <c r="E320" s="279"/>
      <c r="F320" s="279"/>
      <c r="G320" s="260">
        <f>SUM(G321:G328)</f>
        <v>1991844</v>
      </c>
      <c r="H320" s="262">
        <f>SUM(H321:H328)</f>
        <v>3548910</v>
      </c>
    </row>
    <row r="321" spans="1:9" x14ac:dyDescent="0.2">
      <c r="A321" s="992"/>
      <c r="B321" s="817">
        <v>53207010000000</v>
      </c>
      <c r="C321" s="818" t="s">
        <v>144</v>
      </c>
      <c r="D321" s="275">
        <v>0</v>
      </c>
      <c r="E321" s="275">
        <v>0</v>
      </c>
      <c r="F321" s="358">
        <v>0</v>
      </c>
      <c r="G321" s="263">
        <f t="shared" ref="G321:G328" si="51">E321*F321</f>
        <v>0</v>
      </c>
      <c r="H321" s="264">
        <f t="shared" ref="H321:H328" si="52">D321+G321</f>
        <v>0</v>
      </c>
    </row>
    <row r="322" spans="1:9" x14ac:dyDescent="0.2">
      <c r="A322" s="992"/>
      <c r="B322" s="817">
        <v>53207020000000</v>
      </c>
      <c r="C322" s="818" t="s">
        <v>145</v>
      </c>
      <c r="D322" s="275">
        <v>0</v>
      </c>
      <c r="E322" s="275">
        <v>3500</v>
      </c>
      <c r="F322" s="358">
        <v>50</v>
      </c>
      <c r="G322" s="263">
        <f t="shared" si="51"/>
        <v>175000</v>
      </c>
      <c r="H322" s="264">
        <f t="shared" si="52"/>
        <v>175000</v>
      </c>
    </row>
    <row r="323" spans="1:9" x14ac:dyDescent="0.2">
      <c r="A323" s="992"/>
      <c r="B323" s="817">
        <v>53208020000000</v>
      </c>
      <c r="C323" s="818" t="s">
        <v>146</v>
      </c>
      <c r="D323" s="275">
        <v>0</v>
      </c>
      <c r="E323" s="275">
        <f>185000/2</f>
        <v>92500</v>
      </c>
      <c r="F323" s="358">
        <v>12</v>
      </c>
      <c r="G323" s="263">
        <f t="shared" si="51"/>
        <v>1110000</v>
      </c>
      <c r="H323" s="264">
        <f t="shared" si="52"/>
        <v>1110000</v>
      </c>
    </row>
    <row r="324" spans="1:9" x14ac:dyDescent="0.2">
      <c r="A324" s="992"/>
      <c r="B324" s="817">
        <v>53208990000000</v>
      </c>
      <c r="C324" s="818" t="s">
        <v>147</v>
      </c>
      <c r="D324" s="275">
        <v>0</v>
      </c>
      <c r="E324" s="275">
        <v>114341</v>
      </c>
      <c r="F324" s="358">
        <v>4</v>
      </c>
      <c r="G324" s="263">
        <f t="shared" si="51"/>
        <v>457364</v>
      </c>
      <c r="H324" s="264">
        <f t="shared" si="52"/>
        <v>457364</v>
      </c>
    </row>
    <row r="325" spans="1:9" x14ac:dyDescent="0.2">
      <c r="A325" s="992"/>
      <c r="B325" s="822">
        <v>53210020300000</v>
      </c>
      <c r="C325" s="818" t="s">
        <v>148</v>
      </c>
      <c r="D325" s="305">
        <v>0</v>
      </c>
      <c r="E325" s="41">
        <v>7560</v>
      </c>
      <c r="F325" s="359">
        <f>+'B) Reajuste Tarifas y Ocupación'!I48</f>
        <v>33</v>
      </c>
      <c r="G325" s="263">
        <f t="shared" si="51"/>
        <v>249480</v>
      </c>
      <c r="H325" s="264">
        <f t="shared" si="52"/>
        <v>249480</v>
      </c>
    </row>
    <row r="326" spans="1:9" x14ac:dyDescent="0.2">
      <c r="A326" s="992"/>
      <c r="B326" s="817">
        <v>53208990000000</v>
      </c>
      <c r="C326" s="818" t="s">
        <v>149</v>
      </c>
      <c r="D326" s="275">
        <v>0</v>
      </c>
      <c r="E326" s="275">
        <v>0</v>
      </c>
      <c r="F326" s="358">
        <v>0</v>
      </c>
      <c r="G326" s="263">
        <f t="shared" si="51"/>
        <v>0</v>
      </c>
      <c r="H326" s="264">
        <f t="shared" si="52"/>
        <v>0</v>
      </c>
    </row>
    <row r="327" spans="1:9" x14ac:dyDescent="0.2">
      <c r="A327" s="992"/>
      <c r="B327" s="817">
        <v>53209990000000</v>
      </c>
      <c r="C327" s="818" t="s">
        <v>150</v>
      </c>
      <c r="D327" s="275">
        <v>0</v>
      </c>
      <c r="E327" s="275">
        <v>0</v>
      </c>
      <c r="F327" s="358">
        <v>0</v>
      </c>
      <c r="G327" s="263">
        <f t="shared" si="51"/>
        <v>0</v>
      </c>
      <c r="H327" s="264">
        <f t="shared" si="52"/>
        <v>0</v>
      </c>
    </row>
    <row r="328" spans="1:9" x14ac:dyDescent="0.2">
      <c r="A328" s="992"/>
      <c r="B328" s="817">
        <v>53210020100000</v>
      </c>
      <c r="C328" s="818" t="s">
        <v>151</v>
      </c>
      <c r="D328" s="275">
        <v>1557066</v>
      </c>
      <c r="E328" s="275">
        <v>0</v>
      </c>
      <c r="F328" s="358">
        <v>0</v>
      </c>
      <c r="G328" s="263">
        <f t="shared" si="51"/>
        <v>0</v>
      </c>
      <c r="H328" s="264">
        <f t="shared" si="52"/>
        <v>1557066</v>
      </c>
    </row>
    <row r="329" spans="1:9" x14ac:dyDescent="0.2">
      <c r="A329" s="992"/>
      <c r="B329" s="258"/>
      <c r="C329" s="259" t="s">
        <v>152</v>
      </c>
      <c r="D329" s="260">
        <f>SUM(D330:D336)</f>
        <v>255700</v>
      </c>
      <c r="E329" s="279"/>
      <c r="F329" s="279"/>
      <c r="G329" s="260">
        <f>SUM(G330:G336)</f>
        <v>634200</v>
      </c>
      <c r="H329" s="262">
        <f>SUM(H330:H336)</f>
        <v>889900</v>
      </c>
    </row>
    <row r="330" spans="1:9" x14ac:dyDescent="0.2">
      <c r="A330" s="992"/>
      <c r="B330" s="817">
        <v>53206030000000</v>
      </c>
      <c r="C330" s="818" t="s">
        <v>153</v>
      </c>
      <c r="D330" s="275">
        <v>0</v>
      </c>
      <c r="E330" s="275">
        <v>0</v>
      </c>
      <c r="F330" s="358">
        <v>0</v>
      </c>
      <c r="G330" s="263">
        <f t="shared" ref="G330:G336" si="53">E330*F330</f>
        <v>0</v>
      </c>
      <c r="H330" s="264">
        <f t="shared" ref="H330:H336" si="54">D330+G330</f>
        <v>0</v>
      </c>
    </row>
    <row r="331" spans="1:9" x14ac:dyDescent="0.2">
      <c r="A331" s="992"/>
      <c r="B331" s="817">
        <v>53206040000000</v>
      </c>
      <c r="C331" s="818" t="s">
        <v>154</v>
      </c>
      <c r="D331" s="275">
        <v>0</v>
      </c>
      <c r="E331" s="275">
        <v>0</v>
      </c>
      <c r="F331" s="358">
        <v>0</v>
      </c>
      <c r="G331" s="263">
        <f t="shared" si="53"/>
        <v>0</v>
      </c>
      <c r="H331" s="264">
        <f t="shared" si="54"/>
        <v>0</v>
      </c>
    </row>
    <row r="332" spans="1:9" x14ac:dyDescent="0.2">
      <c r="A332" s="992"/>
      <c r="B332" s="817">
        <v>53206060000000</v>
      </c>
      <c r="C332" s="818" t="s">
        <v>155</v>
      </c>
      <c r="D332" s="275"/>
      <c r="E332" s="275">
        <v>0</v>
      </c>
      <c r="F332" s="358">
        <v>0</v>
      </c>
      <c r="G332" s="263">
        <f t="shared" si="53"/>
        <v>0</v>
      </c>
      <c r="H332" s="264">
        <f t="shared" si="54"/>
        <v>0</v>
      </c>
      <c r="I332" s="250" t="s">
        <v>810</v>
      </c>
    </row>
    <row r="333" spans="1:9" x14ac:dyDescent="0.2">
      <c r="A333" s="992"/>
      <c r="B333" s="817">
        <v>53206070000000</v>
      </c>
      <c r="C333" s="818" t="s">
        <v>156</v>
      </c>
      <c r="D333" s="275">
        <v>150000</v>
      </c>
      <c r="E333" s="275">
        <v>0</v>
      </c>
      <c r="F333" s="358">
        <v>0</v>
      </c>
      <c r="G333" s="263">
        <f t="shared" si="53"/>
        <v>0</v>
      </c>
      <c r="H333" s="264">
        <f t="shared" si="54"/>
        <v>150000</v>
      </c>
    </row>
    <row r="334" spans="1:9" x14ac:dyDescent="0.2">
      <c r="A334" s="992"/>
      <c r="B334" s="817">
        <v>53206990000000</v>
      </c>
      <c r="C334" s="818" t="s">
        <v>157</v>
      </c>
      <c r="D334" s="275"/>
      <c r="E334" s="275">
        <v>0</v>
      </c>
      <c r="F334" s="358">
        <v>0</v>
      </c>
      <c r="G334" s="263">
        <f t="shared" si="53"/>
        <v>0</v>
      </c>
      <c r="H334" s="264">
        <f t="shared" si="54"/>
        <v>0</v>
      </c>
    </row>
    <row r="335" spans="1:9" x14ac:dyDescent="0.2">
      <c r="A335" s="992"/>
      <c r="B335" s="817">
        <v>53208030000000</v>
      </c>
      <c r="C335" s="818" t="s">
        <v>158</v>
      </c>
      <c r="D335" s="275">
        <v>0</v>
      </c>
      <c r="E335" s="275">
        <v>63420</v>
      </c>
      <c r="F335" s="358">
        <v>10</v>
      </c>
      <c r="G335" s="263">
        <f t="shared" si="53"/>
        <v>634200</v>
      </c>
      <c r="H335" s="264">
        <f t="shared" si="54"/>
        <v>634200</v>
      </c>
    </row>
    <row r="336" spans="1:9" x14ac:dyDescent="0.2">
      <c r="A336" s="992"/>
      <c r="B336" s="817">
        <v>53206990000000</v>
      </c>
      <c r="C336" s="818" t="s">
        <v>159</v>
      </c>
      <c r="D336" s="275">
        <v>105700</v>
      </c>
      <c r="E336" s="275">
        <v>0</v>
      </c>
      <c r="F336" s="358">
        <v>0</v>
      </c>
      <c r="G336" s="263">
        <f t="shared" si="53"/>
        <v>0</v>
      </c>
      <c r="H336" s="264">
        <f t="shared" si="54"/>
        <v>105700</v>
      </c>
    </row>
    <row r="337" spans="1:10" x14ac:dyDescent="0.2">
      <c r="A337" s="992"/>
      <c r="B337" s="258"/>
      <c r="C337" s="259" t="s">
        <v>160</v>
      </c>
      <c r="D337" s="260">
        <f>SUM(D338:D338)</f>
        <v>0</v>
      </c>
      <c r="E337" s="279"/>
      <c r="F337" s="279"/>
      <c r="G337" s="260">
        <f>SUM(G338:G338)</f>
        <v>330000</v>
      </c>
      <c r="H337" s="262">
        <f>SUM(H338:H338)</f>
        <v>330000</v>
      </c>
    </row>
    <row r="338" spans="1:10" x14ac:dyDescent="0.2">
      <c r="A338" s="992"/>
      <c r="B338" s="826"/>
      <c r="C338" s="827" t="s">
        <v>161</v>
      </c>
      <c r="D338" s="265">
        <v>0</v>
      </c>
      <c r="E338" s="265">
        <v>10000</v>
      </c>
      <c r="F338" s="357">
        <v>33</v>
      </c>
      <c r="G338" s="263">
        <f>E338*F338</f>
        <v>330000</v>
      </c>
      <c r="H338" s="287">
        <f>D338+G338</f>
        <v>330000</v>
      </c>
      <c r="I338" s="306" t="s">
        <v>162</v>
      </c>
      <c r="J338" s="307">
        <f>+H336+H335+H334+H333+H332+H331+H330+H328+H327+H326+H325+H324+H323+H322+H321+H319+H316+H315+H314+H313+H312+H310+H308+H307+H301+H300+H299+H297+H296+H295+H294+H293+H292+H291+H290+H289+H288+H287</f>
        <v>20778041</v>
      </c>
    </row>
    <row r="339" spans="1:10" x14ac:dyDescent="0.2">
      <c r="A339" s="992"/>
      <c r="B339" s="290"/>
      <c r="C339" s="308" t="s">
        <v>163</v>
      </c>
      <c r="D339" s="288">
        <f>SUM(D276,D303)</f>
        <v>80565394.758560002</v>
      </c>
      <c r="E339" s="288"/>
      <c r="F339" s="288"/>
      <c r="G339" s="288">
        <f>SUM(G276,G303)</f>
        <v>20630868</v>
      </c>
      <c r="H339" s="289">
        <f>SUM(H276,H303)</f>
        <v>102753328.75856</v>
      </c>
      <c r="I339" s="309" t="s">
        <v>164</v>
      </c>
      <c r="J339" s="310">
        <f>+H339-J338</f>
        <v>81975287.758560002</v>
      </c>
    </row>
    <row r="340" spans="1:10" ht="12.75" customHeight="1" x14ac:dyDescent="0.2">
      <c r="A340" s="994" t="s">
        <v>165</v>
      </c>
      <c r="B340" s="995" t="s">
        <v>90</v>
      </c>
      <c r="C340" s="996" t="s">
        <v>91</v>
      </c>
      <c r="D340" s="1005" t="s">
        <v>92</v>
      </c>
      <c r="E340" s="1006" t="s">
        <v>93</v>
      </c>
      <c r="F340" s="1006"/>
      <c r="G340" s="1006"/>
      <c r="H340" s="1004" t="s">
        <v>94</v>
      </c>
    </row>
    <row r="341" spans="1:10" ht="25.5" x14ac:dyDescent="0.2">
      <c r="A341" s="994"/>
      <c r="B341" s="995"/>
      <c r="C341" s="996"/>
      <c r="D341" s="1005"/>
      <c r="E341" s="351" t="s">
        <v>95</v>
      </c>
      <c r="F341" s="352" t="s">
        <v>96</v>
      </c>
      <c r="G341" s="790" t="s">
        <v>97</v>
      </c>
      <c r="H341" s="1004"/>
    </row>
    <row r="342" spans="1:10" ht="15.75" customHeight="1" x14ac:dyDescent="0.2">
      <c r="A342" s="992" t="s">
        <v>38</v>
      </c>
      <c r="B342" s="252"/>
      <c r="C342" s="253" t="s">
        <v>98</v>
      </c>
      <c r="D342" s="360">
        <f>+D343+D348</f>
        <v>0</v>
      </c>
      <c r="E342" s="255"/>
      <c r="F342" s="255"/>
      <c r="G342" s="361">
        <f>SUM(G343,G348)</f>
        <v>0</v>
      </c>
      <c r="H342" s="791">
        <f>SUM(H343,H348)</f>
        <v>0</v>
      </c>
    </row>
    <row r="343" spans="1:10" x14ac:dyDescent="0.2">
      <c r="A343" s="992"/>
      <c r="B343" s="258"/>
      <c r="C343" s="259" t="s">
        <v>99</v>
      </c>
      <c r="D343" s="792">
        <f>SUM(D344:D347)</f>
        <v>0</v>
      </c>
      <c r="E343" s="261"/>
      <c r="F343" s="261"/>
      <c r="G343" s="57">
        <f>SUM(G344:G347)</f>
        <v>0</v>
      </c>
      <c r="H343" s="362">
        <f>SUM(H344:H347)</f>
        <v>0</v>
      </c>
    </row>
    <row r="344" spans="1:10" x14ac:dyDescent="0.2">
      <c r="A344" s="992"/>
      <c r="B344" s="817">
        <v>53103040100000</v>
      </c>
      <c r="C344" s="818" t="s">
        <v>100</v>
      </c>
      <c r="D344" s="363">
        <f>+'F) Remuneraciones'!L90</f>
        <v>0</v>
      </c>
      <c r="E344" s="364">
        <v>0</v>
      </c>
      <c r="F344" s="365">
        <v>0</v>
      </c>
      <c r="G344" s="364">
        <f>E344*F344</f>
        <v>0</v>
      </c>
      <c r="H344" s="366">
        <f>D344+G344</f>
        <v>0</v>
      </c>
    </row>
    <row r="345" spans="1:10" x14ac:dyDescent="0.2">
      <c r="A345" s="992"/>
      <c r="B345" s="817">
        <v>53103050000000</v>
      </c>
      <c r="C345" s="818" t="s">
        <v>166</v>
      </c>
      <c r="D345" s="367">
        <v>0</v>
      </c>
      <c r="E345" s="368">
        <v>0</v>
      </c>
      <c r="F345" s="369">
        <v>0</v>
      </c>
      <c r="G345" s="364">
        <f>E345*F345</f>
        <v>0</v>
      </c>
      <c r="H345" s="366">
        <f>D345+G345</f>
        <v>0</v>
      </c>
    </row>
    <row r="346" spans="1:10" x14ac:dyDescent="0.2">
      <c r="A346" s="992"/>
      <c r="B346" s="822">
        <v>53103040400000</v>
      </c>
      <c r="C346" s="823" t="s">
        <v>102</v>
      </c>
      <c r="D346" s="367">
        <v>0</v>
      </c>
      <c r="E346" s="368">
        <v>0</v>
      </c>
      <c r="F346" s="369">
        <v>0</v>
      </c>
      <c r="G346" s="364">
        <f>E346*F346</f>
        <v>0</v>
      </c>
      <c r="H346" s="366">
        <f>D346+G346</f>
        <v>0</v>
      </c>
    </row>
    <row r="347" spans="1:10" x14ac:dyDescent="0.2">
      <c r="A347" s="992"/>
      <c r="B347" s="817">
        <v>53103080010000</v>
      </c>
      <c r="C347" s="818" t="s">
        <v>103</v>
      </c>
      <c r="D347" s="367">
        <v>0</v>
      </c>
      <c r="E347" s="368">
        <v>0</v>
      </c>
      <c r="F347" s="369">
        <v>0</v>
      </c>
      <c r="G347" s="364">
        <f>E347*F347</f>
        <v>0</v>
      </c>
      <c r="H347" s="366">
        <f>D347+G347</f>
        <v>0</v>
      </c>
    </row>
    <row r="348" spans="1:10" x14ac:dyDescent="0.2">
      <c r="A348" s="992"/>
      <c r="B348" s="258"/>
      <c r="C348" s="259" t="s">
        <v>104</v>
      </c>
      <c r="D348" s="792">
        <f>SUM(D349:D368)</f>
        <v>0</v>
      </c>
      <c r="E348" s="261"/>
      <c r="F348" s="261"/>
      <c r="G348" s="792">
        <f>SUM(G349:G368)</f>
        <v>0</v>
      </c>
      <c r="H348" s="362">
        <f>SUM(H349:H368)</f>
        <v>0</v>
      </c>
    </row>
    <row r="349" spans="1:10" x14ac:dyDescent="0.2">
      <c r="A349" s="992"/>
      <c r="B349" s="817">
        <v>53201010100000</v>
      </c>
      <c r="C349" s="818" t="s">
        <v>105</v>
      </c>
      <c r="D349" s="367">
        <v>0</v>
      </c>
      <c r="E349" s="368">
        <v>0</v>
      </c>
      <c r="F349" s="369">
        <v>0</v>
      </c>
      <c r="G349" s="364">
        <f t="shared" ref="G349:G368" si="55">E349*F349</f>
        <v>0</v>
      </c>
      <c r="H349" s="366">
        <f t="shared" ref="H349:H368" si="56">D349+G349</f>
        <v>0</v>
      </c>
    </row>
    <row r="350" spans="1:10" x14ac:dyDescent="0.2">
      <c r="A350" s="992"/>
      <c r="B350" s="817">
        <v>53201010100000</v>
      </c>
      <c r="C350" s="818" t="s">
        <v>106</v>
      </c>
      <c r="D350" s="367">
        <v>0</v>
      </c>
      <c r="E350" s="368">
        <v>0</v>
      </c>
      <c r="F350" s="369">
        <v>0</v>
      </c>
      <c r="G350" s="364">
        <f t="shared" si="55"/>
        <v>0</v>
      </c>
      <c r="H350" s="366">
        <f t="shared" si="56"/>
        <v>0</v>
      </c>
    </row>
    <row r="351" spans="1:10" x14ac:dyDescent="0.2">
      <c r="A351" s="992"/>
      <c r="B351" s="817">
        <v>53201010100000</v>
      </c>
      <c r="C351" s="818" t="s">
        <v>107</v>
      </c>
      <c r="D351" s="367">
        <v>0</v>
      </c>
      <c r="E351" s="368">
        <v>0</v>
      </c>
      <c r="F351" s="369">
        <v>0</v>
      </c>
      <c r="G351" s="364">
        <f t="shared" si="55"/>
        <v>0</v>
      </c>
      <c r="H351" s="366">
        <f t="shared" si="56"/>
        <v>0</v>
      </c>
    </row>
    <row r="352" spans="1:10" x14ac:dyDescent="0.2">
      <c r="A352" s="992"/>
      <c r="B352" s="817">
        <v>53202010100000</v>
      </c>
      <c r="C352" s="818" t="s">
        <v>108</v>
      </c>
      <c r="D352" s="364">
        <f t="shared" ref="D352:D368" si="57">+N212</f>
        <v>0</v>
      </c>
      <c r="E352" s="364">
        <v>0</v>
      </c>
      <c r="F352" s="370">
        <v>0</v>
      </c>
      <c r="G352" s="364">
        <f t="shared" si="55"/>
        <v>0</v>
      </c>
      <c r="H352" s="366">
        <f t="shared" si="56"/>
        <v>0</v>
      </c>
    </row>
    <row r="353" spans="1:8" x14ac:dyDescent="0.2">
      <c r="A353" s="992"/>
      <c r="B353" s="817">
        <v>53203010100000</v>
      </c>
      <c r="C353" s="818" t="s">
        <v>109</v>
      </c>
      <c r="D353" s="364">
        <f t="shared" si="57"/>
        <v>0</v>
      </c>
      <c r="E353" s="364">
        <v>0</v>
      </c>
      <c r="F353" s="370">
        <v>0</v>
      </c>
      <c r="G353" s="364">
        <f t="shared" si="55"/>
        <v>0</v>
      </c>
      <c r="H353" s="366">
        <f t="shared" si="56"/>
        <v>0</v>
      </c>
    </row>
    <row r="354" spans="1:8" x14ac:dyDescent="0.2">
      <c r="A354" s="992"/>
      <c r="B354" s="817">
        <v>53203030000000</v>
      </c>
      <c r="C354" s="818" t="s">
        <v>110</v>
      </c>
      <c r="D354" s="364">
        <f t="shared" si="57"/>
        <v>0</v>
      </c>
      <c r="E354" s="364">
        <v>0</v>
      </c>
      <c r="F354" s="370">
        <v>0</v>
      </c>
      <c r="G354" s="364">
        <f t="shared" si="55"/>
        <v>0</v>
      </c>
      <c r="H354" s="366">
        <f t="shared" si="56"/>
        <v>0</v>
      </c>
    </row>
    <row r="355" spans="1:8" x14ac:dyDescent="0.2">
      <c r="A355" s="992"/>
      <c r="B355" s="817">
        <v>53204030000000</v>
      </c>
      <c r="C355" s="818" t="s">
        <v>111</v>
      </c>
      <c r="D355" s="364">
        <f t="shared" si="57"/>
        <v>0</v>
      </c>
      <c r="E355" s="364">
        <v>0</v>
      </c>
      <c r="F355" s="370">
        <v>0</v>
      </c>
      <c r="G355" s="364">
        <f t="shared" si="55"/>
        <v>0</v>
      </c>
      <c r="H355" s="366">
        <f t="shared" si="56"/>
        <v>0</v>
      </c>
    </row>
    <row r="356" spans="1:8" x14ac:dyDescent="0.2">
      <c r="A356" s="992"/>
      <c r="B356" s="817">
        <v>53204100100001</v>
      </c>
      <c r="C356" s="818" t="s">
        <v>112</v>
      </c>
      <c r="D356" s="364">
        <f t="shared" si="57"/>
        <v>0</v>
      </c>
      <c r="E356" s="364">
        <v>0</v>
      </c>
      <c r="F356" s="370">
        <v>0</v>
      </c>
      <c r="G356" s="364">
        <f t="shared" si="55"/>
        <v>0</v>
      </c>
      <c r="H356" s="366">
        <f t="shared" si="56"/>
        <v>0</v>
      </c>
    </row>
    <row r="357" spans="1:8" x14ac:dyDescent="0.2">
      <c r="A357" s="992"/>
      <c r="B357" s="817">
        <v>53204130100000</v>
      </c>
      <c r="C357" s="818" t="s">
        <v>113</v>
      </c>
      <c r="D357" s="364">
        <f t="shared" si="57"/>
        <v>0</v>
      </c>
      <c r="E357" s="364">
        <v>0</v>
      </c>
      <c r="F357" s="370">
        <v>0</v>
      </c>
      <c r="G357" s="364">
        <f t="shared" si="55"/>
        <v>0</v>
      </c>
      <c r="H357" s="366">
        <f t="shared" si="56"/>
        <v>0</v>
      </c>
    </row>
    <row r="358" spans="1:8" x14ac:dyDescent="0.2">
      <c r="A358" s="992"/>
      <c r="B358" s="817">
        <v>53205010100000</v>
      </c>
      <c r="C358" s="818" t="s">
        <v>114</v>
      </c>
      <c r="D358" s="364">
        <f t="shared" si="57"/>
        <v>0</v>
      </c>
      <c r="E358" s="364">
        <v>0</v>
      </c>
      <c r="F358" s="370">
        <v>0</v>
      </c>
      <c r="G358" s="364">
        <f t="shared" si="55"/>
        <v>0</v>
      </c>
      <c r="H358" s="366">
        <f t="shared" si="56"/>
        <v>0</v>
      </c>
    </row>
    <row r="359" spans="1:8" x14ac:dyDescent="0.2">
      <c r="A359" s="992"/>
      <c r="B359" s="817">
        <v>53205020100000</v>
      </c>
      <c r="C359" s="818" t="s">
        <v>115</v>
      </c>
      <c r="D359" s="364">
        <f t="shared" si="57"/>
        <v>0</v>
      </c>
      <c r="E359" s="364">
        <v>0</v>
      </c>
      <c r="F359" s="370">
        <v>0</v>
      </c>
      <c r="G359" s="364">
        <f t="shared" si="55"/>
        <v>0</v>
      </c>
      <c r="H359" s="366">
        <f t="shared" si="56"/>
        <v>0</v>
      </c>
    </row>
    <row r="360" spans="1:8" x14ac:dyDescent="0.2">
      <c r="A360" s="992"/>
      <c r="B360" s="817">
        <v>53205030100000</v>
      </c>
      <c r="C360" s="818" t="s">
        <v>116</v>
      </c>
      <c r="D360" s="364">
        <f t="shared" si="57"/>
        <v>0</v>
      </c>
      <c r="E360" s="364">
        <v>0</v>
      </c>
      <c r="F360" s="370">
        <v>0</v>
      </c>
      <c r="G360" s="364">
        <f t="shared" si="55"/>
        <v>0</v>
      </c>
      <c r="H360" s="366">
        <f t="shared" si="56"/>
        <v>0</v>
      </c>
    </row>
    <row r="361" spans="1:8" x14ac:dyDescent="0.2">
      <c r="A361" s="992"/>
      <c r="B361" s="817">
        <v>53205050100000</v>
      </c>
      <c r="C361" s="818" t="s">
        <v>117</v>
      </c>
      <c r="D361" s="364">
        <f t="shared" si="57"/>
        <v>0</v>
      </c>
      <c r="E361" s="364">
        <v>0</v>
      </c>
      <c r="F361" s="370">
        <v>0</v>
      </c>
      <c r="G361" s="364">
        <f t="shared" si="55"/>
        <v>0</v>
      </c>
      <c r="H361" s="366">
        <f t="shared" si="56"/>
        <v>0</v>
      </c>
    </row>
    <row r="362" spans="1:8" x14ac:dyDescent="0.2">
      <c r="A362" s="992"/>
      <c r="B362" s="817">
        <v>53205070100000</v>
      </c>
      <c r="C362" s="818" t="s">
        <v>118</v>
      </c>
      <c r="D362" s="364">
        <f t="shared" si="57"/>
        <v>0</v>
      </c>
      <c r="E362" s="364">
        <v>0</v>
      </c>
      <c r="F362" s="370">
        <v>0</v>
      </c>
      <c r="G362" s="364">
        <f t="shared" si="55"/>
        <v>0</v>
      </c>
      <c r="H362" s="366">
        <f t="shared" si="56"/>
        <v>0</v>
      </c>
    </row>
    <row r="363" spans="1:8" x14ac:dyDescent="0.2">
      <c r="A363" s="992"/>
      <c r="B363" s="817">
        <v>53208010100000</v>
      </c>
      <c r="C363" s="818" t="s">
        <v>119</v>
      </c>
      <c r="D363" s="364">
        <f t="shared" si="57"/>
        <v>0</v>
      </c>
      <c r="E363" s="364">
        <v>0</v>
      </c>
      <c r="F363" s="370">
        <v>0</v>
      </c>
      <c r="G363" s="364">
        <f t="shared" si="55"/>
        <v>0</v>
      </c>
      <c r="H363" s="366">
        <f t="shared" si="56"/>
        <v>0</v>
      </c>
    </row>
    <row r="364" spans="1:8" x14ac:dyDescent="0.2">
      <c r="A364" s="992"/>
      <c r="B364" s="817">
        <v>53208070100001</v>
      </c>
      <c r="C364" s="818" t="s">
        <v>120</v>
      </c>
      <c r="D364" s="364">
        <f t="shared" si="57"/>
        <v>0</v>
      </c>
      <c r="E364" s="364">
        <v>0</v>
      </c>
      <c r="F364" s="370">
        <v>0</v>
      </c>
      <c r="G364" s="364">
        <f t="shared" si="55"/>
        <v>0</v>
      </c>
      <c r="H364" s="366">
        <f t="shared" si="56"/>
        <v>0</v>
      </c>
    </row>
    <row r="365" spans="1:8" x14ac:dyDescent="0.2">
      <c r="A365" s="992"/>
      <c r="B365" s="817">
        <v>53208100100001</v>
      </c>
      <c r="C365" s="818" t="s">
        <v>121</v>
      </c>
      <c r="D365" s="364">
        <f t="shared" si="57"/>
        <v>0</v>
      </c>
      <c r="E365" s="364">
        <v>0</v>
      </c>
      <c r="F365" s="370">
        <v>0</v>
      </c>
      <c r="G365" s="364">
        <f t="shared" si="55"/>
        <v>0</v>
      </c>
      <c r="H365" s="366">
        <f t="shared" si="56"/>
        <v>0</v>
      </c>
    </row>
    <row r="366" spans="1:8" x14ac:dyDescent="0.2">
      <c r="A366" s="992"/>
      <c r="B366" s="817">
        <v>53211030000000</v>
      </c>
      <c r="C366" s="818" t="s">
        <v>122</v>
      </c>
      <c r="D366" s="364">
        <f t="shared" si="57"/>
        <v>0</v>
      </c>
      <c r="E366" s="364">
        <v>0</v>
      </c>
      <c r="F366" s="370">
        <v>0</v>
      </c>
      <c r="G366" s="364">
        <f t="shared" si="55"/>
        <v>0</v>
      </c>
      <c r="H366" s="366">
        <f t="shared" si="56"/>
        <v>0</v>
      </c>
    </row>
    <row r="367" spans="1:8" x14ac:dyDescent="0.2">
      <c r="A367" s="992"/>
      <c r="B367" s="817">
        <v>53212020100000</v>
      </c>
      <c r="C367" s="818" t="s">
        <v>123</v>
      </c>
      <c r="D367" s="364">
        <f t="shared" si="57"/>
        <v>0</v>
      </c>
      <c r="E367" s="364">
        <v>0</v>
      </c>
      <c r="F367" s="370">
        <v>0</v>
      </c>
      <c r="G367" s="364">
        <f t="shared" si="55"/>
        <v>0</v>
      </c>
      <c r="H367" s="366">
        <f t="shared" si="56"/>
        <v>0</v>
      </c>
    </row>
    <row r="368" spans="1:8" ht="15.75" customHeight="1" x14ac:dyDescent="0.2">
      <c r="A368" s="992"/>
      <c r="B368" s="817">
        <v>53214020000000</v>
      </c>
      <c r="C368" s="818" t="s">
        <v>124</v>
      </c>
      <c r="D368" s="364">
        <f t="shared" si="57"/>
        <v>0</v>
      </c>
      <c r="E368" s="364">
        <v>0</v>
      </c>
      <c r="F368" s="370">
        <v>0</v>
      </c>
      <c r="G368" s="364">
        <f t="shared" si="55"/>
        <v>0</v>
      </c>
      <c r="H368" s="366">
        <f t="shared" si="56"/>
        <v>0</v>
      </c>
    </row>
    <row r="369" spans="1:8" x14ac:dyDescent="0.2">
      <c r="A369" s="992"/>
      <c r="B369" s="252"/>
      <c r="C369" s="253" t="s">
        <v>125</v>
      </c>
      <c r="D369" s="371">
        <v>0</v>
      </c>
      <c r="E369" s="255"/>
      <c r="F369" s="255"/>
      <c r="G369" s="360">
        <f>SUM(G370,G375,G377,G386,G395,G403)</f>
        <v>0</v>
      </c>
      <c r="H369" s="371">
        <f>SUM(H370,H375,H377,H386,H395,H403)</f>
        <v>0</v>
      </c>
    </row>
    <row r="370" spans="1:8" x14ac:dyDescent="0.2">
      <c r="A370" s="992"/>
      <c r="B370" s="258"/>
      <c r="C370" s="259" t="s">
        <v>126</v>
      </c>
      <c r="D370" s="792">
        <f>SUM(D371:D374)</f>
        <v>0</v>
      </c>
      <c r="E370" s="261"/>
      <c r="F370" s="261"/>
      <c r="G370" s="792">
        <f>SUM(G371:G374)</f>
        <v>0</v>
      </c>
      <c r="H370" s="792">
        <f>SUM(H371:H374)</f>
        <v>0</v>
      </c>
    </row>
    <row r="371" spans="1:8" x14ac:dyDescent="0.2">
      <c r="A371" s="992"/>
      <c r="B371" s="817">
        <v>53202020100000</v>
      </c>
      <c r="C371" s="818" t="s">
        <v>127</v>
      </c>
      <c r="D371" s="367">
        <v>0</v>
      </c>
      <c r="E371" s="368">
        <v>0</v>
      </c>
      <c r="F371" s="372">
        <v>0</v>
      </c>
      <c r="G371" s="364">
        <f>E371*F371</f>
        <v>0</v>
      </c>
      <c r="H371" s="366">
        <f>D371+G371</f>
        <v>0</v>
      </c>
    </row>
    <row r="372" spans="1:8" x14ac:dyDescent="0.2">
      <c r="A372" s="992"/>
      <c r="B372" s="817">
        <v>53202030000000</v>
      </c>
      <c r="C372" s="818" t="s">
        <v>128</v>
      </c>
      <c r="D372" s="367">
        <v>0</v>
      </c>
      <c r="E372" s="368">
        <v>0</v>
      </c>
      <c r="F372" s="372">
        <v>0</v>
      </c>
      <c r="G372" s="364">
        <f>E372*F372</f>
        <v>0</v>
      </c>
      <c r="H372" s="366">
        <f>D372+G372</f>
        <v>0</v>
      </c>
    </row>
    <row r="373" spans="1:8" x14ac:dyDescent="0.2">
      <c r="A373" s="992"/>
      <c r="B373" s="817">
        <v>53211020000000</v>
      </c>
      <c r="C373" s="818" t="s">
        <v>129</v>
      </c>
      <c r="D373" s="364">
        <f>+N231</f>
        <v>0</v>
      </c>
      <c r="E373" s="364">
        <v>0</v>
      </c>
      <c r="F373" s="373">
        <v>0</v>
      </c>
      <c r="G373" s="364">
        <f>E373*F373</f>
        <v>0</v>
      </c>
      <c r="H373" s="366">
        <f>D373+G373</f>
        <v>0</v>
      </c>
    </row>
    <row r="374" spans="1:8" x14ac:dyDescent="0.2">
      <c r="A374" s="992"/>
      <c r="B374" s="817">
        <v>53101040600000</v>
      </c>
      <c r="C374" s="818" t="s">
        <v>130</v>
      </c>
      <c r="D374" s="364">
        <f>+N232</f>
        <v>0</v>
      </c>
      <c r="E374" s="364">
        <v>0</v>
      </c>
      <c r="F374" s="373">
        <v>0</v>
      </c>
      <c r="G374" s="364">
        <f>E374*F374</f>
        <v>0</v>
      </c>
      <c r="H374" s="366">
        <f>D374+G374</f>
        <v>0</v>
      </c>
    </row>
    <row r="375" spans="1:8" x14ac:dyDescent="0.2">
      <c r="A375" s="992"/>
      <c r="B375" s="258"/>
      <c r="C375" s="259" t="s">
        <v>131</v>
      </c>
      <c r="D375" s="792">
        <f>SUM(D376)</f>
        <v>0</v>
      </c>
      <c r="E375" s="261"/>
      <c r="F375" s="261"/>
      <c r="G375" s="374">
        <f>SUM(G376:G376)</f>
        <v>0</v>
      </c>
      <c r="H375" s="792">
        <f>SUM(H376:H376)</f>
        <v>0</v>
      </c>
    </row>
    <row r="376" spans="1:8" x14ac:dyDescent="0.2">
      <c r="A376" s="992"/>
      <c r="B376" s="825">
        <v>53205990000000</v>
      </c>
      <c r="C376" s="818" t="s">
        <v>132</v>
      </c>
      <c r="D376" s="364">
        <f>+N234</f>
        <v>0</v>
      </c>
      <c r="E376" s="364">
        <v>0</v>
      </c>
      <c r="F376" s="373">
        <v>0</v>
      </c>
      <c r="G376" s="364">
        <f>E376*F376</f>
        <v>0</v>
      </c>
      <c r="H376" s="366">
        <f>D376+G376</f>
        <v>0</v>
      </c>
    </row>
    <row r="377" spans="1:8" x14ac:dyDescent="0.2">
      <c r="A377" s="992"/>
      <c r="B377" s="258"/>
      <c r="C377" s="259" t="s">
        <v>133</v>
      </c>
      <c r="D377" s="792">
        <f>SUM(D378:D385)</f>
        <v>0</v>
      </c>
      <c r="E377" s="261"/>
      <c r="F377" s="261"/>
      <c r="G377" s="792">
        <f>SUM(G378:G385)</f>
        <v>0</v>
      </c>
      <c r="H377" s="792">
        <f>SUM(H378:H385)</f>
        <v>0</v>
      </c>
    </row>
    <row r="378" spans="1:8" x14ac:dyDescent="0.2">
      <c r="A378" s="992"/>
      <c r="B378" s="817">
        <v>53204010000000</v>
      </c>
      <c r="C378" s="818" t="s">
        <v>134</v>
      </c>
      <c r="D378" s="364">
        <f>+N236</f>
        <v>0</v>
      </c>
      <c r="E378" s="364">
        <v>0</v>
      </c>
      <c r="F378" s="373">
        <v>0</v>
      </c>
      <c r="G378" s="364">
        <f t="shared" ref="G378:G385" si="58">E378*F378</f>
        <v>0</v>
      </c>
      <c r="H378" s="366">
        <f t="shared" ref="H378:H385" si="59">D378+G378</f>
        <v>0</v>
      </c>
    </row>
    <row r="379" spans="1:8" x14ac:dyDescent="0.2">
      <c r="A379" s="992"/>
      <c r="B379" s="825">
        <v>53204040200000</v>
      </c>
      <c r="C379" s="818" t="s">
        <v>135</v>
      </c>
      <c r="D379" s="364">
        <f t="shared" ref="D379:D385" si="60">+M303</f>
        <v>0</v>
      </c>
      <c r="E379" s="364">
        <v>0</v>
      </c>
      <c r="F379" s="373">
        <v>0</v>
      </c>
      <c r="G379" s="364">
        <f t="shared" si="58"/>
        <v>0</v>
      </c>
      <c r="H379" s="366">
        <f t="shared" si="59"/>
        <v>0</v>
      </c>
    </row>
    <row r="380" spans="1:8" x14ac:dyDescent="0.2">
      <c r="A380" s="992"/>
      <c r="B380" s="817">
        <v>53204060000000</v>
      </c>
      <c r="C380" s="818" t="s">
        <v>136</v>
      </c>
      <c r="D380" s="364">
        <f t="shared" si="60"/>
        <v>0</v>
      </c>
      <c r="E380" s="364">
        <v>0</v>
      </c>
      <c r="F380" s="373">
        <v>0</v>
      </c>
      <c r="G380" s="364">
        <f t="shared" si="58"/>
        <v>0</v>
      </c>
      <c r="H380" s="366">
        <f t="shared" si="59"/>
        <v>0</v>
      </c>
    </row>
    <row r="381" spans="1:8" x14ac:dyDescent="0.2">
      <c r="A381" s="992"/>
      <c r="B381" s="817">
        <v>53204070000000</v>
      </c>
      <c r="C381" s="818" t="s">
        <v>137</v>
      </c>
      <c r="D381" s="364">
        <f t="shared" si="60"/>
        <v>0</v>
      </c>
      <c r="E381" s="364">
        <v>0</v>
      </c>
      <c r="F381" s="373">
        <v>0</v>
      </c>
      <c r="G381" s="364">
        <f t="shared" si="58"/>
        <v>0</v>
      </c>
      <c r="H381" s="366">
        <f t="shared" si="59"/>
        <v>0</v>
      </c>
    </row>
    <row r="382" spans="1:8" x14ac:dyDescent="0.2">
      <c r="A382" s="992"/>
      <c r="B382" s="817">
        <v>53204080000000</v>
      </c>
      <c r="C382" s="818" t="s">
        <v>139</v>
      </c>
      <c r="D382" s="364">
        <f t="shared" si="60"/>
        <v>0</v>
      </c>
      <c r="E382" s="364">
        <v>0</v>
      </c>
      <c r="F382" s="373">
        <v>0</v>
      </c>
      <c r="G382" s="364">
        <f t="shared" si="58"/>
        <v>0</v>
      </c>
      <c r="H382" s="366">
        <f t="shared" si="59"/>
        <v>0</v>
      </c>
    </row>
    <row r="383" spans="1:8" x14ac:dyDescent="0.2">
      <c r="A383" s="992"/>
      <c r="B383" s="817">
        <v>53214010000000</v>
      </c>
      <c r="C383" s="818" t="s">
        <v>140</v>
      </c>
      <c r="D383" s="364">
        <f t="shared" si="60"/>
        <v>0</v>
      </c>
      <c r="E383" s="364">
        <v>0</v>
      </c>
      <c r="F383" s="373">
        <v>0</v>
      </c>
      <c r="G383" s="364">
        <f t="shared" si="58"/>
        <v>0</v>
      </c>
      <c r="H383" s="366">
        <f t="shared" si="59"/>
        <v>0</v>
      </c>
    </row>
    <row r="384" spans="1:8" x14ac:dyDescent="0.2">
      <c r="A384" s="992"/>
      <c r="B384" s="817">
        <v>53214040000000</v>
      </c>
      <c r="C384" s="818" t="s">
        <v>141</v>
      </c>
      <c r="D384" s="364">
        <f t="shared" si="60"/>
        <v>0</v>
      </c>
      <c r="E384" s="364">
        <v>0</v>
      </c>
      <c r="F384" s="373">
        <v>0</v>
      </c>
      <c r="G384" s="364">
        <f t="shared" si="58"/>
        <v>0</v>
      </c>
      <c r="H384" s="366">
        <f t="shared" si="59"/>
        <v>0</v>
      </c>
    </row>
    <row r="385" spans="1:8" x14ac:dyDescent="0.2">
      <c r="A385" s="992"/>
      <c r="B385" s="822">
        <v>53204020100000</v>
      </c>
      <c r="C385" s="818" t="s">
        <v>142</v>
      </c>
      <c r="D385" s="364">
        <f t="shared" si="60"/>
        <v>0</v>
      </c>
      <c r="E385" s="364">
        <v>0</v>
      </c>
      <c r="F385" s="373">
        <v>0</v>
      </c>
      <c r="G385" s="364">
        <f t="shared" si="58"/>
        <v>0</v>
      </c>
      <c r="H385" s="366">
        <f t="shared" si="59"/>
        <v>0</v>
      </c>
    </row>
    <row r="386" spans="1:8" x14ac:dyDescent="0.2">
      <c r="A386" s="992"/>
      <c r="B386" s="258"/>
      <c r="C386" s="259" t="s">
        <v>143</v>
      </c>
      <c r="D386" s="792"/>
      <c r="E386" s="261"/>
      <c r="F386" s="261"/>
      <c r="G386" s="792">
        <f>SUM(G387:G394)</f>
        <v>0</v>
      </c>
      <c r="H386" s="362">
        <f>SUM(H387:H394)</f>
        <v>0</v>
      </c>
    </row>
    <row r="387" spans="1:8" x14ac:dyDescent="0.2">
      <c r="A387" s="992"/>
      <c r="B387" s="817">
        <v>53207010000000</v>
      </c>
      <c r="C387" s="818" t="s">
        <v>144</v>
      </c>
      <c r="D387" s="364">
        <f>+N245</f>
        <v>0</v>
      </c>
      <c r="E387" s="364">
        <v>0</v>
      </c>
      <c r="F387" s="373">
        <v>0</v>
      </c>
      <c r="G387" s="364">
        <f t="shared" ref="G387:G394" si="61">E387*F387</f>
        <v>0</v>
      </c>
      <c r="H387" s="366">
        <f t="shared" ref="H387:H394" si="62">D387+G387</f>
        <v>0</v>
      </c>
    </row>
    <row r="388" spans="1:8" x14ac:dyDescent="0.2">
      <c r="A388" s="992"/>
      <c r="B388" s="817">
        <v>53207020000000</v>
      </c>
      <c r="C388" s="818" t="s">
        <v>145</v>
      </c>
      <c r="D388" s="364">
        <f>+M312</f>
        <v>0</v>
      </c>
      <c r="E388" s="364">
        <v>0</v>
      </c>
      <c r="F388" s="373">
        <v>0</v>
      </c>
      <c r="G388" s="364">
        <f t="shared" si="61"/>
        <v>0</v>
      </c>
      <c r="H388" s="366">
        <f t="shared" si="62"/>
        <v>0</v>
      </c>
    </row>
    <row r="389" spans="1:8" x14ac:dyDescent="0.2">
      <c r="A389" s="992"/>
      <c r="B389" s="817">
        <v>53208020000000</v>
      </c>
      <c r="C389" s="818" t="s">
        <v>146</v>
      </c>
      <c r="D389" s="364">
        <f>+M313</f>
        <v>0</v>
      </c>
      <c r="E389" s="364">
        <v>0</v>
      </c>
      <c r="F389" s="373">
        <v>0</v>
      </c>
      <c r="G389" s="364">
        <f t="shared" si="61"/>
        <v>0</v>
      </c>
      <c r="H389" s="366">
        <f t="shared" si="62"/>
        <v>0</v>
      </c>
    </row>
    <row r="390" spans="1:8" x14ac:dyDescent="0.2">
      <c r="A390" s="992"/>
      <c r="B390" s="817">
        <v>53208990000000</v>
      </c>
      <c r="C390" s="818" t="s">
        <v>147</v>
      </c>
      <c r="D390" s="364">
        <f>+M314</f>
        <v>0</v>
      </c>
      <c r="E390" s="364">
        <v>0</v>
      </c>
      <c r="F390" s="373">
        <v>0</v>
      </c>
      <c r="G390" s="364">
        <f t="shared" si="61"/>
        <v>0</v>
      </c>
      <c r="H390" s="366">
        <f t="shared" si="62"/>
        <v>0</v>
      </c>
    </row>
    <row r="391" spans="1:8" x14ac:dyDescent="0.2">
      <c r="A391" s="992"/>
      <c r="B391" s="822">
        <v>53210020300000</v>
      </c>
      <c r="C391" s="818" t="s">
        <v>148</v>
      </c>
      <c r="D391" s="375">
        <v>0</v>
      </c>
      <c r="E391" s="375">
        <v>0</v>
      </c>
      <c r="F391" s="376">
        <v>0</v>
      </c>
      <c r="G391" s="364">
        <f t="shared" si="61"/>
        <v>0</v>
      </c>
      <c r="H391" s="366">
        <f t="shared" si="62"/>
        <v>0</v>
      </c>
    </row>
    <row r="392" spans="1:8" x14ac:dyDescent="0.2">
      <c r="A392" s="992"/>
      <c r="B392" s="817">
        <v>53208990000000</v>
      </c>
      <c r="C392" s="818" t="s">
        <v>149</v>
      </c>
      <c r="D392" s="364">
        <f>+N249</f>
        <v>0</v>
      </c>
      <c r="E392" s="364">
        <v>0</v>
      </c>
      <c r="F392" s="373">
        <v>0</v>
      </c>
      <c r="G392" s="364">
        <f t="shared" si="61"/>
        <v>0</v>
      </c>
      <c r="H392" s="366">
        <f t="shared" si="62"/>
        <v>0</v>
      </c>
    </row>
    <row r="393" spans="1:8" x14ac:dyDescent="0.2">
      <c r="A393" s="992"/>
      <c r="B393" s="817">
        <v>53209990000000</v>
      </c>
      <c r="C393" s="818" t="s">
        <v>150</v>
      </c>
      <c r="D393" s="364">
        <f>+N250</f>
        <v>0</v>
      </c>
      <c r="E393" s="364">
        <v>0</v>
      </c>
      <c r="F393" s="373">
        <v>0</v>
      </c>
      <c r="G393" s="364">
        <f t="shared" si="61"/>
        <v>0</v>
      </c>
      <c r="H393" s="366">
        <f t="shared" si="62"/>
        <v>0</v>
      </c>
    </row>
    <row r="394" spans="1:8" x14ac:dyDescent="0.2">
      <c r="A394" s="992"/>
      <c r="B394" s="817">
        <v>53210020100000</v>
      </c>
      <c r="C394" s="818" t="s">
        <v>151</v>
      </c>
      <c r="D394" s="364">
        <f>+N251</f>
        <v>0</v>
      </c>
      <c r="E394" s="364">
        <v>0</v>
      </c>
      <c r="F394" s="373">
        <v>0</v>
      </c>
      <c r="G394" s="364">
        <f t="shared" si="61"/>
        <v>0</v>
      </c>
      <c r="H394" s="366">
        <f t="shared" si="62"/>
        <v>0</v>
      </c>
    </row>
    <row r="395" spans="1:8" x14ac:dyDescent="0.2">
      <c r="A395" s="992"/>
      <c r="B395" s="258"/>
      <c r="C395" s="259" t="s">
        <v>152</v>
      </c>
      <c r="D395" s="792">
        <f>SUM(D396:D402)</f>
        <v>0</v>
      </c>
      <c r="E395" s="261"/>
      <c r="F395" s="261"/>
      <c r="G395" s="792">
        <f>SUM(G396:G402)</f>
        <v>0</v>
      </c>
      <c r="H395" s="362">
        <f>SUM(H396:H402)</f>
        <v>0</v>
      </c>
    </row>
    <row r="396" spans="1:8" x14ac:dyDescent="0.2">
      <c r="A396" s="992"/>
      <c r="B396" s="817">
        <v>53206030000000</v>
      </c>
      <c r="C396" s="818" t="s">
        <v>153</v>
      </c>
      <c r="D396" s="364">
        <f t="shared" ref="D396:D402" si="63">+N253</f>
        <v>0</v>
      </c>
      <c r="E396" s="364">
        <v>0</v>
      </c>
      <c r="F396" s="373">
        <v>0</v>
      </c>
      <c r="G396" s="364">
        <f t="shared" ref="G396:G402" si="64">E396*F396</f>
        <v>0</v>
      </c>
      <c r="H396" s="366">
        <f t="shared" ref="H396:H402" si="65">D396+G396</f>
        <v>0</v>
      </c>
    </row>
    <row r="397" spans="1:8" x14ac:dyDescent="0.2">
      <c r="A397" s="992"/>
      <c r="B397" s="817">
        <v>53206040000000</v>
      </c>
      <c r="C397" s="818" t="s">
        <v>154</v>
      </c>
      <c r="D397" s="364">
        <f t="shared" si="63"/>
        <v>0</v>
      </c>
      <c r="E397" s="364">
        <v>0</v>
      </c>
      <c r="F397" s="373">
        <v>0</v>
      </c>
      <c r="G397" s="364">
        <f t="shared" si="64"/>
        <v>0</v>
      </c>
      <c r="H397" s="366">
        <f t="shared" si="65"/>
        <v>0</v>
      </c>
    </row>
    <row r="398" spans="1:8" x14ac:dyDescent="0.2">
      <c r="A398" s="992"/>
      <c r="B398" s="817">
        <v>53206060000000</v>
      </c>
      <c r="C398" s="818" t="s">
        <v>155</v>
      </c>
      <c r="D398" s="364">
        <f t="shared" si="63"/>
        <v>0</v>
      </c>
      <c r="E398" s="364">
        <v>0</v>
      </c>
      <c r="F398" s="373">
        <v>0</v>
      </c>
      <c r="G398" s="364">
        <f t="shared" si="64"/>
        <v>0</v>
      </c>
      <c r="H398" s="366">
        <f t="shared" si="65"/>
        <v>0</v>
      </c>
    </row>
    <row r="399" spans="1:8" x14ac:dyDescent="0.2">
      <c r="A399" s="992"/>
      <c r="B399" s="817">
        <v>53206070000000</v>
      </c>
      <c r="C399" s="818" t="s">
        <v>156</v>
      </c>
      <c r="D399" s="364">
        <f t="shared" si="63"/>
        <v>0</v>
      </c>
      <c r="E399" s="364">
        <v>0</v>
      </c>
      <c r="F399" s="373">
        <v>0</v>
      </c>
      <c r="G399" s="364">
        <f t="shared" si="64"/>
        <v>0</v>
      </c>
      <c r="H399" s="366">
        <f t="shared" si="65"/>
        <v>0</v>
      </c>
    </row>
    <row r="400" spans="1:8" x14ac:dyDescent="0.2">
      <c r="A400" s="992"/>
      <c r="B400" s="817">
        <v>53206990000000</v>
      </c>
      <c r="C400" s="818" t="s">
        <v>157</v>
      </c>
      <c r="D400" s="364">
        <f t="shared" si="63"/>
        <v>0</v>
      </c>
      <c r="E400" s="364">
        <v>0</v>
      </c>
      <c r="F400" s="373">
        <v>0</v>
      </c>
      <c r="G400" s="364">
        <f t="shared" si="64"/>
        <v>0</v>
      </c>
      <c r="H400" s="366">
        <f t="shared" si="65"/>
        <v>0</v>
      </c>
    </row>
    <row r="401" spans="1:15" x14ac:dyDescent="0.2">
      <c r="A401" s="992"/>
      <c r="B401" s="817">
        <v>53208030000000</v>
      </c>
      <c r="C401" s="818" t="s">
        <v>158</v>
      </c>
      <c r="D401" s="364">
        <f t="shared" si="63"/>
        <v>0</v>
      </c>
      <c r="E401" s="364">
        <v>0</v>
      </c>
      <c r="F401" s="373">
        <v>0</v>
      </c>
      <c r="G401" s="364">
        <f t="shared" si="64"/>
        <v>0</v>
      </c>
      <c r="H401" s="366">
        <f t="shared" si="65"/>
        <v>0</v>
      </c>
    </row>
    <row r="402" spans="1:15" x14ac:dyDescent="0.2">
      <c r="A402" s="992"/>
      <c r="B402" s="817">
        <v>53206990000000</v>
      </c>
      <c r="C402" s="818" t="s">
        <v>159</v>
      </c>
      <c r="D402" s="364">
        <f t="shared" si="63"/>
        <v>0</v>
      </c>
      <c r="E402" s="364">
        <v>0</v>
      </c>
      <c r="F402" s="373">
        <v>0</v>
      </c>
      <c r="G402" s="364">
        <f t="shared" si="64"/>
        <v>0</v>
      </c>
      <c r="H402" s="366">
        <f t="shared" si="65"/>
        <v>0</v>
      </c>
    </row>
    <row r="403" spans="1:15" x14ac:dyDescent="0.2">
      <c r="A403" s="992"/>
      <c r="B403" s="258"/>
      <c r="C403" s="259" t="s">
        <v>160</v>
      </c>
      <c r="D403" s="792">
        <f>SUM(D404:D404)</f>
        <v>0</v>
      </c>
      <c r="E403" s="261"/>
      <c r="F403" s="261"/>
      <c r="G403" s="792">
        <f>SUM(G404:G404)</f>
        <v>0</v>
      </c>
      <c r="H403" s="362">
        <f>SUM(H404:H404)</f>
        <v>0</v>
      </c>
    </row>
    <row r="404" spans="1:15" x14ac:dyDescent="0.2">
      <c r="A404" s="992"/>
      <c r="B404" s="826"/>
      <c r="C404" s="827" t="s">
        <v>161</v>
      </c>
      <c r="D404" s="367">
        <v>0</v>
      </c>
      <c r="E404" s="367">
        <v>0</v>
      </c>
      <c r="F404" s="372">
        <v>0</v>
      </c>
      <c r="G404" s="364">
        <f>E404*F404</f>
        <v>0</v>
      </c>
      <c r="H404" s="377">
        <f>D404+G404</f>
        <v>0</v>
      </c>
      <c r="I404" s="306" t="s">
        <v>162</v>
      </c>
      <c r="J404" s="307">
        <f>+H402+H401+H400+H399+H398+H397+H396+H394+H393+H392+H391+H390+H389+H388+H387+H385+H382+H381+H380+H379+H378+H376+H374+H373+H367+H366+H365+H363+H362+H361+H360+H359+H358+H357+H356+H355+H354+H353</f>
        <v>0</v>
      </c>
    </row>
    <row r="405" spans="1:15" x14ac:dyDescent="0.2">
      <c r="A405" s="992"/>
      <c r="B405" s="290"/>
      <c r="C405" s="308" t="s">
        <v>163</v>
      </c>
      <c r="D405" s="378">
        <f>SUM(D342,D369)</f>
        <v>0</v>
      </c>
      <c r="E405" s="379"/>
      <c r="F405" s="379"/>
      <c r="G405" s="378">
        <f>SUM(G342,G369)</f>
        <v>0</v>
      </c>
      <c r="H405" s="380">
        <f>SUM(H342,H369)</f>
        <v>0</v>
      </c>
      <c r="I405" s="309" t="s">
        <v>164</v>
      </c>
      <c r="J405" s="310">
        <f>+H405-J404</f>
        <v>0</v>
      </c>
    </row>
    <row r="406" spans="1:15" ht="12.75" customHeight="1" x14ac:dyDescent="0.2">
      <c r="A406" s="994" t="s">
        <v>165</v>
      </c>
      <c r="B406" s="995" t="s">
        <v>90</v>
      </c>
      <c r="C406" s="996" t="s">
        <v>91</v>
      </c>
      <c r="D406" s="997" t="s">
        <v>92</v>
      </c>
      <c r="E406" s="998" t="s">
        <v>93</v>
      </c>
      <c r="F406" s="998"/>
      <c r="G406" s="998"/>
      <c r="H406" s="991" t="s">
        <v>94</v>
      </c>
      <c r="K406" s="1003" t="s">
        <v>179</v>
      </c>
      <c r="L406" s="999" t="s">
        <v>170</v>
      </c>
      <c r="M406" s="999" t="s">
        <v>180</v>
      </c>
      <c r="N406" s="999" t="s">
        <v>181</v>
      </c>
    </row>
    <row r="407" spans="1:15" ht="25.5" x14ac:dyDescent="0.2">
      <c r="A407" s="994"/>
      <c r="B407" s="995"/>
      <c r="C407" s="996"/>
      <c r="D407" s="997"/>
      <c r="E407" s="38" t="s">
        <v>95</v>
      </c>
      <c r="F407" s="251" t="s">
        <v>96</v>
      </c>
      <c r="G407" s="789" t="s">
        <v>97</v>
      </c>
      <c r="H407" s="991"/>
      <c r="K407" s="1003"/>
      <c r="L407" s="999"/>
      <c r="M407" s="999"/>
      <c r="N407" s="999"/>
    </row>
    <row r="408" spans="1:15" ht="15.75" customHeight="1" x14ac:dyDescent="0.2">
      <c r="A408" s="992" t="s">
        <v>39</v>
      </c>
      <c r="B408" s="252"/>
      <c r="C408" s="253" t="s">
        <v>98</v>
      </c>
      <c r="D408" s="254">
        <f>+D409+D414</f>
        <v>127168549.05184001</v>
      </c>
      <c r="E408" s="295"/>
      <c r="F408" s="295"/>
      <c r="G408" s="256">
        <f>SUM(G409,G414)</f>
        <v>20929920</v>
      </c>
      <c r="H408" s="257">
        <f>SUM(H409,H414)</f>
        <v>148098469.05184001</v>
      </c>
      <c r="K408" s="1000" t="s">
        <v>98</v>
      </c>
      <c r="L408" s="1000"/>
      <c r="M408" s="1000"/>
      <c r="N408" s="1000"/>
    </row>
    <row r="409" spans="1:15" x14ac:dyDescent="0.2">
      <c r="A409" s="992"/>
      <c r="B409" s="258"/>
      <c r="C409" s="259" t="s">
        <v>99</v>
      </c>
      <c r="D409" s="260">
        <f>SUM(D410:D413)</f>
        <v>117948392.65184</v>
      </c>
      <c r="E409" s="261"/>
      <c r="F409" s="261"/>
      <c r="G409" s="46">
        <f>SUM(G410:G413)</f>
        <v>0</v>
      </c>
      <c r="H409" s="262">
        <f>SUM(H410:H413)</f>
        <v>117948392.65184</v>
      </c>
      <c r="K409" s="259" t="s">
        <v>104</v>
      </c>
      <c r="L409" s="1001"/>
      <c r="M409" s="1001"/>
      <c r="N409" s="1001"/>
    </row>
    <row r="410" spans="1:15" x14ac:dyDescent="0.2">
      <c r="A410" s="992"/>
      <c r="B410" s="817">
        <v>53103040100000</v>
      </c>
      <c r="C410" s="818" t="s">
        <v>100</v>
      </c>
      <c r="D410" s="298">
        <f>+'F) Remuneraciones'!L105</f>
        <v>116780586.78399999</v>
      </c>
      <c r="E410" s="263">
        <v>0</v>
      </c>
      <c r="F410" s="829">
        <v>0</v>
      </c>
      <c r="G410" s="263">
        <f>E410*F410</f>
        <v>0</v>
      </c>
      <c r="H410" s="264">
        <f>D410+G410</f>
        <v>116780586.78399999</v>
      </c>
      <c r="K410" s="832" t="s">
        <v>108</v>
      </c>
      <c r="L410" s="381">
        <v>0</v>
      </c>
      <c r="M410" s="382">
        <f t="shared" ref="M410:M426" si="66">+L410*0.7</f>
        <v>0</v>
      </c>
      <c r="N410" s="382">
        <f t="shared" ref="N410:N426" si="67">+L410*0.3</f>
        <v>0</v>
      </c>
    </row>
    <row r="411" spans="1:15" x14ac:dyDescent="0.2">
      <c r="A411" s="992"/>
      <c r="B411" s="817">
        <v>53103050000000</v>
      </c>
      <c r="C411" s="818" t="s">
        <v>166</v>
      </c>
      <c r="D411" s="265">
        <v>0</v>
      </c>
      <c r="E411" s="266">
        <v>0</v>
      </c>
      <c r="F411" s="267">
        <v>0</v>
      </c>
      <c r="G411" s="263">
        <f>E411*F411</f>
        <v>0</v>
      </c>
      <c r="H411" s="264">
        <f>D411+G411</f>
        <v>0</v>
      </c>
      <c r="K411" s="818" t="s">
        <v>109</v>
      </c>
      <c r="L411" s="356">
        <v>0</v>
      </c>
      <c r="M411" s="382">
        <f t="shared" si="66"/>
        <v>0</v>
      </c>
      <c r="N411" s="382">
        <f t="shared" si="67"/>
        <v>0</v>
      </c>
    </row>
    <row r="412" spans="1:15" x14ac:dyDescent="0.2">
      <c r="A412" s="992"/>
      <c r="B412" s="822">
        <v>53103040400000</v>
      </c>
      <c r="C412" s="823" t="s">
        <v>102</v>
      </c>
      <c r="D412" s="265">
        <f>D410*0.01</f>
        <v>1167805.86784</v>
      </c>
      <c r="E412" s="266">
        <v>0</v>
      </c>
      <c r="F412" s="267">
        <v>0</v>
      </c>
      <c r="G412" s="263">
        <f>E412*F412</f>
        <v>0</v>
      </c>
      <c r="H412" s="264">
        <f>D412+G412</f>
        <v>1167805.86784</v>
      </c>
      <c r="K412" s="818" t="s">
        <v>110</v>
      </c>
      <c r="L412" s="356">
        <v>0</v>
      </c>
      <c r="M412" s="382">
        <f t="shared" si="66"/>
        <v>0</v>
      </c>
      <c r="N412" s="382">
        <f t="shared" si="67"/>
        <v>0</v>
      </c>
    </row>
    <row r="413" spans="1:15" x14ac:dyDescent="0.2">
      <c r="A413" s="992"/>
      <c r="B413" s="817">
        <v>53103080010000</v>
      </c>
      <c r="C413" s="818" t="s">
        <v>103</v>
      </c>
      <c r="D413" s="265">
        <v>0</v>
      </c>
      <c r="E413" s="266">
        <v>0</v>
      </c>
      <c r="F413" s="267">
        <v>0</v>
      </c>
      <c r="G413" s="263">
        <f>E413*F413</f>
        <v>0</v>
      </c>
      <c r="H413" s="264">
        <f>D413+G413</f>
        <v>0</v>
      </c>
      <c r="K413" s="818" t="s">
        <v>111</v>
      </c>
      <c r="L413" s="275">
        <f>26390*6</f>
        <v>158340</v>
      </c>
      <c r="M413" s="382">
        <f t="shared" si="66"/>
        <v>110838</v>
      </c>
      <c r="N413" s="382">
        <f t="shared" si="67"/>
        <v>47502</v>
      </c>
    </row>
    <row r="414" spans="1:15" x14ac:dyDescent="0.2">
      <c r="A414" s="992"/>
      <c r="B414" s="258"/>
      <c r="C414" s="259" t="s">
        <v>104</v>
      </c>
      <c r="D414" s="260">
        <f>SUM(D415:D434)</f>
        <v>9220156.4000000004</v>
      </c>
      <c r="E414" s="261"/>
      <c r="F414" s="261"/>
      <c r="G414" s="260">
        <f>SUM(G415:G434)</f>
        <v>20929920</v>
      </c>
      <c r="H414" s="262">
        <f>SUM(H415:H434)</f>
        <v>30150076.399999999</v>
      </c>
      <c r="K414" s="818" t="s">
        <v>112</v>
      </c>
      <c r="L414" s="356"/>
      <c r="M414" s="382">
        <f t="shared" si="66"/>
        <v>0</v>
      </c>
      <c r="N414" s="382">
        <f t="shared" si="67"/>
        <v>0</v>
      </c>
    </row>
    <row r="415" spans="1:15" x14ac:dyDescent="0.2">
      <c r="A415" s="992"/>
      <c r="B415" s="817">
        <v>53201010100000</v>
      </c>
      <c r="C415" s="818" t="s">
        <v>105</v>
      </c>
      <c r="D415" s="265">
        <v>0</v>
      </c>
      <c r="E415" s="266">
        <v>1821</v>
      </c>
      <c r="F415" s="270">
        <f>11*20*16</f>
        <v>3520</v>
      </c>
      <c r="G415" s="263">
        <f t="shared" ref="G415:G434" si="68">E415*F415</f>
        <v>6409920</v>
      </c>
      <c r="H415" s="264">
        <f t="shared" ref="H415:H434" si="69">D415+G415</f>
        <v>6409920</v>
      </c>
      <c r="I415" s="250" t="s">
        <v>832</v>
      </c>
      <c r="K415" s="818" t="s">
        <v>113</v>
      </c>
      <c r="L415" s="356">
        <v>0</v>
      </c>
      <c r="M415" s="382">
        <f t="shared" si="66"/>
        <v>0</v>
      </c>
      <c r="N415" s="382">
        <f t="shared" si="67"/>
        <v>0</v>
      </c>
    </row>
    <row r="416" spans="1:15" x14ac:dyDescent="0.2">
      <c r="A416" s="992"/>
      <c r="B416" s="817">
        <v>53201010100000</v>
      </c>
      <c r="C416" s="818" t="s">
        <v>106</v>
      </c>
      <c r="D416" s="265">
        <v>0</v>
      </c>
      <c r="E416" s="266">
        <v>1000</v>
      </c>
      <c r="F416" s="267">
        <f>66*20*11</f>
        <v>14520</v>
      </c>
      <c r="G416" s="263">
        <f t="shared" si="68"/>
        <v>14520000</v>
      </c>
      <c r="H416" s="264">
        <f t="shared" si="69"/>
        <v>14520000</v>
      </c>
      <c r="K416" s="818" t="s">
        <v>114</v>
      </c>
      <c r="L416" s="356">
        <v>3843252</v>
      </c>
      <c r="M416" s="382">
        <f t="shared" si="66"/>
        <v>2690276.4</v>
      </c>
      <c r="N416" s="382">
        <f t="shared" si="67"/>
        <v>1152975.5999999999</v>
      </c>
      <c r="O416" s="19" t="s">
        <v>182</v>
      </c>
    </row>
    <row r="417" spans="1:15" x14ac:dyDescent="0.2">
      <c r="A417" s="992"/>
      <c r="B417" s="817">
        <v>53201010100000</v>
      </c>
      <c r="C417" s="818" t="s">
        <v>107</v>
      </c>
      <c r="D417" s="265">
        <v>0</v>
      </c>
      <c r="E417" s="266">
        <v>0</v>
      </c>
      <c r="F417" s="267">
        <v>0</v>
      </c>
      <c r="G417" s="263">
        <f t="shared" si="68"/>
        <v>0</v>
      </c>
      <c r="H417" s="264">
        <f t="shared" si="69"/>
        <v>0</v>
      </c>
      <c r="K417" s="818" t="s">
        <v>115</v>
      </c>
      <c r="L417" s="356">
        <v>1010432</v>
      </c>
      <c r="M417" s="382">
        <f t="shared" si="66"/>
        <v>707302.39999999991</v>
      </c>
      <c r="N417" s="382">
        <f t="shared" si="67"/>
        <v>303129.59999999998</v>
      </c>
    </row>
    <row r="418" spans="1:15" x14ac:dyDescent="0.2">
      <c r="A418" s="992"/>
      <c r="B418" s="817">
        <v>53202010100000</v>
      </c>
      <c r="C418" s="818" t="s">
        <v>108</v>
      </c>
      <c r="D418" s="263">
        <f t="shared" ref="D418:D434" si="70">+M410</f>
        <v>0</v>
      </c>
      <c r="E418" s="263">
        <v>0</v>
      </c>
      <c r="F418" s="833">
        <v>0</v>
      </c>
      <c r="G418" s="263">
        <f t="shared" si="68"/>
        <v>0</v>
      </c>
      <c r="H418" s="264">
        <f t="shared" si="69"/>
        <v>0</v>
      </c>
      <c r="K418" s="818" t="s">
        <v>116</v>
      </c>
      <c r="L418" s="356">
        <v>2577388</v>
      </c>
      <c r="M418" s="382">
        <f t="shared" si="66"/>
        <v>1804171.5999999999</v>
      </c>
      <c r="N418" s="382">
        <f t="shared" si="67"/>
        <v>773216.4</v>
      </c>
    </row>
    <row r="419" spans="1:15" x14ac:dyDescent="0.2">
      <c r="A419" s="992"/>
      <c r="B419" s="817">
        <v>53203010100000</v>
      </c>
      <c r="C419" s="818" t="s">
        <v>109</v>
      </c>
      <c r="D419" s="263">
        <f t="shared" si="70"/>
        <v>0</v>
      </c>
      <c r="E419" s="263">
        <v>0</v>
      </c>
      <c r="F419" s="833">
        <v>0</v>
      </c>
      <c r="G419" s="263">
        <f t="shared" si="68"/>
        <v>0</v>
      </c>
      <c r="H419" s="264">
        <f t="shared" si="69"/>
        <v>0</v>
      </c>
      <c r="K419" s="818" t="s">
        <v>117</v>
      </c>
      <c r="L419" s="275">
        <v>621516</v>
      </c>
      <c r="M419" s="382">
        <f t="shared" si="66"/>
        <v>435061.19999999995</v>
      </c>
      <c r="N419" s="382">
        <f t="shared" si="67"/>
        <v>186454.8</v>
      </c>
    </row>
    <row r="420" spans="1:15" x14ac:dyDescent="0.2">
      <c r="A420" s="992"/>
      <c r="B420" s="817">
        <v>53203030000000</v>
      </c>
      <c r="C420" s="818" t="s">
        <v>110</v>
      </c>
      <c r="D420" s="263">
        <f t="shared" si="70"/>
        <v>0</v>
      </c>
      <c r="E420" s="263">
        <v>0</v>
      </c>
      <c r="F420" s="833">
        <v>0</v>
      </c>
      <c r="G420" s="263">
        <f t="shared" si="68"/>
        <v>0</v>
      </c>
      <c r="H420" s="264">
        <f t="shared" si="69"/>
        <v>0</v>
      </c>
      <c r="K420" s="818" t="s">
        <v>118</v>
      </c>
      <c r="L420" s="356">
        <v>0</v>
      </c>
      <c r="M420" s="382">
        <f t="shared" si="66"/>
        <v>0</v>
      </c>
      <c r="N420" s="382">
        <f t="shared" si="67"/>
        <v>0</v>
      </c>
    </row>
    <row r="421" spans="1:15" x14ac:dyDescent="0.2">
      <c r="A421" s="992"/>
      <c r="B421" s="817">
        <v>53204030000000</v>
      </c>
      <c r="C421" s="818" t="s">
        <v>111</v>
      </c>
      <c r="D421" s="263">
        <f t="shared" si="70"/>
        <v>110838</v>
      </c>
      <c r="E421" s="263">
        <v>0</v>
      </c>
      <c r="F421" s="833">
        <v>0</v>
      </c>
      <c r="G421" s="263">
        <f t="shared" si="68"/>
        <v>0</v>
      </c>
      <c r="H421" s="264">
        <f t="shared" si="69"/>
        <v>110838</v>
      </c>
      <c r="K421" s="818" t="s">
        <v>119</v>
      </c>
      <c r="L421" s="356">
        <f>1053628*2</f>
        <v>2107256</v>
      </c>
      <c r="M421" s="382">
        <f t="shared" si="66"/>
        <v>1475079.2</v>
      </c>
      <c r="N421" s="382">
        <f t="shared" si="67"/>
        <v>632176.79999999993</v>
      </c>
    </row>
    <row r="422" spans="1:15" x14ac:dyDescent="0.2">
      <c r="A422" s="992"/>
      <c r="B422" s="817">
        <v>53204100100001</v>
      </c>
      <c r="C422" s="818" t="s">
        <v>112</v>
      </c>
      <c r="D422" s="263"/>
      <c r="E422" s="263">
        <v>0</v>
      </c>
      <c r="F422" s="833">
        <v>0</v>
      </c>
      <c r="G422" s="263">
        <f t="shared" si="68"/>
        <v>0</v>
      </c>
      <c r="H422" s="264">
        <f t="shared" si="69"/>
        <v>0</v>
      </c>
      <c r="K422" s="818" t="s">
        <v>120</v>
      </c>
      <c r="L422" s="381">
        <v>0</v>
      </c>
      <c r="M422" s="382">
        <f t="shared" si="66"/>
        <v>0</v>
      </c>
      <c r="N422" s="382">
        <f t="shared" si="67"/>
        <v>0</v>
      </c>
    </row>
    <row r="423" spans="1:15" x14ac:dyDescent="0.2">
      <c r="A423" s="992"/>
      <c r="B423" s="817">
        <v>53204130100000</v>
      </c>
      <c r="C423" s="818" t="s">
        <v>113</v>
      </c>
      <c r="D423" s="263">
        <f t="shared" si="70"/>
        <v>0</v>
      </c>
      <c r="E423" s="263">
        <v>0</v>
      </c>
      <c r="F423" s="833">
        <v>0</v>
      </c>
      <c r="G423" s="263">
        <f t="shared" si="68"/>
        <v>0</v>
      </c>
      <c r="H423" s="264">
        <f t="shared" si="69"/>
        <v>0</v>
      </c>
      <c r="K423" s="818" t="s">
        <v>121</v>
      </c>
      <c r="L423" s="356">
        <v>0</v>
      </c>
      <c r="M423" s="382">
        <f t="shared" si="66"/>
        <v>0</v>
      </c>
      <c r="N423" s="382">
        <f t="shared" si="67"/>
        <v>0</v>
      </c>
    </row>
    <row r="424" spans="1:15" x14ac:dyDescent="0.2">
      <c r="A424" s="992"/>
      <c r="B424" s="817">
        <v>53205010100000</v>
      </c>
      <c r="C424" s="818" t="s">
        <v>114</v>
      </c>
      <c r="D424" s="263">
        <f t="shared" si="70"/>
        <v>2690276.4</v>
      </c>
      <c r="E424" s="263">
        <v>0</v>
      </c>
      <c r="F424" s="833">
        <v>0</v>
      </c>
      <c r="G424" s="263">
        <f t="shared" si="68"/>
        <v>0</v>
      </c>
      <c r="H424" s="264">
        <f t="shared" si="69"/>
        <v>2690276.4</v>
      </c>
      <c r="K424" s="818" t="s">
        <v>122</v>
      </c>
      <c r="L424" s="356">
        <v>0</v>
      </c>
      <c r="M424" s="382">
        <f t="shared" si="66"/>
        <v>0</v>
      </c>
      <c r="N424" s="382">
        <f t="shared" si="67"/>
        <v>0</v>
      </c>
    </row>
    <row r="425" spans="1:15" x14ac:dyDescent="0.2">
      <c r="A425" s="992"/>
      <c r="B425" s="817">
        <v>53205020100000</v>
      </c>
      <c r="C425" s="818" t="s">
        <v>115</v>
      </c>
      <c r="D425" s="263">
        <f t="shared" si="70"/>
        <v>707302.39999999991</v>
      </c>
      <c r="E425" s="263">
        <v>0</v>
      </c>
      <c r="F425" s="833">
        <v>0</v>
      </c>
      <c r="G425" s="263">
        <f t="shared" si="68"/>
        <v>0</v>
      </c>
      <c r="H425" s="264">
        <f t="shared" si="69"/>
        <v>707302.39999999991</v>
      </c>
      <c r="K425" s="832" t="s">
        <v>123</v>
      </c>
      <c r="L425" s="275">
        <f>317052*9</f>
        <v>2853468</v>
      </c>
      <c r="M425" s="382">
        <f t="shared" si="66"/>
        <v>1997427.5999999999</v>
      </c>
      <c r="N425" s="382">
        <f t="shared" si="67"/>
        <v>856040.4</v>
      </c>
      <c r="O425" s="19" t="s">
        <v>183</v>
      </c>
    </row>
    <row r="426" spans="1:15" x14ac:dyDescent="0.2">
      <c r="A426" s="992"/>
      <c r="B426" s="817">
        <v>53205030100000</v>
      </c>
      <c r="C426" s="818" t="s">
        <v>116</v>
      </c>
      <c r="D426" s="263">
        <f t="shared" si="70"/>
        <v>1804171.5999999999</v>
      </c>
      <c r="E426" s="263">
        <v>0</v>
      </c>
      <c r="F426" s="833">
        <v>0</v>
      </c>
      <c r="G426" s="263">
        <f t="shared" si="68"/>
        <v>0</v>
      </c>
      <c r="H426" s="264">
        <f t="shared" si="69"/>
        <v>1804171.5999999999</v>
      </c>
      <c r="K426" s="818" t="s">
        <v>124</v>
      </c>
      <c r="L426" s="381">
        <v>0</v>
      </c>
      <c r="M426" s="382">
        <f t="shared" si="66"/>
        <v>0</v>
      </c>
      <c r="N426" s="382">
        <f t="shared" si="67"/>
        <v>0</v>
      </c>
    </row>
    <row r="427" spans="1:15" x14ac:dyDescent="0.2">
      <c r="A427" s="992"/>
      <c r="B427" s="817">
        <v>53205050100000</v>
      </c>
      <c r="C427" s="818" t="s">
        <v>117</v>
      </c>
      <c r="D427" s="263">
        <f t="shared" si="70"/>
        <v>435061.19999999995</v>
      </c>
      <c r="E427" s="263">
        <v>0</v>
      </c>
      <c r="F427" s="833">
        <v>0</v>
      </c>
      <c r="G427" s="263">
        <f t="shared" si="68"/>
        <v>0</v>
      </c>
      <c r="H427" s="264">
        <f t="shared" si="69"/>
        <v>435061.19999999995</v>
      </c>
      <c r="K427" s="253" t="s">
        <v>125</v>
      </c>
      <c r="L427" s="1002"/>
      <c r="M427" s="1002"/>
      <c r="N427" s="1002"/>
    </row>
    <row r="428" spans="1:15" x14ac:dyDescent="0.2">
      <c r="A428" s="992"/>
      <c r="B428" s="817">
        <v>53205070100000</v>
      </c>
      <c r="C428" s="818" t="s">
        <v>118</v>
      </c>
      <c r="D428" s="263">
        <f t="shared" si="70"/>
        <v>0</v>
      </c>
      <c r="E428" s="263">
        <v>0</v>
      </c>
      <c r="F428" s="833">
        <v>0</v>
      </c>
      <c r="G428" s="263">
        <f t="shared" si="68"/>
        <v>0</v>
      </c>
      <c r="H428" s="264">
        <f t="shared" si="69"/>
        <v>0</v>
      </c>
      <c r="K428" s="259" t="s">
        <v>126</v>
      </c>
      <c r="L428" s="1001"/>
      <c r="M428" s="1001"/>
      <c r="N428" s="1001"/>
    </row>
    <row r="429" spans="1:15" x14ac:dyDescent="0.2">
      <c r="A429" s="992"/>
      <c r="B429" s="817">
        <v>53208010100000</v>
      </c>
      <c r="C429" s="818" t="s">
        <v>119</v>
      </c>
      <c r="D429" s="263">
        <f t="shared" si="70"/>
        <v>1475079.2</v>
      </c>
      <c r="E429" s="263">
        <v>0</v>
      </c>
      <c r="F429" s="833">
        <v>0</v>
      </c>
      <c r="G429" s="263">
        <f t="shared" si="68"/>
        <v>0</v>
      </c>
      <c r="H429" s="264">
        <f t="shared" si="69"/>
        <v>1475079.2</v>
      </c>
      <c r="K429" s="818" t="s">
        <v>129</v>
      </c>
      <c r="L429" s="275">
        <f>63420*2</f>
        <v>126840</v>
      </c>
      <c r="M429" s="382">
        <f>+L429*0.7</f>
        <v>88788</v>
      </c>
      <c r="N429" s="775">
        <f>+M429*0.3</f>
        <v>26636.399999999998</v>
      </c>
      <c r="O429" s="19" t="s">
        <v>833</v>
      </c>
    </row>
    <row r="430" spans="1:15" x14ac:dyDescent="0.2">
      <c r="A430" s="992"/>
      <c r="B430" s="817">
        <v>53208070100001</v>
      </c>
      <c r="C430" s="818" t="s">
        <v>120</v>
      </c>
      <c r="D430" s="263">
        <f t="shared" si="70"/>
        <v>0</v>
      </c>
      <c r="E430" s="263">
        <v>0</v>
      </c>
      <c r="F430" s="833">
        <v>0</v>
      </c>
      <c r="G430" s="263">
        <f t="shared" si="68"/>
        <v>0</v>
      </c>
      <c r="H430" s="264">
        <f t="shared" si="69"/>
        <v>0</v>
      </c>
      <c r="K430" s="832" t="s">
        <v>130</v>
      </c>
      <c r="L430" s="356">
        <v>0</v>
      </c>
      <c r="M430" s="382">
        <f>+L430*0.7</f>
        <v>0</v>
      </c>
      <c r="N430" s="382">
        <f>+M430*0.7</f>
        <v>0</v>
      </c>
    </row>
    <row r="431" spans="1:15" x14ac:dyDescent="0.2">
      <c r="A431" s="992"/>
      <c r="B431" s="817">
        <v>53208100100001</v>
      </c>
      <c r="C431" s="818" t="s">
        <v>121</v>
      </c>
      <c r="D431" s="263">
        <f t="shared" si="70"/>
        <v>0</v>
      </c>
      <c r="E431" s="263">
        <v>0</v>
      </c>
      <c r="F431" s="833">
        <v>0</v>
      </c>
      <c r="G431" s="263">
        <f t="shared" si="68"/>
        <v>0</v>
      </c>
      <c r="H431" s="264">
        <f t="shared" si="69"/>
        <v>0</v>
      </c>
      <c r="K431" s="259" t="s">
        <v>131</v>
      </c>
      <c r="L431" s="1001"/>
      <c r="M431" s="1001"/>
      <c r="N431" s="1001"/>
    </row>
    <row r="432" spans="1:15" x14ac:dyDescent="0.2">
      <c r="A432" s="992"/>
      <c r="B432" s="817">
        <v>53211030000000</v>
      </c>
      <c r="C432" s="818" t="s">
        <v>122</v>
      </c>
      <c r="D432" s="263">
        <f t="shared" si="70"/>
        <v>0</v>
      </c>
      <c r="E432" s="263">
        <v>0</v>
      </c>
      <c r="F432" s="833">
        <v>0</v>
      </c>
      <c r="G432" s="263">
        <f t="shared" si="68"/>
        <v>0</v>
      </c>
      <c r="H432" s="264">
        <f t="shared" si="69"/>
        <v>0</v>
      </c>
      <c r="K432" s="818" t="s">
        <v>132</v>
      </c>
      <c r="L432" s="356">
        <v>0</v>
      </c>
      <c r="M432" s="382">
        <f>+L432*0.7</f>
        <v>0</v>
      </c>
      <c r="N432" s="382">
        <f>+M432*0.7</f>
        <v>0</v>
      </c>
    </row>
    <row r="433" spans="1:15" x14ac:dyDescent="0.2">
      <c r="A433" s="992"/>
      <c r="B433" s="817">
        <v>53212020100000</v>
      </c>
      <c r="C433" s="818" t="s">
        <v>123</v>
      </c>
      <c r="D433" s="263">
        <f t="shared" si="70"/>
        <v>1997427.5999999999</v>
      </c>
      <c r="E433" s="263">
        <v>0</v>
      </c>
      <c r="F433" s="833">
        <v>0</v>
      </c>
      <c r="G433" s="263">
        <f t="shared" si="68"/>
        <v>0</v>
      </c>
      <c r="H433" s="264">
        <f t="shared" si="69"/>
        <v>1997427.5999999999</v>
      </c>
      <c r="K433" s="259" t="s">
        <v>133</v>
      </c>
      <c r="L433" s="1001"/>
      <c r="M433" s="1001"/>
      <c r="N433" s="1001"/>
    </row>
    <row r="434" spans="1:15" ht="15.75" customHeight="1" x14ac:dyDescent="0.2">
      <c r="A434" s="992"/>
      <c r="B434" s="817">
        <v>53214020000000</v>
      </c>
      <c r="C434" s="818" t="s">
        <v>124</v>
      </c>
      <c r="D434" s="263">
        <f t="shared" si="70"/>
        <v>0</v>
      </c>
      <c r="E434" s="263">
        <v>0</v>
      </c>
      <c r="F434" s="833">
        <v>0</v>
      </c>
      <c r="G434" s="263">
        <f t="shared" si="68"/>
        <v>0</v>
      </c>
      <c r="H434" s="264">
        <f t="shared" si="69"/>
        <v>0</v>
      </c>
      <c r="K434" s="818" t="s">
        <v>134</v>
      </c>
      <c r="L434" s="356">
        <v>350000</v>
      </c>
      <c r="M434" s="382">
        <f t="shared" ref="M434:N441" si="71">+L434*0.7</f>
        <v>244999.99999999997</v>
      </c>
      <c r="N434" s="775">
        <f>+M434*0.3</f>
        <v>73499.999999999985</v>
      </c>
    </row>
    <row r="435" spans="1:15" x14ac:dyDescent="0.2">
      <c r="A435" s="992"/>
      <c r="B435" s="252"/>
      <c r="C435" s="253" t="s">
        <v>125</v>
      </c>
      <c r="D435" s="830">
        <f>+D436+D441+D443+D452+D461+D469</f>
        <v>12061302</v>
      </c>
      <c r="E435" s="255"/>
      <c r="F435" s="255"/>
      <c r="G435" s="254">
        <f>SUM(G436,G441,G443,G452,G461,G469)</f>
        <v>3705930</v>
      </c>
      <c r="H435" s="830">
        <f>SUM(H436,H441,H443,H452,H461,H469)</f>
        <v>15767232</v>
      </c>
      <c r="K435" s="818" t="s">
        <v>135</v>
      </c>
      <c r="L435" s="275">
        <f>18000*7</f>
        <v>126000</v>
      </c>
      <c r="M435" s="382">
        <f t="shared" si="71"/>
        <v>88200</v>
      </c>
      <c r="N435" s="775">
        <f>L435*0.3</f>
        <v>37800</v>
      </c>
    </row>
    <row r="436" spans="1:15" x14ac:dyDescent="0.2">
      <c r="A436" s="992"/>
      <c r="B436" s="258"/>
      <c r="C436" s="259" t="s">
        <v>126</v>
      </c>
      <c r="D436" s="260">
        <f>SUM(D437:D440)</f>
        <v>178788</v>
      </c>
      <c r="E436" s="261"/>
      <c r="F436" s="261"/>
      <c r="G436" s="260">
        <f>SUM(G437:G440)</f>
        <v>796970</v>
      </c>
      <c r="H436" s="260">
        <f>SUM(H437:H440)</f>
        <v>975758</v>
      </c>
      <c r="K436" s="818" t="s">
        <v>136</v>
      </c>
      <c r="L436" s="356">
        <f>'H) Detalle Datos'!J212</f>
        <v>128000</v>
      </c>
      <c r="M436" s="382">
        <f t="shared" si="71"/>
        <v>89600</v>
      </c>
      <c r="N436" s="775">
        <f>L436*0.3</f>
        <v>38400</v>
      </c>
    </row>
    <row r="437" spans="1:15" x14ac:dyDescent="0.2">
      <c r="A437" s="992"/>
      <c r="B437" s="817">
        <v>53202020100000</v>
      </c>
      <c r="C437" s="818" t="s">
        <v>127</v>
      </c>
      <c r="D437" s="265">
        <f>30000*3</f>
        <v>90000</v>
      </c>
      <c r="E437" s="266">
        <v>40000</v>
      </c>
      <c r="F437" s="357">
        <v>17</v>
      </c>
      <c r="G437" s="263">
        <f>E437*F437</f>
        <v>680000</v>
      </c>
      <c r="H437" s="264">
        <f>D437+G437</f>
        <v>770000</v>
      </c>
      <c r="K437" s="818" t="s">
        <v>137</v>
      </c>
      <c r="L437" s="774">
        <v>8904800</v>
      </c>
      <c r="M437" s="775">
        <f t="shared" si="71"/>
        <v>6233360</v>
      </c>
      <c r="N437" s="775">
        <f>L437*0.3</f>
        <v>2671440</v>
      </c>
      <c r="O437" s="250" t="s">
        <v>828</v>
      </c>
    </row>
    <row r="438" spans="1:15" x14ac:dyDescent="0.2">
      <c r="A438" s="992"/>
      <c r="B438" s="817">
        <v>53202030000000</v>
      </c>
      <c r="C438" s="818" t="s">
        <v>128</v>
      </c>
      <c r="D438" s="265">
        <v>0</v>
      </c>
      <c r="E438" s="266">
        <v>38990</v>
      </c>
      <c r="F438" s="357">
        <v>3</v>
      </c>
      <c r="G438" s="263">
        <f>E438*F438</f>
        <v>116970</v>
      </c>
      <c r="H438" s="264">
        <f>D438+G438</f>
        <v>116970</v>
      </c>
      <c r="K438" s="818" t="s">
        <v>139</v>
      </c>
      <c r="L438" s="356">
        <v>800000</v>
      </c>
      <c r="M438" s="382">
        <f t="shared" si="71"/>
        <v>560000</v>
      </c>
      <c r="N438" s="775">
        <f>L438*0.3</f>
        <v>240000</v>
      </c>
    </row>
    <row r="439" spans="1:15" x14ac:dyDescent="0.2">
      <c r="A439" s="992"/>
      <c r="B439" s="817">
        <v>53211020000000</v>
      </c>
      <c r="C439" s="818" t="s">
        <v>129</v>
      </c>
      <c r="D439" s="263">
        <f>+M429</f>
        <v>88788</v>
      </c>
      <c r="E439" s="263">
        <v>0</v>
      </c>
      <c r="F439" s="359">
        <v>0</v>
      </c>
      <c r="G439" s="263">
        <f>E439*F439</f>
        <v>0</v>
      </c>
      <c r="H439" s="264">
        <f>D439+G439</f>
        <v>88788</v>
      </c>
      <c r="K439" s="818" t="s">
        <v>140</v>
      </c>
      <c r="L439" s="381">
        <v>0</v>
      </c>
      <c r="M439" s="382">
        <f t="shared" si="71"/>
        <v>0</v>
      </c>
      <c r="N439" s="382">
        <f t="shared" si="71"/>
        <v>0</v>
      </c>
    </row>
    <row r="440" spans="1:15" x14ac:dyDescent="0.2">
      <c r="A440" s="992"/>
      <c r="B440" s="817">
        <v>53101040600000</v>
      </c>
      <c r="C440" s="818" t="s">
        <v>130</v>
      </c>
      <c r="D440" s="263">
        <f>+M430</f>
        <v>0</v>
      </c>
      <c r="E440" s="263">
        <v>0</v>
      </c>
      <c r="F440" s="359">
        <v>0</v>
      </c>
      <c r="G440" s="263">
        <f>E440*F440</f>
        <v>0</v>
      </c>
      <c r="H440" s="264">
        <f>D440+G440</f>
        <v>0</v>
      </c>
      <c r="K440" s="832" t="s">
        <v>141</v>
      </c>
      <c r="L440" s="381">
        <v>0</v>
      </c>
      <c r="M440" s="382">
        <f t="shared" si="71"/>
        <v>0</v>
      </c>
      <c r="N440" s="382">
        <f t="shared" si="71"/>
        <v>0</v>
      </c>
    </row>
    <row r="441" spans="1:15" x14ac:dyDescent="0.2">
      <c r="A441" s="992"/>
      <c r="B441" s="258"/>
      <c r="C441" s="259" t="s">
        <v>131</v>
      </c>
      <c r="D441" s="260">
        <f>SUM(D442)</f>
        <v>0</v>
      </c>
      <c r="E441" s="261"/>
      <c r="F441" s="261"/>
      <c r="G441" s="279">
        <f>SUM(G442:G442)</f>
        <v>0</v>
      </c>
      <c r="H441" s="260">
        <f>SUM(H442:H442)</f>
        <v>0</v>
      </c>
      <c r="K441" s="818" t="s">
        <v>142</v>
      </c>
      <c r="L441" s="356">
        <f>300000*2</f>
        <v>600000</v>
      </c>
      <c r="M441" s="382">
        <f t="shared" si="71"/>
        <v>420000</v>
      </c>
      <c r="N441" s="775">
        <f>L441*0.3</f>
        <v>180000</v>
      </c>
    </row>
    <row r="442" spans="1:15" x14ac:dyDescent="0.2">
      <c r="A442" s="992"/>
      <c r="B442" s="825">
        <v>53205990000000</v>
      </c>
      <c r="C442" s="818" t="s">
        <v>132</v>
      </c>
      <c r="D442" s="263">
        <f>+M432</f>
        <v>0</v>
      </c>
      <c r="E442" s="263">
        <v>0</v>
      </c>
      <c r="F442" s="359">
        <v>0</v>
      </c>
      <c r="G442" s="263">
        <f>E442*F442</f>
        <v>0</v>
      </c>
      <c r="H442" s="264">
        <f>D442+G442</f>
        <v>0</v>
      </c>
      <c r="K442" s="259" t="s">
        <v>143</v>
      </c>
      <c r="L442" s="1001"/>
      <c r="M442" s="1001"/>
      <c r="N442" s="1001"/>
    </row>
    <row r="443" spans="1:15" x14ac:dyDescent="0.2">
      <c r="A443" s="992"/>
      <c r="B443" s="258"/>
      <c r="C443" s="259" t="s">
        <v>133</v>
      </c>
      <c r="D443" s="260">
        <f>SUM(D444:D451)</f>
        <v>7636160</v>
      </c>
      <c r="E443" s="261"/>
      <c r="F443" s="261"/>
      <c r="G443" s="260">
        <f>SUM(G444:G451)</f>
        <v>1750000</v>
      </c>
      <c r="H443" s="260">
        <f>SUM(H444:H451)</f>
        <v>9386160</v>
      </c>
      <c r="K443" s="818" t="s">
        <v>144</v>
      </c>
      <c r="L443" s="356">
        <v>0</v>
      </c>
      <c r="M443" s="382">
        <f t="shared" ref="M443:N449" si="72">+L443*0.7</f>
        <v>0</v>
      </c>
      <c r="N443" s="382">
        <f t="shared" si="72"/>
        <v>0</v>
      </c>
    </row>
    <row r="444" spans="1:15" x14ac:dyDescent="0.2">
      <c r="A444" s="992"/>
      <c r="B444" s="817">
        <v>53204010000000</v>
      </c>
      <c r="C444" s="818" t="s">
        <v>134</v>
      </c>
      <c r="D444" s="263">
        <f t="shared" ref="D444:D451" si="73">+M434</f>
        <v>244999.99999999997</v>
      </c>
      <c r="E444" s="263">
        <v>0</v>
      </c>
      <c r="F444" s="359">
        <v>0</v>
      </c>
      <c r="G444" s="263">
        <f t="shared" ref="G444:G451" si="74">E444*F444</f>
        <v>0</v>
      </c>
      <c r="H444" s="264">
        <f t="shared" ref="H444:H451" si="75">D444+G444</f>
        <v>244999.99999999997</v>
      </c>
      <c r="K444" s="818" t="s">
        <v>145</v>
      </c>
      <c r="L444" s="356">
        <f>3500*73</f>
        <v>255500</v>
      </c>
      <c r="M444" s="382">
        <f t="shared" si="72"/>
        <v>178850</v>
      </c>
      <c r="N444" s="775">
        <f>L444*0.3</f>
        <v>76650</v>
      </c>
    </row>
    <row r="445" spans="1:15" x14ac:dyDescent="0.2">
      <c r="A445" s="992"/>
      <c r="B445" s="825">
        <v>53204040200000</v>
      </c>
      <c r="C445" s="818" t="s">
        <v>135</v>
      </c>
      <c r="D445" s="263">
        <f t="shared" si="73"/>
        <v>88200</v>
      </c>
      <c r="E445" s="263">
        <v>0</v>
      </c>
      <c r="F445" s="359">
        <v>0</v>
      </c>
      <c r="G445" s="263">
        <f t="shared" si="74"/>
        <v>0</v>
      </c>
      <c r="H445" s="264">
        <f t="shared" si="75"/>
        <v>88200</v>
      </c>
      <c r="K445" s="818" t="s">
        <v>146</v>
      </c>
      <c r="L445" s="356">
        <v>0</v>
      </c>
      <c r="M445" s="382">
        <f t="shared" si="72"/>
        <v>0</v>
      </c>
      <c r="N445" s="382">
        <f t="shared" si="72"/>
        <v>0</v>
      </c>
    </row>
    <row r="446" spans="1:15" x14ac:dyDescent="0.2">
      <c r="A446" s="992"/>
      <c r="B446" s="817">
        <v>53204060000000</v>
      </c>
      <c r="C446" s="818" t="s">
        <v>136</v>
      </c>
      <c r="D446" s="263">
        <f t="shared" si="73"/>
        <v>89600</v>
      </c>
      <c r="E446" s="263">
        <v>0</v>
      </c>
      <c r="F446" s="359">
        <v>0</v>
      </c>
      <c r="G446" s="263">
        <f t="shared" si="74"/>
        <v>0</v>
      </c>
      <c r="H446" s="264">
        <f t="shared" si="75"/>
        <v>89600</v>
      </c>
      <c r="K446" s="818" t="s">
        <v>147</v>
      </c>
      <c r="L446" s="356">
        <f>134000*4</f>
        <v>536000</v>
      </c>
      <c r="M446" s="382">
        <f t="shared" si="72"/>
        <v>375200</v>
      </c>
      <c r="N446" s="775">
        <f>L446*0.3</f>
        <v>160800</v>
      </c>
    </row>
    <row r="447" spans="1:15" x14ac:dyDescent="0.2">
      <c r="A447" s="992"/>
      <c r="B447" s="817">
        <v>53204070000000</v>
      </c>
      <c r="C447" s="818" t="s">
        <v>137</v>
      </c>
      <c r="D447" s="263">
        <f t="shared" si="73"/>
        <v>6233360</v>
      </c>
      <c r="E447" s="263">
        <v>175000</v>
      </c>
      <c r="F447" s="359">
        <v>10</v>
      </c>
      <c r="G447" s="263">
        <f t="shared" si="74"/>
        <v>1750000</v>
      </c>
      <c r="H447" s="264">
        <f t="shared" si="75"/>
        <v>7983360</v>
      </c>
      <c r="K447" s="818" t="s">
        <v>149</v>
      </c>
      <c r="L447" s="356">
        <f>200000*12</f>
        <v>2400000</v>
      </c>
      <c r="M447" s="382">
        <f t="shared" si="72"/>
        <v>1680000</v>
      </c>
      <c r="N447" s="775">
        <f>L447*0.3</f>
        <v>720000</v>
      </c>
    </row>
    <row r="448" spans="1:15" x14ac:dyDescent="0.2">
      <c r="A448" s="992"/>
      <c r="B448" s="817">
        <v>53204080000000</v>
      </c>
      <c r="C448" s="818" t="s">
        <v>139</v>
      </c>
      <c r="D448" s="263">
        <f t="shared" si="73"/>
        <v>560000</v>
      </c>
      <c r="E448" s="263">
        <v>0</v>
      </c>
      <c r="F448" s="359">
        <v>0</v>
      </c>
      <c r="G448" s="263">
        <f t="shared" si="74"/>
        <v>0</v>
      </c>
      <c r="H448" s="264">
        <f t="shared" si="75"/>
        <v>560000</v>
      </c>
      <c r="K448" s="818" t="s">
        <v>150</v>
      </c>
      <c r="L448" s="356">
        <v>0</v>
      </c>
      <c r="M448" s="382">
        <f t="shared" si="72"/>
        <v>0</v>
      </c>
      <c r="N448" s="382">
        <f t="shared" si="72"/>
        <v>0</v>
      </c>
    </row>
    <row r="449" spans="1:14" x14ac:dyDescent="0.2">
      <c r="A449" s="992"/>
      <c r="B449" s="817">
        <v>53214010000000</v>
      </c>
      <c r="C449" s="818" t="s">
        <v>140</v>
      </c>
      <c r="D449" s="263">
        <f t="shared" si="73"/>
        <v>0</v>
      </c>
      <c r="E449" s="263">
        <v>0</v>
      </c>
      <c r="F449" s="359">
        <v>0</v>
      </c>
      <c r="G449" s="263">
        <f t="shared" si="74"/>
        <v>0</v>
      </c>
      <c r="H449" s="264">
        <f t="shared" si="75"/>
        <v>0</v>
      </c>
      <c r="K449" s="818" t="s">
        <v>151</v>
      </c>
      <c r="L449" s="356">
        <v>1459720</v>
      </c>
      <c r="M449" s="382">
        <f t="shared" si="72"/>
        <v>1021803.9999999999</v>
      </c>
      <c r="N449" s="775">
        <f>L449*0.3</f>
        <v>437916</v>
      </c>
    </row>
    <row r="450" spans="1:14" x14ac:dyDescent="0.2">
      <c r="A450" s="992"/>
      <c r="B450" s="817">
        <v>53214040000000</v>
      </c>
      <c r="C450" s="818" t="s">
        <v>141</v>
      </c>
      <c r="D450" s="263">
        <f t="shared" si="73"/>
        <v>0</v>
      </c>
      <c r="E450" s="263">
        <v>0</v>
      </c>
      <c r="F450" s="359">
        <v>0</v>
      </c>
      <c r="G450" s="263">
        <f t="shared" si="74"/>
        <v>0</v>
      </c>
      <c r="H450" s="264">
        <f t="shared" si="75"/>
        <v>0</v>
      </c>
      <c r="K450" s="259" t="s">
        <v>152</v>
      </c>
      <c r="L450" s="1001"/>
      <c r="M450" s="1001"/>
      <c r="N450" s="1001"/>
    </row>
    <row r="451" spans="1:14" x14ac:dyDescent="0.2">
      <c r="A451" s="992"/>
      <c r="B451" s="822">
        <v>53204020100000</v>
      </c>
      <c r="C451" s="818" t="s">
        <v>142</v>
      </c>
      <c r="D451" s="263">
        <f t="shared" si="73"/>
        <v>420000</v>
      </c>
      <c r="E451" s="263">
        <v>0</v>
      </c>
      <c r="F451" s="359">
        <v>0</v>
      </c>
      <c r="G451" s="263">
        <f t="shared" si="74"/>
        <v>0</v>
      </c>
      <c r="H451" s="264">
        <f t="shared" si="75"/>
        <v>420000</v>
      </c>
      <c r="K451" s="818" t="s">
        <v>153</v>
      </c>
      <c r="L451" s="356">
        <v>0</v>
      </c>
      <c r="M451" s="382">
        <f t="shared" ref="M451:N457" si="76">+L451*0.7</f>
        <v>0</v>
      </c>
      <c r="N451" s="382">
        <f t="shared" si="76"/>
        <v>0</v>
      </c>
    </row>
    <row r="452" spans="1:14" x14ac:dyDescent="0.2">
      <c r="A452" s="992"/>
      <c r="B452" s="258"/>
      <c r="C452" s="259" t="s">
        <v>143</v>
      </c>
      <c r="D452" s="260">
        <f>SUM(D453:D460)</f>
        <v>3255854</v>
      </c>
      <c r="E452" s="261"/>
      <c r="F452" s="261"/>
      <c r="G452" s="260">
        <f>SUM(G453:G460)</f>
        <v>498960</v>
      </c>
      <c r="H452" s="262">
        <f>SUM(H453:H460)</f>
        <v>3754814</v>
      </c>
      <c r="K452" s="818" t="s">
        <v>154</v>
      </c>
      <c r="L452" s="356">
        <v>0</v>
      </c>
      <c r="M452" s="382">
        <f t="shared" si="76"/>
        <v>0</v>
      </c>
      <c r="N452" s="382">
        <f t="shared" si="76"/>
        <v>0</v>
      </c>
    </row>
    <row r="453" spans="1:14" x14ac:dyDescent="0.2">
      <c r="A453" s="992"/>
      <c r="B453" s="817">
        <v>53207010000000</v>
      </c>
      <c r="C453" s="818" t="s">
        <v>144</v>
      </c>
      <c r="D453" s="263">
        <f>+M443</f>
        <v>0</v>
      </c>
      <c r="E453" s="263">
        <v>0</v>
      </c>
      <c r="F453" s="359">
        <v>0</v>
      </c>
      <c r="G453" s="263">
        <f t="shared" ref="G453:G460" si="77">E453*F453</f>
        <v>0</v>
      </c>
      <c r="H453" s="264">
        <f t="shared" ref="H453:H460" si="78">D453+G453</f>
        <v>0</v>
      </c>
      <c r="K453" s="818" t="s">
        <v>155</v>
      </c>
      <c r="L453" s="356">
        <v>350000</v>
      </c>
      <c r="M453" s="382">
        <f t="shared" si="76"/>
        <v>244999.99999999997</v>
      </c>
      <c r="N453" s="775">
        <f>L453*0.3</f>
        <v>105000</v>
      </c>
    </row>
    <row r="454" spans="1:14" x14ac:dyDescent="0.2">
      <c r="A454" s="992"/>
      <c r="B454" s="817">
        <v>53207020000000</v>
      </c>
      <c r="C454" s="818" t="s">
        <v>145</v>
      </c>
      <c r="D454" s="263">
        <f>+M444</f>
        <v>178850</v>
      </c>
      <c r="E454" s="263">
        <v>0</v>
      </c>
      <c r="F454" s="359">
        <v>0</v>
      </c>
      <c r="G454" s="263">
        <f t="shared" si="77"/>
        <v>0</v>
      </c>
      <c r="H454" s="264">
        <f t="shared" si="78"/>
        <v>178850</v>
      </c>
      <c r="K454" s="818" t="s">
        <v>156</v>
      </c>
      <c r="L454" s="356">
        <v>0</v>
      </c>
      <c r="M454" s="382">
        <f t="shared" si="76"/>
        <v>0</v>
      </c>
      <c r="N454" s="382">
        <f t="shared" si="76"/>
        <v>0</v>
      </c>
    </row>
    <row r="455" spans="1:14" x14ac:dyDescent="0.2">
      <c r="A455" s="992"/>
      <c r="B455" s="817">
        <v>53208020000000</v>
      </c>
      <c r="C455" s="818" t="s">
        <v>146</v>
      </c>
      <c r="D455" s="263">
        <f>+M445</f>
        <v>0</v>
      </c>
      <c r="E455" s="263">
        <v>0</v>
      </c>
      <c r="F455" s="359">
        <v>0</v>
      </c>
      <c r="G455" s="263">
        <f t="shared" si="77"/>
        <v>0</v>
      </c>
      <c r="H455" s="264">
        <f t="shared" si="78"/>
        <v>0</v>
      </c>
      <c r="K455" s="832" t="s">
        <v>157</v>
      </c>
      <c r="L455" s="356">
        <v>0</v>
      </c>
      <c r="M455" s="382">
        <f t="shared" si="76"/>
        <v>0</v>
      </c>
      <c r="N455" s="382">
        <f t="shared" si="76"/>
        <v>0</v>
      </c>
    </row>
    <row r="456" spans="1:14" x14ac:dyDescent="0.2">
      <c r="A456" s="992"/>
      <c r="B456" s="817">
        <v>53208990000000</v>
      </c>
      <c r="C456" s="818" t="s">
        <v>147</v>
      </c>
      <c r="D456" s="263">
        <f>+M446</f>
        <v>375200</v>
      </c>
      <c r="E456" s="263">
        <v>0</v>
      </c>
      <c r="F456" s="359">
        <v>0</v>
      </c>
      <c r="G456" s="263">
        <f t="shared" si="77"/>
        <v>0</v>
      </c>
      <c r="H456" s="264">
        <f t="shared" si="78"/>
        <v>375200</v>
      </c>
      <c r="K456" s="818" t="s">
        <v>158</v>
      </c>
      <c r="L456" s="356">
        <f>80000*12</f>
        <v>960000</v>
      </c>
      <c r="M456" s="382">
        <f t="shared" si="76"/>
        <v>672000</v>
      </c>
      <c r="N456" s="775">
        <f>L456*0.3</f>
        <v>288000</v>
      </c>
    </row>
    <row r="457" spans="1:14" x14ac:dyDescent="0.2">
      <c r="A457" s="992"/>
      <c r="B457" s="822">
        <v>53210020300000</v>
      </c>
      <c r="C457" s="818" t="s">
        <v>148</v>
      </c>
      <c r="D457" s="285">
        <v>0</v>
      </c>
      <c r="E457" s="285">
        <v>7560</v>
      </c>
      <c r="F457" s="383">
        <f>'B) Reajuste Tarifas y Ocupación'!I51</f>
        <v>66</v>
      </c>
      <c r="G457" s="263">
        <f t="shared" si="77"/>
        <v>498960</v>
      </c>
      <c r="H457" s="264">
        <f t="shared" si="78"/>
        <v>498960</v>
      </c>
      <c r="K457" s="818" t="s">
        <v>159</v>
      </c>
      <c r="L457" s="356">
        <v>105000</v>
      </c>
      <c r="M457" s="382">
        <f t="shared" si="76"/>
        <v>73500</v>
      </c>
      <c r="N457" s="775">
        <f>L457*0.3</f>
        <v>31500</v>
      </c>
    </row>
    <row r="458" spans="1:14" x14ac:dyDescent="0.2">
      <c r="A458" s="992"/>
      <c r="B458" s="817">
        <v>53208990000000</v>
      </c>
      <c r="C458" s="818" t="s">
        <v>149</v>
      </c>
      <c r="D458" s="263">
        <f>+M447</f>
        <v>1680000</v>
      </c>
      <c r="E458" s="263">
        <v>0</v>
      </c>
      <c r="F458" s="359">
        <v>0</v>
      </c>
      <c r="G458" s="263">
        <f t="shared" si="77"/>
        <v>0</v>
      </c>
      <c r="H458" s="264">
        <f t="shared" si="78"/>
        <v>1680000</v>
      </c>
    </row>
    <row r="459" spans="1:14" x14ac:dyDescent="0.2">
      <c r="A459" s="992"/>
      <c r="B459" s="817">
        <v>53209990000000</v>
      </c>
      <c r="C459" s="818" t="s">
        <v>150</v>
      </c>
      <c r="D459" s="263">
        <f>+M448</f>
        <v>0</v>
      </c>
      <c r="E459" s="263">
        <v>0</v>
      </c>
      <c r="F459" s="359">
        <v>0</v>
      </c>
      <c r="G459" s="263">
        <f t="shared" si="77"/>
        <v>0</v>
      </c>
      <c r="H459" s="264">
        <f t="shared" si="78"/>
        <v>0</v>
      </c>
    </row>
    <row r="460" spans="1:14" x14ac:dyDescent="0.2">
      <c r="A460" s="992"/>
      <c r="B460" s="817">
        <v>53210020100000</v>
      </c>
      <c r="C460" s="818" t="s">
        <v>151</v>
      </c>
      <c r="D460" s="263">
        <f>+M449</f>
        <v>1021803.9999999999</v>
      </c>
      <c r="E460" s="263">
        <v>0</v>
      </c>
      <c r="F460" s="359">
        <v>0</v>
      </c>
      <c r="G460" s="263">
        <f t="shared" si="77"/>
        <v>0</v>
      </c>
      <c r="H460" s="264">
        <f t="shared" si="78"/>
        <v>1021803.9999999999</v>
      </c>
    </row>
    <row r="461" spans="1:14" x14ac:dyDescent="0.2">
      <c r="A461" s="992"/>
      <c r="B461" s="258"/>
      <c r="C461" s="259" t="s">
        <v>152</v>
      </c>
      <c r="D461" s="260">
        <f>SUM(D462:D468)</f>
        <v>990500</v>
      </c>
      <c r="E461" s="261"/>
      <c r="F461" s="261"/>
      <c r="G461" s="260">
        <f>SUM(G462:G468)</f>
        <v>0</v>
      </c>
      <c r="H461" s="262">
        <f>SUM(H462:H468)</f>
        <v>990500</v>
      </c>
    </row>
    <row r="462" spans="1:14" x14ac:dyDescent="0.2">
      <c r="A462" s="992"/>
      <c r="B462" s="817">
        <v>53206030000000</v>
      </c>
      <c r="C462" s="818" t="s">
        <v>153</v>
      </c>
      <c r="D462" s="263">
        <f t="shared" ref="D462:D468" si="79">+M451</f>
        <v>0</v>
      </c>
      <c r="E462" s="263">
        <v>0</v>
      </c>
      <c r="F462" s="359">
        <v>0</v>
      </c>
      <c r="G462" s="263">
        <f t="shared" ref="G462:G468" si="80">E462*F462</f>
        <v>0</v>
      </c>
      <c r="H462" s="264">
        <f t="shared" ref="H462:H468" si="81">D462+G462</f>
        <v>0</v>
      </c>
    </row>
    <row r="463" spans="1:14" x14ac:dyDescent="0.2">
      <c r="A463" s="992"/>
      <c r="B463" s="817">
        <v>53206040000000</v>
      </c>
      <c r="C463" s="818" t="s">
        <v>154</v>
      </c>
      <c r="D463" s="263">
        <f t="shared" si="79"/>
        <v>0</v>
      </c>
      <c r="E463" s="263">
        <v>0</v>
      </c>
      <c r="F463" s="359">
        <v>0</v>
      </c>
      <c r="G463" s="263">
        <f t="shared" si="80"/>
        <v>0</v>
      </c>
      <c r="H463" s="264">
        <f t="shared" si="81"/>
        <v>0</v>
      </c>
    </row>
    <row r="464" spans="1:14" x14ac:dyDescent="0.2">
      <c r="A464" s="992"/>
      <c r="B464" s="817">
        <v>53206060000000</v>
      </c>
      <c r="C464" s="818" t="s">
        <v>155</v>
      </c>
      <c r="D464" s="263">
        <f t="shared" si="79"/>
        <v>244999.99999999997</v>
      </c>
      <c r="E464" s="263">
        <v>0</v>
      </c>
      <c r="F464" s="359">
        <v>0</v>
      </c>
      <c r="G464" s="263">
        <f t="shared" si="80"/>
        <v>0</v>
      </c>
      <c r="H464" s="264">
        <f t="shared" si="81"/>
        <v>244999.99999999997</v>
      </c>
    </row>
    <row r="465" spans="1:10" x14ac:dyDescent="0.2">
      <c r="A465" s="992"/>
      <c r="B465" s="817">
        <v>53206070000000</v>
      </c>
      <c r="C465" s="818" t="s">
        <v>156</v>
      </c>
      <c r="D465" s="263">
        <f t="shared" si="79"/>
        <v>0</v>
      </c>
      <c r="E465" s="263">
        <v>0</v>
      </c>
      <c r="F465" s="359">
        <v>0</v>
      </c>
      <c r="G465" s="263">
        <f t="shared" si="80"/>
        <v>0</v>
      </c>
      <c r="H465" s="264">
        <f t="shared" si="81"/>
        <v>0</v>
      </c>
    </row>
    <row r="466" spans="1:10" x14ac:dyDescent="0.2">
      <c r="A466" s="992"/>
      <c r="B466" s="817">
        <v>53206990000000</v>
      </c>
      <c r="C466" s="818" t="s">
        <v>157</v>
      </c>
      <c r="D466" s="263">
        <f t="shared" si="79"/>
        <v>0</v>
      </c>
      <c r="E466" s="263">
        <v>0</v>
      </c>
      <c r="F466" s="359">
        <v>0</v>
      </c>
      <c r="G466" s="263">
        <f t="shared" si="80"/>
        <v>0</v>
      </c>
      <c r="H466" s="264">
        <f t="shared" si="81"/>
        <v>0</v>
      </c>
    </row>
    <row r="467" spans="1:10" x14ac:dyDescent="0.2">
      <c r="A467" s="992"/>
      <c r="B467" s="817">
        <v>53208030000000</v>
      </c>
      <c r="C467" s="818" t="s">
        <v>158</v>
      </c>
      <c r="D467" s="263">
        <f t="shared" si="79"/>
        <v>672000</v>
      </c>
      <c r="E467" s="263">
        <v>0</v>
      </c>
      <c r="F467" s="359">
        <v>0</v>
      </c>
      <c r="G467" s="263">
        <f t="shared" si="80"/>
        <v>0</v>
      </c>
      <c r="H467" s="264">
        <f t="shared" si="81"/>
        <v>672000</v>
      </c>
    </row>
    <row r="468" spans="1:10" x14ac:dyDescent="0.2">
      <c r="A468" s="992"/>
      <c r="B468" s="817">
        <v>53206990000000</v>
      </c>
      <c r="C468" s="818" t="s">
        <v>159</v>
      </c>
      <c r="D468" s="263">
        <f t="shared" si="79"/>
        <v>73500</v>
      </c>
      <c r="E468" s="263">
        <v>0</v>
      </c>
      <c r="F468" s="359">
        <v>0</v>
      </c>
      <c r="G468" s="263">
        <f t="shared" si="80"/>
        <v>0</v>
      </c>
      <c r="H468" s="264">
        <f t="shared" si="81"/>
        <v>73500</v>
      </c>
    </row>
    <row r="469" spans="1:10" x14ac:dyDescent="0.2">
      <c r="A469" s="992"/>
      <c r="B469" s="258"/>
      <c r="C469" s="259" t="s">
        <v>160</v>
      </c>
      <c r="D469" s="260">
        <f>SUM(D470:D470)</f>
        <v>0</v>
      </c>
      <c r="E469" s="261"/>
      <c r="F469" s="261"/>
      <c r="G469" s="260">
        <f>SUM(G470:G470)</f>
        <v>660000</v>
      </c>
      <c r="H469" s="262">
        <f>SUM(H470:H470)</f>
        <v>660000</v>
      </c>
    </row>
    <row r="470" spans="1:10" x14ac:dyDescent="0.2">
      <c r="A470" s="992"/>
      <c r="B470" s="826"/>
      <c r="C470" s="827" t="s">
        <v>161</v>
      </c>
      <c r="D470" s="265">
        <v>0</v>
      </c>
      <c r="E470" s="265">
        <v>10000</v>
      </c>
      <c r="F470" s="831">
        <f>'B) Reajuste Tarifas y Ocupación'!I51</f>
        <v>66</v>
      </c>
      <c r="G470" s="263">
        <f>E470*F470</f>
        <v>660000</v>
      </c>
      <c r="H470" s="287">
        <f>D470+G470</f>
        <v>660000</v>
      </c>
      <c r="I470" s="306" t="s">
        <v>162</v>
      </c>
      <c r="J470" s="307">
        <f>+H468+H467+H466+H465+H464+H463+H462+H460+H459+H458+H457+H456+H455+H454+H453+H451+H448+H447+H446+H445+H444+H442+H440+H439+H433+H432+H431+H429+H428+H427+H426+H425+H424+H423+H422+H421+H420+H419</f>
        <v>23440418.399999999</v>
      </c>
    </row>
    <row r="471" spans="1:10" x14ac:dyDescent="0.2">
      <c r="A471" s="992"/>
      <c r="B471" s="290"/>
      <c r="C471" s="308" t="s">
        <v>163</v>
      </c>
      <c r="D471" s="288">
        <f>SUM(D408,D435)</f>
        <v>139229851.05184001</v>
      </c>
      <c r="E471" s="379"/>
      <c r="F471" s="379"/>
      <c r="G471" s="288">
        <f>SUM(G408,G435)</f>
        <v>24635850</v>
      </c>
      <c r="H471" s="289">
        <f>SUM(H408,H435)</f>
        <v>163865701.05184001</v>
      </c>
      <c r="I471" s="309" t="s">
        <v>164</v>
      </c>
      <c r="J471" s="310">
        <f>+H471-J470</f>
        <v>140425282.65184</v>
      </c>
    </row>
    <row r="472" spans="1:10" ht="12.75" customHeight="1" x14ac:dyDescent="0.2">
      <c r="A472" s="994" t="s">
        <v>165</v>
      </c>
      <c r="B472" s="995" t="s">
        <v>90</v>
      </c>
      <c r="C472" s="996" t="s">
        <v>91</v>
      </c>
      <c r="D472" s="997" t="s">
        <v>92</v>
      </c>
      <c r="E472" s="998" t="s">
        <v>93</v>
      </c>
      <c r="F472" s="998"/>
      <c r="G472" s="998"/>
      <c r="H472" s="991" t="s">
        <v>94</v>
      </c>
    </row>
    <row r="473" spans="1:10" ht="25.5" x14ac:dyDescent="0.2">
      <c r="A473" s="994"/>
      <c r="B473" s="995"/>
      <c r="C473" s="996"/>
      <c r="D473" s="997"/>
      <c r="E473" s="38" t="s">
        <v>95</v>
      </c>
      <c r="F473" s="251" t="s">
        <v>96</v>
      </c>
      <c r="G473" s="789" t="s">
        <v>97</v>
      </c>
      <c r="H473" s="991"/>
    </row>
    <row r="474" spans="1:10" ht="15.75" customHeight="1" x14ac:dyDescent="0.2">
      <c r="A474" s="992" t="s">
        <v>40</v>
      </c>
      <c r="B474" s="252"/>
      <c r="C474" s="253" t="s">
        <v>98</v>
      </c>
      <c r="D474" s="254">
        <f>+D475+D480</f>
        <v>54898628.159040004</v>
      </c>
      <c r="E474" s="295"/>
      <c r="F474" s="295"/>
      <c r="G474" s="256">
        <f>SUM(G475,G480)</f>
        <v>3396360</v>
      </c>
      <c r="H474" s="257">
        <f>SUM(H475,H480)</f>
        <v>58294988.159040004</v>
      </c>
    </row>
    <row r="475" spans="1:10" x14ac:dyDescent="0.2">
      <c r="A475" s="992"/>
      <c r="B475" s="258"/>
      <c r="C475" s="259" t="s">
        <v>99</v>
      </c>
      <c r="D475" s="260">
        <f>SUM(D476:D479)</f>
        <v>50947132.559040003</v>
      </c>
      <c r="E475" s="261"/>
      <c r="F475" s="261"/>
      <c r="G475" s="46">
        <f>SUM(G476:G479)</f>
        <v>0</v>
      </c>
      <c r="H475" s="262">
        <f>SUM(H476:H479)</f>
        <v>50947132.559040003</v>
      </c>
    </row>
    <row r="476" spans="1:10" x14ac:dyDescent="0.2">
      <c r="A476" s="992"/>
      <c r="B476" s="817">
        <v>53103040100000</v>
      </c>
      <c r="C476" s="818" t="s">
        <v>100</v>
      </c>
      <c r="D476" s="298">
        <f>+'F) Remuneraciones'!L126</f>
        <v>50442705.504000001</v>
      </c>
      <c r="E476" s="263">
        <v>0</v>
      </c>
      <c r="F476" s="829">
        <v>0</v>
      </c>
      <c r="G476" s="263">
        <f>E476*F476</f>
        <v>0</v>
      </c>
      <c r="H476" s="264">
        <f>D476+G476</f>
        <v>50442705.504000001</v>
      </c>
    </row>
    <row r="477" spans="1:10" x14ac:dyDescent="0.2">
      <c r="A477" s="992"/>
      <c r="B477" s="817">
        <v>53103050000000</v>
      </c>
      <c r="C477" s="818" t="s">
        <v>166</v>
      </c>
      <c r="D477" s="265">
        <v>0</v>
      </c>
      <c r="E477" s="266">
        <v>0</v>
      </c>
      <c r="F477" s="267">
        <v>0</v>
      </c>
      <c r="G477" s="263">
        <f>E477*F477</f>
        <v>0</v>
      </c>
      <c r="H477" s="264">
        <f>D477+G477</f>
        <v>0</v>
      </c>
    </row>
    <row r="478" spans="1:10" x14ac:dyDescent="0.2">
      <c r="A478" s="992"/>
      <c r="B478" s="822">
        <v>53103040400000</v>
      </c>
      <c r="C478" s="823" t="s">
        <v>102</v>
      </c>
      <c r="D478" s="265">
        <f>D476*0.01</f>
        <v>504427.05504000001</v>
      </c>
      <c r="E478" s="266">
        <v>0</v>
      </c>
      <c r="F478" s="267">
        <v>0</v>
      </c>
      <c r="G478" s="263">
        <f>E478*F478</f>
        <v>0</v>
      </c>
      <c r="H478" s="264">
        <f>D478+G478</f>
        <v>504427.05504000001</v>
      </c>
    </row>
    <row r="479" spans="1:10" x14ac:dyDescent="0.2">
      <c r="A479" s="992"/>
      <c r="B479" s="817">
        <v>53103080010000</v>
      </c>
      <c r="C479" s="818" t="s">
        <v>103</v>
      </c>
      <c r="D479" s="265">
        <v>0</v>
      </c>
      <c r="E479" s="266">
        <v>0</v>
      </c>
      <c r="F479" s="267">
        <v>0</v>
      </c>
      <c r="G479" s="263">
        <f>E479*F479</f>
        <v>0</v>
      </c>
      <c r="H479" s="264">
        <f>D479+G479</f>
        <v>0</v>
      </c>
    </row>
    <row r="480" spans="1:10" x14ac:dyDescent="0.2">
      <c r="A480" s="992"/>
      <c r="B480" s="258"/>
      <c r="C480" s="259" t="s">
        <v>104</v>
      </c>
      <c r="D480" s="260">
        <f>SUM(D481:D500)</f>
        <v>3951495.5999999992</v>
      </c>
      <c r="E480" s="261"/>
      <c r="F480" s="261"/>
      <c r="G480" s="260">
        <f>SUM(G481:G500)</f>
        <v>3396360</v>
      </c>
      <c r="H480" s="262">
        <f>SUM(H481:H500)</f>
        <v>7347855.5999999996</v>
      </c>
    </row>
    <row r="481" spans="1:8" x14ac:dyDescent="0.2">
      <c r="A481" s="992"/>
      <c r="B481" s="817">
        <v>53201010100000</v>
      </c>
      <c r="C481" s="818" t="s">
        <v>105</v>
      </c>
      <c r="D481" s="265">
        <v>0</v>
      </c>
      <c r="E481" s="266">
        <v>1821</v>
      </c>
      <c r="F481" s="267">
        <f>6*10*11</f>
        <v>660</v>
      </c>
      <c r="G481" s="263">
        <f t="shared" ref="G481:G500" si="82">E481*F481</f>
        <v>1201860</v>
      </c>
      <c r="H481" s="264">
        <f t="shared" ref="H481:H500" si="83">D481+G481</f>
        <v>1201860</v>
      </c>
    </row>
    <row r="482" spans="1:8" x14ac:dyDescent="0.2">
      <c r="A482" s="992"/>
      <c r="B482" s="817">
        <v>53201010100000</v>
      </c>
      <c r="C482" s="818" t="s">
        <v>106</v>
      </c>
      <c r="D482" s="265">
        <v>0</v>
      </c>
      <c r="E482" s="266">
        <v>700</v>
      </c>
      <c r="F482" s="267">
        <f>19*15*11</f>
        <v>3135</v>
      </c>
      <c r="G482" s="263">
        <f t="shared" si="82"/>
        <v>2194500</v>
      </c>
      <c r="H482" s="264">
        <f t="shared" si="83"/>
        <v>2194500</v>
      </c>
    </row>
    <row r="483" spans="1:8" x14ac:dyDescent="0.2">
      <c r="A483" s="992"/>
      <c r="B483" s="817">
        <v>53201010100000</v>
      </c>
      <c r="C483" s="818" t="s">
        <v>107</v>
      </c>
      <c r="D483" s="265">
        <v>0</v>
      </c>
      <c r="E483" s="266">
        <v>0</v>
      </c>
      <c r="F483" s="267">
        <v>0</v>
      </c>
      <c r="G483" s="263">
        <f t="shared" si="82"/>
        <v>0</v>
      </c>
      <c r="H483" s="264">
        <f t="shared" si="83"/>
        <v>0</v>
      </c>
    </row>
    <row r="484" spans="1:8" x14ac:dyDescent="0.2">
      <c r="A484" s="992"/>
      <c r="B484" s="817">
        <v>53202010100000</v>
      </c>
      <c r="C484" s="818" t="s">
        <v>108</v>
      </c>
      <c r="D484" s="263">
        <f t="shared" ref="D484:D500" si="84">+N410</f>
        <v>0</v>
      </c>
      <c r="E484" s="263">
        <v>0</v>
      </c>
      <c r="F484" s="833">
        <v>0</v>
      </c>
      <c r="G484" s="263">
        <f t="shared" si="82"/>
        <v>0</v>
      </c>
      <c r="H484" s="264">
        <f t="shared" si="83"/>
        <v>0</v>
      </c>
    </row>
    <row r="485" spans="1:8" x14ac:dyDescent="0.2">
      <c r="A485" s="992"/>
      <c r="B485" s="817">
        <v>53203010100000</v>
      </c>
      <c r="C485" s="818" t="s">
        <v>109</v>
      </c>
      <c r="D485" s="263">
        <f t="shared" si="84"/>
        <v>0</v>
      </c>
      <c r="E485" s="263">
        <v>0</v>
      </c>
      <c r="F485" s="833">
        <v>0</v>
      </c>
      <c r="G485" s="263">
        <f t="shared" si="82"/>
        <v>0</v>
      </c>
      <c r="H485" s="264">
        <f t="shared" si="83"/>
        <v>0</v>
      </c>
    </row>
    <row r="486" spans="1:8" x14ac:dyDescent="0.2">
      <c r="A486" s="992"/>
      <c r="B486" s="817">
        <v>53203030000000</v>
      </c>
      <c r="C486" s="818" t="s">
        <v>110</v>
      </c>
      <c r="D486" s="263">
        <f t="shared" si="84"/>
        <v>0</v>
      </c>
      <c r="E486" s="263">
        <v>0</v>
      </c>
      <c r="F486" s="833">
        <v>0</v>
      </c>
      <c r="G486" s="263">
        <f t="shared" si="82"/>
        <v>0</v>
      </c>
      <c r="H486" s="264">
        <f t="shared" si="83"/>
        <v>0</v>
      </c>
    </row>
    <row r="487" spans="1:8" x14ac:dyDescent="0.2">
      <c r="A487" s="992"/>
      <c r="B487" s="817">
        <v>53204030000000</v>
      </c>
      <c r="C487" s="818" t="s">
        <v>111</v>
      </c>
      <c r="D487" s="263">
        <f t="shared" si="84"/>
        <v>47502</v>
      </c>
      <c r="E487" s="263">
        <v>0</v>
      </c>
      <c r="F487" s="833">
        <v>0</v>
      </c>
      <c r="G487" s="263">
        <f t="shared" si="82"/>
        <v>0</v>
      </c>
      <c r="H487" s="264">
        <f t="shared" si="83"/>
        <v>47502</v>
      </c>
    </row>
    <row r="488" spans="1:8" x14ac:dyDescent="0.2">
      <c r="A488" s="992"/>
      <c r="B488" s="817">
        <v>53204100100001</v>
      </c>
      <c r="C488" s="818" t="s">
        <v>112</v>
      </c>
      <c r="D488" s="263">
        <f t="shared" si="84"/>
        <v>0</v>
      </c>
      <c r="E488" s="263">
        <v>0</v>
      </c>
      <c r="F488" s="833">
        <v>0</v>
      </c>
      <c r="G488" s="263">
        <f t="shared" si="82"/>
        <v>0</v>
      </c>
      <c r="H488" s="264">
        <f t="shared" si="83"/>
        <v>0</v>
      </c>
    </row>
    <row r="489" spans="1:8" x14ac:dyDescent="0.2">
      <c r="A489" s="992"/>
      <c r="B489" s="817">
        <v>53204130100000</v>
      </c>
      <c r="C489" s="818" t="s">
        <v>113</v>
      </c>
      <c r="D489" s="263">
        <f t="shared" si="84"/>
        <v>0</v>
      </c>
      <c r="E489" s="263">
        <v>0</v>
      </c>
      <c r="F489" s="833">
        <v>0</v>
      </c>
      <c r="G489" s="263">
        <f t="shared" si="82"/>
        <v>0</v>
      </c>
      <c r="H489" s="264">
        <f t="shared" si="83"/>
        <v>0</v>
      </c>
    </row>
    <row r="490" spans="1:8" x14ac:dyDescent="0.2">
      <c r="A490" s="992"/>
      <c r="B490" s="817">
        <v>53205010100000</v>
      </c>
      <c r="C490" s="818" t="s">
        <v>114</v>
      </c>
      <c r="D490" s="263">
        <f t="shared" si="84"/>
        <v>1152975.5999999999</v>
      </c>
      <c r="E490" s="263">
        <v>0</v>
      </c>
      <c r="F490" s="833">
        <v>0</v>
      </c>
      <c r="G490" s="263">
        <f t="shared" si="82"/>
        <v>0</v>
      </c>
      <c r="H490" s="264">
        <f t="shared" si="83"/>
        <v>1152975.5999999999</v>
      </c>
    </row>
    <row r="491" spans="1:8" x14ac:dyDescent="0.2">
      <c r="A491" s="992"/>
      <c r="B491" s="817">
        <v>53205020100000</v>
      </c>
      <c r="C491" s="818" t="s">
        <v>115</v>
      </c>
      <c r="D491" s="263">
        <f t="shared" si="84"/>
        <v>303129.59999999998</v>
      </c>
      <c r="E491" s="263">
        <v>0</v>
      </c>
      <c r="F491" s="833">
        <v>0</v>
      </c>
      <c r="G491" s="263">
        <f t="shared" si="82"/>
        <v>0</v>
      </c>
      <c r="H491" s="264">
        <f t="shared" si="83"/>
        <v>303129.59999999998</v>
      </c>
    </row>
    <row r="492" spans="1:8" x14ac:dyDescent="0.2">
      <c r="A492" s="992"/>
      <c r="B492" s="817">
        <v>53205030100000</v>
      </c>
      <c r="C492" s="818" t="s">
        <v>116</v>
      </c>
      <c r="D492" s="263">
        <f t="shared" si="84"/>
        <v>773216.4</v>
      </c>
      <c r="E492" s="263">
        <v>0</v>
      </c>
      <c r="F492" s="833">
        <v>0</v>
      </c>
      <c r="G492" s="263">
        <f t="shared" si="82"/>
        <v>0</v>
      </c>
      <c r="H492" s="264">
        <f t="shared" si="83"/>
        <v>773216.4</v>
      </c>
    </row>
    <row r="493" spans="1:8" x14ac:dyDescent="0.2">
      <c r="A493" s="992"/>
      <c r="B493" s="817">
        <v>53205050100000</v>
      </c>
      <c r="C493" s="818" t="s">
        <v>117</v>
      </c>
      <c r="D493" s="263">
        <f t="shared" si="84"/>
        <v>186454.8</v>
      </c>
      <c r="E493" s="263">
        <v>0</v>
      </c>
      <c r="F493" s="833">
        <v>0</v>
      </c>
      <c r="G493" s="263">
        <f t="shared" si="82"/>
        <v>0</v>
      </c>
      <c r="H493" s="264">
        <f t="shared" si="83"/>
        <v>186454.8</v>
      </c>
    </row>
    <row r="494" spans="1:8" x14ac:dyDescent="0.2">
      <c r="A494" s="992"/>
      <c r="B494" s="817">
        <v>53205070100000</v>
      </c>
      <c r="C494" s="818" t="s">
        <v>118</v>
      </c>
      <c r="D494" s="263">
        <f t="shared" si="84"/>
        <v>0</v>
      </c>
      <c r="E494" s="263">
        <v>0</v>
      </c>
      <c r="F494" s="833">
        <v>0</v>
      </c>
      <c r="G494" s="263">
        <f t="shared" si="82"/>
        <v>0</v>
      </c>
      <c r="H494" s="264">
        <f t="shared" si="83"/>
        <v>0</v>
      </c>
    </row>
    <row r="495" spans="1:8" x14ac:dyDescent="0.2">
      <c r="A495" s="992"/>
      <c r="B495" s="817">
        <v>53208010100000</v>
      </c>
      <c r="C495" s="818" t="s">
        <v>119</v>
      </c>
      <c r="D495" s="263">
        <f t="shared" si="84"/>
        <v>632176.79999999993</v>
      </c>
      <c r="E495" s="263">
        <v>0</v>
      </c>
      <c r="F495" s="833">
        <v>0</v>
      </c>
      <c r="G495" s="263">
        <f t="shared" si="82"/>
        <v>0</v>
      </c>
      <c r="H495" s="264">
        <f t="shared" si="83"/>
        <v>632176.79999999993</v>
      </c>
    </row>
    <row r="496" spans="1:8" x14ac:dyDescent="0.2">
      <c r="A496" s="992"/>
      <c r="B496" s="817">
        <v>53208070100001</v>
      </c>
      <c r="C496" s="818" t="s">
        <v>120</v>
      </c>
      <c r="D496" s="263">
        <f t="shared" si="84"/>
        <v>0</v>
      </c>
      <c r="E496" s="263">
        <v>0</v>
      </c>
      <c r="F496" s="833">
        <v>0</v>
      </c>
      <c r="G496" s="263">
        <f t="shared" si="82"/>
        <v>0</v>
      </c>
      <c r="H496" s="264">
        <f t="shared" si="83"/>
        <v>0</v>
      </c>
    </row>
    <row r="497" spans="1:8" x14ac:dyDescent="0.2">
      <c r="A497" s="992"/>
      <c r="B497" s="817">
        <v>53208100100001</v>
      </c>
      <c r="C497" s="818" t="s">
        <v>121</v>
      </c>
      <c r="D497" s="263">
        <f t="shared" si="84"/>
        <v>0</v>
      </c>
      <c r="E497" s="263">
        <v>0</v>
      </c>
      <c r="F497" s="833">
        <v>0</v>
      </c>
      <c r="G497" s="263">
        <f t="shared" si="82"/>
        <v>0</v>
      </c>
      <c r="H497" s="264">
        <f t="shared" si="83"/>
        <v>0</v>
      </c>
    </row>
    <row r="498" spans="1:8" x14ac:dyDescent="0.2">
      <c r="A498" s="992"/>
      <c r="B498" s="817">
        <v>53211030000000</v>
      </c>
      <c r="C498" s="818" t="s">
        <v>122</v>
      </c>
      <c r="D498" s="263">
        <f t="shared" si="84"/>
        <v>0</v>
      </c>
      <c r="E498" s="263">
        <v>0</v>
      </c>
      <c r="F498" s="833">
        <v>0</v>
      </c>
      <c r="G498" s="263">
        <f t="shared" si="82"/>
        <v>0</v>
      </c>
      <c r="H498" s="264">
        <f t="shared" si="83"/>
        <v>0</v>
      </c>
    </row>
    <row r="499" spans="1:8" x14ac:dyDescent="0.2">
      <c r="A499" s="992"/>
      <c r="B499" s="817">
        <v>53212020100000</v>
      </c>
      <c r="C499" s="818" t="s">
        <v>123</v>
      </c>
      <c r="D499" s="263">
        <f t="shared" si="84"/>
        <v>856040.4</v>
      </c>
      <c r="E499" s="263">
        <v>0</v>
      </c>
      <c r="F499" s="833">
        <v>0</v>
      </c>
      <c r="G499" s="263">
        <f t="shared" si="82"/>
        <v>0</v>
      </c>
      <c r="H499" s="264">
        <f t="shared" si="83"/>
        <v>856040.4</v>
      </c>
    </row>
    <row r="500" spans="1:8" ht="15.75" customHeight="1" x14ac:dyDescent="0.2">
      <c r="A500" s="992"/>
      <c r="B500" s="817">
        <v>53214020000000</v>
      </c>
      <c r="C500" s="818" t="s">
        <v>124</v>
      </c>
      <c r="D500" s="263">
        <f t="shared" si="84"/>
        <v>0</v>
      </c>
      <c r="E500" s="263">
        <v>0</v>
      </c>
      <c r="F500" s="833">
        <v>0</v>
      </c>
      <c r="G500" s="263">
        <f t="shared" si="82"/>
        <v>0</v>
      </c>
      <c r="H500" s="264">
        <f t="shared" si="83"/>
        <v>0</v>
      </c>
    </row>
    <row r="501" spans="1:8" x14ac:dyDescent="0.2">
      <c r="A501" s="992"/>
      <c r="B501" s="252"/>
      <c r="C501" s="253" t="s">
        <v>125</v>
      </c>
      <c r="D501" s="830">
        <f>+D502+D507+D509+D518+D527+D535</f>
        <v>5087642.4000000004</v>
      </c>
      <c r="E501" s="255"/>
      <c r="F501" s="255"/>
      <c r="G501" s="254">
        <f>SUM(G502,G507,G509,G518,G527,G535)</f>
        <v>990000</v>
      </c>
      <c r="H501" s="830">
        <f>SUM(H502,H507,H509,H518,H527,H535)</f>
        <v>6077642.4000000004</v>
      </c>
    </row>
    <row r="502" spans="1:8" x14ac:dyDescent="0.2">
      <c r="A502" s="992"/>
      <c r="B502" s="258"/>
      <c r="C502" s="259" t="s">
        <v>126</v>
      </c>
      <c r="D502" s="260">
        <f>SUM(D503:D506)</f>
        <v>26636.399999999998</v>
      </c>
      <c r="E502" s="261"/>
      <c r="F502" s="261"/>
      <c r="G502" s="260">
        <f>SUM(G503:G506)</f>
        <v>240000</v>
      </c>
      <c r="H502" s="260">
        <f>SUM(H503:H506)</f>
        <v>266636.40000000002</v>
      </c>
    </row>
    <row r="503" spans="1:8" x14ac:dyDescent="0.2">
      <c r="A503" s="992"/>
      <c r="B503" s="817">
        <v>53202020100000</v>
      </c>
      <c r="C503" s="818" t="s">
        <v>127</v>
      </c>
      <c r="D503" s="265">
        <v>0</v>
      </c>
      <c r="E503" s="266">
        <v>40000</v>
      </c>
      <c r="F503" s="357">
        <v>6</v>
      </c>
      <c r="G503" s="263">
        <f>E503*F503</f>
        <v>240000</v>
      </c>
      <c r="H503" s="264">
        <f>D503+G503</f>
        <v>240000</v>
      </c>
    </row>
    <row r="504" spans="1:8" x14ac:dyDescent="0.2">
      <c r="A504" s="992"/>
      <c r="B504" s="817">
        <v>53202030000000</v>
      </c>
      <c r="C504" s="818" t="s">
        <v>128</v>
      </c>
      <c r="D504" s="265">
        <v>0</v>
      </c>
      <c r="E504" s="266">
        <v>0</v>
      </c>
      <c r="F504" s="357">
        <v>0</v>
      </c>
      <c r="G504" s="263">
        <f>E504*F504</f>
        <v>0</v>
      </c>
      <c r="H504" s="264">
        <f>D504+G504</f>
        <v>0</v>
      </c>
    </row>
    <row r="505" spans="1:8" x14ac:dyDescent="0.2">
      <c r="A505" s="992"/>
      <c r="B505" s="817">
        <v>53211020000000</v>
      </c>
      <c r="C505" s="818" t="s">
        <v>129</v>
      </c>
      <c r="D505" s="263">
        <f>+N429</f>
        <v>26636.399999999998</v>
      </c>
      <c r="E505" s="263">
        <v>0</v>
      </c>
      <c r="F505" s="359">
        <v>0</v>
      </c>
      <c r="G505" s="263">
        <f>E505*F505</f>
        <v>0</v>
      </c>
      <c r="H505" s="264">
        <f>D505+G505</f>
        <v>26636.399999999998</v>
      </c>
    </row>
    <row r="506" spans="1:8" x14ac:dyDescent="0.2">
      <c r="A506" s="992"/>
      <c r="B506" s="817">
        <v>53101040600000</v>
      </c>
      <c r="C506" s="818" t="s">
        <v>130</v>
      </c>
      <c r="D506" s="263">
        <f>+N430</f>
        <v>0</v>
      </c>
      <c r="E506" s="263">
        <v>0</v>
      </c>
      <c r="F506" s="359">
        <v>0</v>
      </c>
      <c r="G506" s="263">
        <f>E506*F506</f>
        <v>0</v>
      </c>
      <c r="H506" s="264">
        <f>D506+G506</f>
        <v>0</v>
      </c>
    </row>
    <row r="507" spans="1:8" x14ac:dyDescent="0.2">
      <c r="A507" s="992"/>
      <c r="B507" s="258"/>
      <c r="C507" s="259" t="s">
        <v>131</v>
      </c>
      <c r="D507" s="260">
        <f>SUM(D508)</f>
        <v>0</v>
      </c>
      <c r="E507" s="261"/>
      <c r="F507" s="261"/>
      <c r="G507" s="279">
        <f>SUM(G508:G508)</f>
        <v>0</v>
      </c>
      <c r="H507" s="260">
        <f>SUM(H508:H508)</f>
        <v>0</v>
      </c>
    </row>
    <row r="508" spans="1:8" x14ac:dyDescent="0.2">
      <c r="A508" s="992"/>
      <c r="B508" s="825">
        <v>53205990000000</v>
      </c>
      <c r="C508" s="818" t="s">
        <v>132</v>
      </c>
      <c r="D508" s="263">
        <f>+N432</f>
        <v>0</v>
      </c>
      <c r="E508" s="263">
        <v>0</v>
      </c>
      <c r="F508" s="359">
        <v>0</v>
      </c>
      <c r="G508" s="263">
        <f>E508*F508</f>
        <v>0</v>
      </c>
      <c r="H508" s="264">
        <f>D508+G508</f>
        <v>0</v>
      </c>
    </row>
    <row r="509" spans="1:8" x14ac:dyDescent="0.2">
      <c r="A509" s="992"/>
      <c r="B509" s="258"/>
      <c r="C509" s="259" t="s">
        <v>133</v>
      </c>
      <c r="D509" s="260">
        <f>SUM(D510:D517)</f>
        <v>3241140</v>
      </c>
      <c r="E509" s="261"/>
      <c r="F509" s="261"/>
      <c r="G509" s="260">
        <f>SUM(G510:G517)</f>
        <v>750000</v>
      </c>
      <c r="H509" s="260">
        <f>SUM(H510:H517)</f>
        <v>3991140</v>
      </c>
    </row>
    <row r="510" spans="1:8" x14ac:dyDescent="0.2">
      <c r="A510" s="992"/>
      <c r="B510" s="817">
        <v>53204010000000</v>
      </c>
      <c r="C510" s="818" t="s">
        <v>134</v>
      </c>
      <c r="D510" s="263">
        <f t="shared" ref="D510:D517" si="85">+N434</f>
        <v>73499.999999999985</v>
      </c>
      <c r="E510" s="263">
        <v>0</v>
      </c>
      <c r="F510" s="359">
        <v>0</v>
      </c>
      <c r="G510" s="263">
        <f t="shared" ref="G510:G517" si="86">E510*F510</f>
        <v>0</v>
      </c>
      <c r="H510" s="264">
        <f t="shared" ref="H510:H517" si="87">D510+G510</f>
        <v>73499.999999999985</v>
      </c>
    </row>
    <row r="511" spans="1:8" x14ac:dyDescent="0.2">
      <c r="A511" s="992"/>
      <c r="B511" s="825">
        <v>53204040200000</v>
      </c>
      <c r="C511" s="818" t="s">
        <v>135</v>
      </c>
      <c r="D511" s="263">
        <f t="shared" si="85"/>
        <v>37800</v>
      </c>
      <c r="E511" s="263">
        <v>0</v>
      </c>
      <c r="F511" s="359">
        <v>0</v>
      </c>
      <c r="G511" s="263">
        <f t="shared" si="86"/>
        <v>0</v>
      </c>
      <c r="H511" s="264">
        <f t="shared" si="87"/>
        <v>37800</v>
      </c>
    </row>
    <row r="512" spans="1:8" x14ac:dyDescent="0.2">
      <c r="A512" s="992"/>
      <c r="B512" s="817">
        <v>53204060000000</v>
      </c>
      <c r="C512" s="818" t="s">
        <v>136</v>
      </c>
      <c r="D512" s="263">
        <f t="shared" si="85"/>
        <v>38400</v>
      </c>
      <c r="E512" s="263">
        <v>0</v>
      </c>
      <c r="F512" s="359">
        <v>0</v>
      </c>
      <c r="G512" s="263">
        <f t="shared" si="86"/>
        <v>0</v>
      </c>
      <c r="H512" s="264">
        <f t="shared" si="87"/>
        <v>38400</v>
      </c>
    </row>
    <row r="513" spans="1:8" x14ac:dyDescent="0.2">
      <c r="A513" s="992"/>
      <c r="B513" s="817">
        <v>53204070000000</v>
      </c>
      <c r="C513" s="818" t="s">
        <v>137</v>
      </c>
      <c r="D513" s="263">
        <f t="shared" si="85"/>
        <v>2671440</v>
      </c>
      <c r="E513" s="263">
        <v>75000</v>
      </c>
      <c r="F513" s="359">
        <v>10</v>
      </c>
      <c r="G513" s="263">
        <f t="shared" si="86"/>
        <v>750000</v>
      </c>
      <c r="H513" s="264">
        <f t="shared" si="87"/>
        <v>3421440</v>
      </c>
    </row>
    <row r="514" spans="1:8" x14ac:dyDescent="0.2">
      <c r="A514" s="992"/>
      <c r="B514" s="817">
        <v>53204080000000</v>
      </c>
      <c r="C514" s="818" t="s">
        <v>139</v>
      </c>
      <c r="D514" s="263">
        <f t="shared" si="85"/>
        <v>240000</v>
      </c>
      <c r="E514" s="263">
        <v>0</v>
      </c>
      <c r="F514" s="359">
        <v>0</v>
      </c>
      <c r="G514" s="263">
        <f t="shared" si="86"/>
        <v>0</v>
      </c>
      <c r="H514" s="264">
        <f t="shared" si="87"/>
        <v>240000</v>
      </c>
    </row>
    <row r="515" spans="1:8" x14ac:dyDescent="0.2">
      <c r="A515" s="992"/>
      <c r="B515" s="817">
        <v>53214010000000</v>
      </c>
      <c r="C515" s="818" t="s">
        <v>140</v>
      </c>
      <c r="D515" s="263">
        <f t="shared" si="85"/>
        <v>0</v>
      </c>
      <c r="E515" s="263">
        <v>0</v>
      </c>
      <c r="F515" s="359">
        <v>0</v>
      </c>
      <c r="G515" s="263">
        <f t="shared" si="86"/>
        <v>0</v>
      </c>
      <c r="H515" s="264">
        <f t="shared" si="87"/>
        <v>0</v>
      </c>
    </row>
    <row r="516" spans="1:8" x14ac:dyDescent="0.2">
      <c r="A516" s="992"/>
      <c r="B516" s="817">
        <v>53214040000000</v>
      </c>
      <c r="C516" s="818" t="s">
        <v>141</v>
      </c>
      <c r="D516" s="263">
        <f t="shared" si="85"/>
        <v>0</v>
      </c>
      <c r="E516" s="263">
        <v>0</v>
      </c>
      <c r="F516" s="359">
        <v>0</v>
      </c>
      <c r="G516" s="263">
        <f t="shared" si="86"/>
        <v>0</v>
      </c>
      <c r="H516" s="264">
        <f t="shared" si="87"/>
        <v>0</v>
      </c>
    </row>
    <row r="517" spans="1:8" x14ac:dyDescent="0.2">
      <c r="A517" s="992"/>
      <c r="B517" s="822">
        <v>53204020100000</v>
      </c>
      <c r="C517" s="818" t="s">
        <v>142</v>
      </c>
      <c r="D517" s="263">
        <f t="shared" si="85"/>
        <v>180000</v>
      </c>
      <c r="E517" s="263">
        <v>0</v>
      </c>
      <c r="F517" s="359">
        <v>0</v>
      </c>
      <c r="G517" s="263">
        <f t="shared" si="86"/>
        <v>0</v>
      </c>
      <c r="H517" s="264">
        <f t="shared" si="87"/>
        <v>180000</v>
      </c>
    </row>
    <row r="518" spans="1:8" x14ac:dyDescent="0.2">
      <c r="A518" s="992"/>
      <c r="B518" s="258"/>
      <c r="C518" s="259" t="s">
        <v>143</v>
      </c>
      <c r="D518" s="260">
        <f>SUM(D519:D526)</f>
        <v>1395366</v>
      </c>
      <c r="E518" s="261"/>
      <c r="F518" s="261"/>
      <c r="G518" s="260">
        <f>SUM(G519:G526)</f>
        <v>0</v>
      </c>
      <c r="H518" s="262">
        <f>SUM(H519:H526)</f>
        <v>1395366</v>
      </c>
    </row>
    <row r="519" spans="1:8" x14ac:dyDescent="0.2">
      <c r="A519" s="992"/>
      <c r="B519" s="817">
        <v>53207010000000</v>
      </c>
      <c r="C519" s="818" t="s">
        <v>144</v>
      </c>
      <c r="D519" s="263">
        <f>+N443</f>
        <v>0</v>
      </c>
      <c r="E519" s="263">
        <v>0</v>
      </c>
      <c r="F519" s="359">
        <v>0</v>
      </c>
      <c r="G519" s="263">
        <f t="shared" ref="G519:G526" si="88">E519*F519</f>
        <v>0</v>
      </c>
      <c r="H519" s="264">
        <f t="shared" ref="H519:H526" si="89">D519+G519</f>
        <v>0</v>
      </c>
    </row>
    <row r="520" spans="1:8" x14ac:dyDescent="0.2">
      <c r="A520" s="992"/>
      <c r="B520" s="817">
        <v>53207020000000</v>
      </c>
      <c r="C520" s="818" t="s">
        <v>145</v>
      </c>
      <c r="D520" s="263">
        <f>+N444</f>
        <v>76650</v>
      </c>
      <c r="E520" s="263">
        <v>0</v>
      </c>
      <c r="F520" s="359">
        <v>0</v>
      </c>
      <c r="G520" s="263">
        <f t="shared" si="88"/>
        <v>0</v>
      </c>
      <c r="H520" s="264">
        <f t="shared" si="89"/>
        <v>76650</v>
      </c>
    </row>
    <row r="521" spans="1:8" x14ac:dyDescent="0.2">
      <c r="A521" s="992"/>
      <c r="B521" s="817">
        <v>53208020000000</v>
      </c>
      <c r="C521" s="818" t="s">
        <v>146</v>
      </c>
      <c r="D521" s="263">
        <f>+N445</f>
        <v>0</v>
      </c>
      <c r="E521" s="263">
        <v>0</v>
      </c>
      <c r="F521" s="359">
        <v>0</v>
      </c>
      <c r="G521" s="263">
        <f t="shared" si="88"/>
        <v>0</v>
      </c>
      <c r="H521" s="264">
        <f t="shared" si="89"/>
        <v>0</v>
      </c>
    </row>
    <row r="522" spans="1:8" x14ac:dyDescent="0.2">
      <c r="A522" s="992"/>
      <c r="B522" s="817">
        <v>53208990000000</v>
      </c>
      <c r="C522" s="818" t="s">
        <v>147</v>
      </c>
      <c r="D522" s="263">
        <f>+N446</f>
        <v>160800</v>
      </c>
      <c r="E522" s="263">
        <v>0</v>
      </c>
      <c r="F522" s="359">
        <v>0</v>
      </c>
      <c r="G522" s="263">
        <f t="shared" si="88"/>
        <v>0</v>
      </c>
      <c r="H522" s="264">
        <f t="shared" si="89"/>
        <v>160800</v>
      </c>
    </row>
    <row r="523" spans="1:8" x14ac:dyDescent="0.2">
      <c r="A523" s="992"/>
      <c r="B523" s="822">
        <v>53210020300000</v>
      </c>
      <c r="C523" s="818" t="s">
        <v>148</v>
      </c>
      <c r="D523" s="305">
        <v>0</v>
      </c>
      <c r="E523" s="305">
        <v>0</v>
      </c>
      <c r="F523" s="358">
        <v>0</v>
      </c>
      <c r="G523" s="263">
        <f t="shared" si="88"/>
        <v>0</v>
      </c>
      <c r="H523" s="264">
        <f t="shared" si="89"/>
        <v>0</v>
      </c>
    </row>
    <row r="524" spans="1:8" x14ac:dyDescent="0.2">
      <c r="A524" s="992"/>
      <c r="B524" s="817">
        <v>53208990000000</v>
      </c>
      <c r="C524" s="818" t="s">
        <v>149</v>
      </c>
      <c r="D524" s="263">
        <f>+N447</f>
        <v>720000</v>
      </c>
      <c r="E524" s="263">
        <v>0</v>
      </c>
      <c r="F524" s="359">
        <v>0</v>
      </c>
      <c r="G524" s="263">
        <f t="shared" si="88"/>
        <v>0</v>
      </c>
      <c r="H524" s="264">
        <f t="shared" si="89"/>
        <v>720000</v>
      </c>
    </row>
    <row r="525" spans="1:8" x14ac:dyDescent="0.2">
      <c r="A525" s="992"/>
      <c r="B525" s="817">
        <v>53209990000000</v>
      </c>
      <c r="C525" s="818" t="s">
        <v>150</v>
      </c>
      <c r="D525" s="263">
        <f>+N448</f>
        <v>0</v>
      </c>
      <c r="E525" s="263">
        <v>0</v>
      </c>
      <c r="F525" s="359">
        <v>0</v>
      </c>
      <c r="G525" s="263">
        <f t="shared" si="88"/>
        <v>0</v>
      </c>
      <c r="H525" s="264">
        <f t="shared" si="89"/>
        <v>0</v>
      </c>
    </row>
    <row r="526" spans="1:8" x14ac:dyDescent="0.2">
      <c r="A526" s="992"/>
      <c r="B526" s="817">
        <v>53210020100000</v>
      </c>
      <c r="C526" s="818" t="s">
        <v>151</v>
      </c>
      <c r="D526" s="263">
        <f>+N449</f>
        <v>437916</v>
      </c>
      <c r="E526" s="263">
        <v>0</v>
      </c>
      <c r="F526" s="359">
        <v>0</v>
      </c>
      <c r="G526" s="263">
        <f t="shared" si="88"/>
        <v>0</v>
      </c>
      <c r="H526" s="264">
        <f t="shared" si="89"/>
        <v>437916</v>
      </c>
    </row>
    <row r="527" spans="1:8" x14ac:dyDescent="0.2">
      <c r="A527" s="992"/>
      <c r="B527" s="258"/>
      <c r="C527" s="259" t="s">
        <v>152</v>
      </c>
      <c r="D527" s="260">
        <f>SUM(D528:D534)</f>
        <v>424500</v>
      </c>
      <c r="E527" s="261"/>
      <c r="F527" s="261"/>
      <c r="G527" s="260">
        <f>SUM(G528:G534)</f>
        <v>0</v>
      </c>
      <c r="H527" s="262">
        <f>SUM(H528:H534)</f>
        <v>424500</v>
      </c>
    </row>
    <row r="528" spans="1:8" x14ac:dyDescent="0.2">
      <c r="A528" s="992"/>
      <c r="B528" s="817">
        <v>53206030000000</v>
      </c>
      <c r="C528" s="818" t="s">
        <v>153</v>
      </c>
      <c r="D528" s="263">
        <f t="shared" ref="D528:D534" si="90">+N451</f>
        <v>0</v>
      </c>
      <c r="E528" s="263">
        <v>0</v>
      </c>
      <c r="F528" s="359">
        <v>0</v>
      </c>
      <c r="G528" s="263">
        <f t="shared" ref="G528:G534" si="91">E528*F528</f>
        <v>0</v>
      </c>
      <c r="H528" s="264">
        <f t="shared" ref="H528:H534" si="92">D528+G528</f>
        <v>0</v>
      </c>
    </row>
    <row r="529" spans="1:10" x14ac:dyDescent="0.2">
      <c r="A529" s="992"/>
      <c r="B529" s="817">
        <v>53206040000000</v>
      </c>
      <c r="C529" s="818" t="s">
        <v>154</v>
      </c>
      <c r="D529" s="263">
        <f t="shared" si="90"/>
        <v>0</v>
      </c>
      <c r="E529" s="263">
        <v>0</v>
      </c>
      <c r="F529" s="359">
        <v>0</v>
      </c>
      <c r="G529" s="263">
        <f t="shared" si="91"/>
        <v>0</v>
      </c>
      <c r="H529" s="264">
        <f t="shared" si="92"/>
        <v>0</v>
      </c>
    </row>
    <row r="530" spans="1:10" x14ac:dyDescent="0.2">
      <c r="A530" s="992"/>
      <c r="B530" s="817">
        <v>53206060000000</v>
      </c>
      <c r="C530" s="818" t="s">
        <v>155</v>
      </c>
      <c r="D530" s="263">
        <f t="shared" si="90"/>
        <v>105000</v>
      </c>
      <c r="E530" s="263">
        <v>0</v>
      </c>
      <c r="F530" s="359">
        <v>0</v>
      </c>
      <c r="G530" s="263">
        <f t="shared" si="91"/>
        <v>0</v>
      </c>
      <c r="H530" s="264">
        <f t="shared" si="92"/>
        <v>105000</v>
      </c>
    </row>
    <row r="531" spans="1:10" x14ac:dyDescent="0.2">
      <c r="A531" s="992"/>
      <c r="B531" s="817">
        <v>53206070000000</v>
      </c>
      <c r="C531" s="818" t="s">
        <v>156</v>
      </c>
      <c r="D531" s="263">
        <f t="shared" si="90"/>
        <v>0</v>
      </c>
      <c r="E531" s="263">
        <v>0</v>
      </c>
      <c r="F531" s="359">
        <v>0</v>
      </c>
      <c r="G531" s="263">
        <f t="shared" si="91"/>
        <v>0</v>
      </c>
      <c r="H531" s="264">
        <f t="shared" si="92"/>
        <v>0</v>
      </c>
    </row>
    <row r="532" spans="1:10" x14ac:dyDescent="0.2">
      <c r="A532" s="992"/>
      <c r="B532" s="817">
        <v>53206990000000</v>
      </c>
      <c r="C532" s="818" t="s">
        <v>157</v>
      </c>
      <c r="D532" s="263">
        <f t="shared" si="90"/>
        <v>0</v>
      </c>
      <c r="E532" s="263">
        <v>0</v>
      </c>
      <c r="F532" s="359">
        <v>0</v>
      </c>
      <c r="G532" s="263">
        <f t="shared" si="91"/>
        <v>0</v>
      </c>
      <c r="H532" s="264">
        <f t="shared" si="92"/>
        <v>0</v>
      </c>
    </row>
    <row r="533" spans="1:10" x14ac:dyDescent="0.2">
      <c r="A533" s="992"/>
      <c r="B533" s="817">
        <v>53208030000000</v>
      </c>
      <c r="C533" s="818" t="s">
        <v>158</v>
      </c>
      <c r="D533" s="263">
        <f t="shared" si="90"/>
        <v>288000</v>
      </c>
      <c r="E533" s="263">
        <v>0</v>
      </c>
      <c r="F533" s="359">
        <v>0</v>
      </c>
      <c r="G533" s="263">
        <f t="shared" si="91"/>
        <v>0</v>
      </c>
      <c r="H533" s="264">
        <f t="shared" si="92"/>
        <v>288000</v>
      </c>
    </row>
    <row r="534" spans="1:10" x14ac:dyDescent="0.2">
      <c r="A534" s="992"/>
      <c r="B534" s="817">
        <v>53206990000000</v>
      </c>
      <c r="C534" s="818" t="s">
        <v>159</v>
      </c>
      <c r="D534" s="263">
        <f t="shared" si="90"/>
        <v>31500</v>
      </c>
      <c r="E534" s="263">
        <v>0</v>
      </c>
      <c r="F534" s="359">
        <v>0</v>
      </c>
      <c r="G534" s="263">
        <f t="shared" si="91"/>
        <v>0</v>
      </c>
      <c r="H534" s="264">
        <f t="shared" si="92"/>
        <v>31500</v>
      </c>
    </row>
    <row r="535" spans="1:10" x14ac:dyDescent="0.2">
      <c r="A535" s="992"/>
      <c r="B535" s="258"/>
      <c r="C535" s="259" t="s">
        <v>160</v>
      </c>
      <c r="D535" s="260">
        <f>SUM(D536:D536)</f>
        <v>0</v>
      </c>
      <c r="E535" s="261"/>
      <c r="F535" s="261"/>
      <c r="G535" s="260">
        <f>SUM(G536:G536)</f>
        <v>0</v>
      </c>
      <c r="H535" s="262">
        <f>SUM(H536:H536)</f>
        <v>0</v>
      </c>
    </row>
    <row r="536" spans="1:10" x14ac:dyDescent="0.2">
      <c r="A536" s="992"/>
      <c r="B536" s="826"/>
      <c r="C536" s="827" t="s">
        <v>161</v>
      </c>
      <c r="D536" s="821">
        <v>0</v>
      </c>
      <c r="E536" s="821">
        <v>0</v>
      </c>
      <c r="F536" s="357">
        <f>'B) Reajuste Tarifas y Ocupación'!I51</f>
        <v>66</v>
      </c>
      <c r="G536" s="263">
        <f>E536*F536</f>
        <v>0</v>
      </c>
      <c r="H536" s="287">
        <f>D536+G536</f>
        <v>0</v>
      </c>
      <c r="I536" s="306" t="s">
        <v>162</v>
      </c>
      <c r="J536" s="307">
        <f>+H534+H533+H532+H531+H530+H529+H528+H526+H525+H524+H523+H522+H521+H520+H519+H517+H514+H513+H512+H511+H510+H508+H506+H505+H499+H498+H497+H495+H494+H493+H492+H491+H490+H489+H488+H487+H486+H485</f>
        <v>9789138</v>
      </c>
    </row>
    <row r="537" spans="1:10" x14ac:dyDescent="0.2">
      <c r="A537" s="992"/>
      <c r="B537" s="290"/>
      <c r="C537" s="308" t="s">
        <v>163</v>
      </c>
      <c r="D537" s="288">
        <f>SUM(D474,D501)</f>
        <v>59986270.559040003</v>
      </c>
      <c r="E537" s="379"/>
      <c r="F537" s="379"/>
      <c r="G537" s="288">
        <f>SUM(G474,G501)</f>
        <v>4386360</v>
      </c>
      <c r="H537" s="289">
        <f>SUM(H474,H501)</f>
        <v>64372630.559040003</v>
      </c>
      <c r="I537" s="309" t="s">
        <v>164</v>
      </c>
      <c r="J537" s="310">
        <f>+H537-J536</f>
        <v>54583492.559040003</v>
      </c>
    </row>
    <row r="538" spans="1:10" ht="15.75" customHeight="1" x14ac:dyDescent="0.2">
      <c r="A538" s="993" t="s">
        <v>184</v>
      </c>
      <c r="B538" s="993"/>
      <c r="C538" s="993"/>
      <c r="D538" s="993"/>
      <c r="E538" s="993"/>
      <c r="F538" s="993"/>
      <c r="G538" s="993"/>
      <c r="H538" s="384">
        <f>+H75+H141+H207+H273+H339+H405+H471+H537</f>
        <v>699669375.66359985</v>
      </c>
    </row>
  </sheetData>
  <sheetProtection algorithmName="SHA-512" hashValue="h/yDF3KQaajm2rRO2EFMS5wxVIcGK4fUtbbqUCOEn+SMjvn/cVtfqXevnZ2CsdMe8AA6TYMXY5UpqnloN1MvuQ==" saltValue="UDQPvTmMSZ7N5/lBrwj4Qw==" spinCount="100000" sheet="1" objects="1" scenarios="1"/>
  <mergeCells count="84">
    <mergeCell ref="D4:E4"/>
    <mergeCell ref="A8:C8"/>
    <mergeCell ref="A10:A11"/>
    <mergeCell ref="B10:B11"/>
    <mergeCell ref="C10:C11"/>
    <mergeCell ref="D10:D11"/>
    <mergeCell ref="E10:G10"/>
    <mergeCell ref="H10:H11"/>
    <mergeCell ref="A12:A75"/>
    <mergeCell ref="A76:A77"/>
    <mergeCell ref="B76:B77"/>
    <mergeCell ref="C76:C77"/>
    <mergeCell ref="D76:D77"/>
    <mergeCell ref="E76:G76"/>
    <mergeCell ref="H76:H77"/>
    <mergeCell ref="A78:A141"/>
    <mergeCell ref="A142:A143"/>
    <mergeCell ref="B142:B143"/>
    <mergeCell ref="C142:C143"/>
    <mergeCell ref="D142:D143"/>
    <mergeCell ref="E142:G142"/>
    <mergeCell ref="H142:H143"/>
    <mergeCell ref="A144:A207"/>
    <mergeCell ref="A208:A209"/>
    <mergeCell ref="B208:B209"/>
    <mergeCell ref="C208:C209"/>
    <mergeCell ref="D208:D209"/>
    <mergeCell ref="E208:G208"/>
    <mergeCell ref="H208:H209"/>
    <mergeCell ref="K208:K209"/>
    <mergeCell ref="L208:L209"/>
    <mergeCell ref="M208:M209"/>
    <mergeCell ref="N208:N209"/>
    <mergeCell ref="O208:O209"/>
    <mergeCell ref="A210:A273"/>
    <mergeCell ref="L210:O210"/>
    <mergeCell ref="L211:O211"/>
    <mergeCell ref="L229:O229"/>
    <mergeCell ref="L230:O230"/>
    <mergeCell ref="L233:O233"/>
    <mergeCell ref="L235:O235"/>
    <mergeCell ref="L244:O244"/>
    <mergeCell ref="L252:O252"/>
    <mergeCell ref="H274:H275"/>
    <mergeCell ref="A276:A339"/>
    <mergeCell ref="A340:A341"/>
    <mergeCell ref="B340:B341"/>
    <mergeCell ref="C340:C341"/>
    <mergeCell ref="D340:D341"/>
    <mergeCell ref="E340:G340"/>
    <mergeCell ref="H340:H341"/>
    <mergeCell ref="A274:A275"/>
    <mergeCell ref="B274:B275"/>
    <mergeCell ref="C274:C275"/>
    <mergeCell ref="D274:D275"/>
    <mergeCell ref="E274:G274"/>
    <mergeCell ref="A342:A405"/>
    <mergeCell ref="A406:A407"/>
    <mergeCell ref="B406:B407"/>
    <mergeCell ref="C406:C407"/>
    <mergeCell ref="D406:D407"/>
    <mergeCell ref="N406:N407"/>
    <mergeCell ref="A408:A471"/>
    <mergeCell ref="K408:N408"/>
    <mergeCell ref="L409:N409"/>
    <mergeCell ref="L427:N427"/>
    <mergeCell ref="L428:N428"/>
    <mergeCell ref="L431:N431"/>
    <mergeCell ref="L433:N433"/>
    <mergeCell ref="L442:N442"/>
    <mergeCell ref="L450:N450"/>
    <mergeCell ref="E406:G406"/>
    <mergeCell ref="H406:H407"/>
    <mergeCell ref="K406:K407"/>
    <mergeCell ref="L406:L407"/>
    <mergeCell ref="M406:M407"/>
    <mergeCell ref="H472:H473"/>
    <mergeCell ref="A474:A537"/>
    <mergeCell ref="A538:G538"/>
    <mergeCell ref="A472:A473"/>
    <mergeCell ref="B472:B473"/>
    <mergeCell ref="C472:C473"/>
    <mergeCell ref="D472:D473"/>
    <mergeCell ref="E472:G472"/>
  </mergeCells>
  <pageMargins left="0.85" right="0.75" top="0.57013888888888897" bottom="0.90972222222222199" header="0" footer="0.51180555555555496"/>
  <pageSetup firstPageNumber="0" fitToHeight="12" orientation="landscape" horizontalDpi="300" verticalDpi="300" r:id="rId1"/>
  <headerFooter>
    <oddHeader>&amp;LSEPT - 2004&amp;CDIRECTIVA D.B.S.A.
ORDINARIO&amp;R02-BS/0307/02
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90"/>
  <sheetViews>
    <sheetView showGridLines="0" zoomScale="70" zoomScaleNormal="70" workbookViewId="0">
      <selection activeCell="I14" sqref="I14"/>
    </sheetView>
  </sheetViews>
  <sheetFormatPr baseColWidth="10" defaultColWidth="9.140625" defaultRowHeight="12.75" x14ac:dyDescent="0.2"/>
  <cols>
    <col min="1" max="1" width="13" style="837"/>
    <col min="2" max="2" width="29" style="837"/>
    <col min="3" max="3" width="29.5703125" style="837"/>
    <col min="4" max="4" width="25" style="837"/>
    <col min="5" max="5" width="42.7109375" style="837"/>
    <col min="6" max="6" width="22.7109375" style="837"/>
    <col min="7" max="9" width="15.28515625" style="837"/>
    <col min="10" max="10" width="15.42578125" style="837"/>
    <col min="11" max="11" width="15.5703125" style="837"/>
    <col min="12" max="12" width="19.7109375" style="837"/>
    <col min="13" max="13" width="5.140625" style="837"/>
    <col min="14" max="14" width="19.7109375" style="837"/>
    <col min="15" max="15" width="16.5703125" style="837"/>
    <col min="16" max="16" width="17.5703125" style="837"/>
    <col min="17" max="17" width="15.28515625" style="837"/>
    <col min="18" max="18" width="18.140625" style="837"/>
    <col min="19" max="19" width="17.5703125" style="837"/>
    <col min="20" max="20" width="17.85546875" style="837"/>
    <col min="21" max="21" width="5.140625" style="837"/>
    <col min="22" max="22" width="20.5703125" style="837"/>
    <col min="23" max="23" width="53.85546875" style="837"/>
    <col min="24" max="24" width="18.85546875" style="837"/>
    <col min="25" max="25" width="13.7109375" style="837"/>
    <col min="26" max="26" width="11.7109375" style="837"/>
    <col min="27" max="32" width="14.85546875" style="837"/>
    <col min="33" max="33" width="11.5703125" style="837"/>
    <col min="34" max="39" width="14.85546875" style="837"/>
    <col min="40" max="40" width="11.7109375" style="837"/>
    <col min="41" max="46" width="14.85546875" style="837"/>
    <col min="47" max="1025" width="11.7109375" style="837"/>
    <col min="1026" max="16384" width="9.140625" style="797"/>
  </cols>
  <sheetData>
    <row r="1" spans="1:243" s="21" customFormat="1" x14ac:dyDescent="0.2">
      <c r="E1" s="834"/>
      <c r="F1" s="834"/>
      <c r="G1" s="834"/>
      <c r="H1" s="834"/>
      <c r="I1" s="834"/>
      <c r="J1" s="1038" t="s">
        <v>185</v>
      </c>
      <c r="K1" s="1038"/>
      <c r="IH1" s="835"/>
      <c r="II1" s="835"/>
    </row>
    <row r="2" spans="1:243" x14ac:dyDescent="0.2">
      <c r="A2" s="21"/>
      <c r="B2" s="21"/>
      <c r="C2" s="21"/>
      <c r="D2" s="21"/>
      <c r="E2" s="834" t="s">
        <v>186</v>
      </c>
      <c r="F2" s="834"/>
      <c r="G2" s="834"/>
      <c r="H2" s="834"/>
      <c r="I2" s="834"/>
      <c r="J2" s="836" t="s">
        <v>187</v>
      </c>
      <c r="K2" s="836" t="s">
        <v>188</v>
      </c>
      <c r="IH2" s="835"/>
      <c r="II2" s="835"/>
    </row>
    <row r="3" spans="1:243" x14ac:dyDescent="0.2">
      <c r="A3" s="21"/>
      <c r="B3" s="838"/>
      <c r="J3" s="839">
        <v>226547.66666666701</v>
      </c>
      <c r="K3" s="839">
        <v>131218.09400000001</v>
      </c>
      <c r="HY3" s="835"/>
      <c r="HZ3" s="835"/>
      <c r="IA3" s="835"/>
      <c r="IB3" s="835"/>
      <c r="IC3" s="835"/>
      <c r="ID3" s="835"/>
    </row>
    <row r="4" spans="1:243" ht="18.75" customHeight="1" x14ac:dyDescent="0.2">
      <c r="A4" s="21"/>
      <c r="B4" s="838"/>
      <c r="D4" s="783" t="s">
        <v>27</v>
      </c>
      <c r="E4" s="840" t="str">
        <f>+'[1]B) Reajuste Tarifas y Ocupación'!F5</f>
        <v>(DEPTO./DELEG.)</v>
      </c>
      <c r="F4" s="462"/>
      <c r="G4" s="841"/>
      <c r="H4" s="841"/>
      <c r="I4" s="841"/>
      <c r="J4" s="839">
        <v>131600.66666666701</v>
      </c>
      <c r="K4" s="839"/>
      <c r="P4" s="26"/>
      <c r="HY4" s="835"/>
      <c r="HZ4" s="835"/>
      <c r="IA4" s="835"/>
      <c r="IB4" s="835"/>
      <c r="IC4" s="835"/>
      <c r="ID4" s="835"/>
    </row>
    <row r="5" spans="1:243" x14ac:dyDescent="0.2">
      <c r="A5" s="21"/>
      <c r="B5" s="838"/>
      <c r="D5" s="27"/>
      <c r="E5" s="834"/>
      <c r="F5" s="834"/>
      <c r="G5" s="834"/>
      <c r="H5" s="834"/>
      <c r="I5" s="834"/>
      <c r="J5" s="834"/>
      <c r="K5" s="834"/>
      <c r="P5" s="26"/>
      <c r="HY5" s="835"/>
      <c r="HZ5" s="835"/>
      <c r="IA5" s="835"/>
      <c r="IB5" s="835"/>
      <c r="IC5" s="835"/>
      <c r="ID5" s="835"/>
    </row>
    <row r="6" spans="1:243" x14ac:dyDescent="0.2">
      <c r="A6" s="21"/>
      <c r="B6" s="838"/>
      <c r="D6" s="27"/>
      <c r="E6" s="834"/>
      <c r="F6" s="834"/>
      <c r="G6" s="834"/>
      <c r="H6" s="834"/>
      <c r="I6" s="834"/>
      <c r="J6" s="834"/>
      <c r="K6" s="834"/>
      <c r="P6" s="26"/>
      <c r="HY6" s="835"/>
      <c r="HZ6" s="835"/>
      <c r="IA6" s="835"/>
      <c r="IB6" s="835"/>
      <c r="IC6" s="835"/>
      <c r="ID6" s="835"/>
    </row>
    <row r="7" spans="1:243" x14ac:dyDescent="0.2">
      <c r="B7" s="842"/>
      <c r="C7" s="842"/>
      <c r="D7" s="842"/>
      <c r="E7" s="842"/>
      <c r="F7" s="842"/>
      <c r="G7" s="842"/>
      <c r="H7" s="842"/>
      <c r="I7" s="842"/>
      <c r="J7" s="842"/>
      <c r="K7" s="842"/>
      <c r="L7" s="843"/>
      <c r="M7" s="843"/>
      <c r="N7" s="843"/>
      <c r="O7" s="843"/>
      <c r="P7" s="843"/>
      <c r="Q7" s="843"/>
      <c r="R7" s="843"/>
      <c r="S7" s="843"/>
      <c r="Z7" s="844"/>
      <c r="AA7" s="845"/>
      <c r="AB7" s="845"/>
      <c r="AC7" s="845"/>
      <c r="AD7" s="845"/>
      <c r="AE7" s="845"/>
      <c r="AF7" s="845"/>
      <c r="AG7" s="845"/>
      <c r="AH7" s="845"/>
      <c r="AI7" s="845"/>
      <c r="AJ7" s="845"/>
      <c r="AK7" s="845"/>
      <c r="AL7" s="845"/>
      <c r="AM7" s="845"/>
      <c r="AN7" s="845"/>
      <c r="AO7" s="845"/>
      <c r="AP7" s="845"/>
      <c r="AQ7" s="845"/>
      <c r="AR7" s="845"/>
      <c r="AS7" s="845"/>
      <c r="AT7" s="845"/>
      <c r="AU7" s="846"/>
    </row>
    <row r="8" spans="1:243" x14ac:dyDescent="0.2">
      <c r="B8" s="842"/>
      <c r="C8" s="842"/>
      <c r="D8" s="842"/>
      <c r="E8" s="842"/>
      <c r="F8" s="842"/>
      <c r="G8" s="842"/>
      <c r="H8" s="842"/>
      <c r="I8" s="842"/>
      <c r="J8" s="842"/>
      <c r="K8" s="842"/>
      <c r="L8" s="843"/>
      <c r="M8" s="843"/>
      <c r="N8" s="843"/>
      <c r="O8" s="843"/>
      <c r="P8" s="843"/>
      <c r="Q8" s="843"/>
      <c r="R8" s="843"/>
      <c r="S8" s="843"/>
      <c r="Z8" s="847"/>
      <c r="AU8" s="848"/>
    </row>
    <row r="9" spans="1:243" ht="15.75" customHeight="1" x14ac:dyDescent="0.2">
      <c r="A9" s="1039" t="s">
        <v>189</v>
      </c>
      <c r="B9" s="1039"/>
      <c r="C9" s="1039"/>
      <c r="D9" s="1039"/>
      <c r="E9" s="1039"/>
      <c r="F9" s="1039"/>
      <c r="G9" s="1039"/>
      <c r="H9" s="1039"/>
      <c r="I9" s="1039"/>
      <c r="J9" s="1039"/>
      <c r="K9" s="849"/>
      <c r="L9" s="849"/>
      <c r="M9" s="849"/>
      <c r="N9" s="1029" t="s">
        <v>190</v>
      </c>
      <c r="O9" s="1029"/>
      <c r="P9" s="1029"/>
      <c r="Q9" s="1029"/>
      <c r="R9" s="1029"/>
      <c r="S9" s="1029"/>
      <c r="T9" s="1029"/>
      <c r="V9" s="1029" t="s">
        <v>191</v>
      </c>
      <c r="W9" s="1029"/>
      <c r="X9" s="1029"/>
      <c r="Y9" s="850"/>
      <c r="Z9" s="851"/>
      <c r="AA9" s="1029" t="s">
        <v>192</v>
      </c>
      <c r="AB9" s="1029"/>
      <c r="AC9" s="1029"/>
      <c r="AD9" s="1029"/>
      <c r="AE9" s="1029"/>
      <c r="AF9" s="1029"/>
      <c r="AG9" s="850"/>
      <c r="AH9" s="1029" t="s">
        <v>193</v>
      </c>
      <c r="AI9" s="1029"/>
      <c r="AJ9" s="1029"/>
      <c r="AK9" s="1029"/>
      <c r="AL9" s="1029"/>
      <c r="AM9" s="1029"/>
      <c r="AO9" s="1029" t="s">
        <v>16</v>
      </c>
      <c r="AP9" s="1029"/>
      <c r="AQ9" s="1029"/>
      <c r="AR9" s="1029"/>
      <c r="AS9" s="1029"/>
      <c r="AT9" s="1029"/>
      <c r="AU9" s="848"/>
    </row>
    <row r="10" spans="1:243" ht="13.5" customHeight="1" x14ac:dyDescent="0.2">
      <c r="B10" s="838"/>
      <c r="C10" s="27"/>
      <c r="D10" s="27"/>
      <c r="E10" s="834"/>
      <c r="F10" s="834"/>
      <c r="G10" s="834"/>
      <c r="H10" s="834"/>
      <c r="I10" s="834"/>
      <c r="J10" s="834"/>
      <c r="K10" s="834"/>
      <c r="N10" s="1029"/>
      <c r="O10" s="1029"/>
      <c r="P10" s="1029"/>
      <c r="Q10" s="1029"/>
      <c r="R10" s="1029"/>
      <c r="S10" s="1029"/>
      <c r="T10" s="1029"/>
      <c r="V10" s="1029"/>
      <c r="W10" s="1029"/>
      <c r="X10" s="1029"/>
      <c r="Z10" s="847"/>
      <c r="AA10" s="1029"/>
      <c r="AB10" s="1029"/>
      <c r="AC10" s="1029"/>
      <c r="AD10" s="1029"/>
      <c r="AE10" s="1029"/>
      <c r="AF10" s="1029"/>
      <c r="AH10" s="1029"/>
      <c r="AI10" s="1029"/>
      <c r="AJ10" s="1029"/>
      <c r="AK10" s="1029"/>
      <c r="AL10" s="1029"/>
      <c r="AM10" s="1029"/>
      <c r="AO10" s="1029"/>
      <c r="AP10" s="1029"/>
      <c r="AQ10" s="1029"/>
      <c r="AR10" s="1029"/>
      <c r="AS10" s="1029"/>
      <c r="AT10" s="1029"/>
      <c r="AU10" s="848"/>
    </row>
    <row r="11" spans="1:243" x14ac:dyDescent="0.2">
      <c r="K11" s="852" t="s">
        <v>194</v>
      </c>
      <c r="L11" s="465">
        <v>5.7000000000000002E-2</v>
      </c>
      <c r="Z11" s="847"/>
      <c r="AU11" s="848"/>
    </row>
    <row r="12" spans="1:243" ht="12.75" customHeight="1" x14ac:dyDescent="0.2">
      <c r="N12" s="1030"/>
      <c r="O12" s="1030"/>
      <c r="P12" s="1030"/>
      <c r="Q12" s="1030"/>
      <c r="R12" s="1030"/>
      <c r="S12" s="1030"/>
      <c r="Z12" s="847"/>
      <c r="AU12" s="848"/>
    </row>
    <row r="13" spans="1:243" ht="21.75" customHeight="1" x14ac:dyDescent="0.2">
      <c r="A13" s="1031" t="s">
        <v>195</v>
      </c>
      <c r="B13" s="1031"/>
      <c r="C13" s="1032" t="s">
        <v>196</v>
      </c>
      <c r="D13" s="1032" t="s">
        <v>197</v>
      </c>
      <c r="E13" s="1033" t="s">
        <v>198</v>
      </c>
      <c r="F13" s="1033" t="s">
        <v>165</v>
      </c>
      <c r="G13" s="853">
        <v>2021</v>
      </c>
      <c r="H13" s="1034">
        <v>2022</v>
      </c>
      <c r="I13" s="1034"/>
      <c r="J13" s="1034"/>
      <c r="K13" s="1034"/>
      <c r="L13" s="1035" t="s">
        <v>199</v>
      </c>
      <c r="M13" s="843"/>
      <c r="N13" s="1024" t="s">
        <v>200</v>
      </c>
      <c r="O13" s="1024"/>
      <c r="P13" s="1025" t="s">
        <v>201</v>
      </c>
      <c r="Q13" s="1025"/>
      <c r="R13" s="1026" t="s">
        <v>202</v>
      </c>
      <c r="S13" s="1026"/>
      <c r="T13" s="1036" t="s">
        <v>203</v>
      </c>
      <c r="V13" s="1037" t="s">
        <v>90</v>
      </c>
      <c r="W13" s="997" t="s">
        <v>91</v>
      </c>
      <c r="X13" s="997" t="s">
        <v>204</v>
      </c>
      <c r="Z13" s="847"/>
      <c r="AA13" s="1024" t="s">
        <v>200</v>
      </c>
      <c r="AB13" s="1024"/>
      <c r="AC13" s="1025" t="s">
        <v>201</v>
      </c>
      <c r="AD13" s="1025"/>
      <c r="AE13" s="1026" t="s">
        <v>202</v>
      </c>
      <c r="AF13" s="1026"/>
      <c r="AH13" s="1027" t="s">
        <v>200</v>
      </c>
      <c r="AI13" s="1027"/>
      <c r="AJ13" s="1025" t="s">
        <v>201</v>
      </c>
      <c r="AK13" s="1025"/>
      <c r="AL13" s="1028" t="s">
        <v>202</v>
      </c>
      <c r="AM13" s="1028"/>
      <c r="AO13" s="1027" t="s">
        <v>200</v>
      </c>
      <c r="AP13" s="1027"/>
      <c r="AQ13" s="1025" t="s">
        <v>201</v>
      </c>
      <c r="AR13" s="1025"/>
      <c r="AS13" s="1028" t="s">
        <v>202</v>
      </c>
      <c r="AT13" s="1028"/>
      <c r="AU13" s="848"/>
    </row>
    <row r="14" spans="1:243" ht="38.25" x14ac:dyDescent="0.2">
      <c r="A14" s="1031"/>
      <c r="B14" s="1031"/>
      <c r="C14" s="1032"/>
      <c r="D14" s="1032"/>
      <c r="E14" s="1033"/>
      <c r="F14" s="1033"/>
      <c r="G14" s="854" t="s">
        <v>205</v>
      </c>
      <c r="H14" s="854" t="s">
        <v>206</v>
      </c>
      <c r="I14" s="854" t="s">
        <v>207</v>
      </c>
      <c r="J14" s="854" t="s">
        <v>208</v>
      </c>
      <c r="K14" s="854" t="s">
        <v>209</v>
      </c>
      <c r="L14" s="1035"/>
      <c r="M14" s="843"/>
      <c r="N14" s="855" t="s">
        <v>210</v>
      </c>
      <c r="O14" s="856" t="s">
        <v>211</v>
      </c>
      <c r="P14" s="857" t="s">
        <v>210</v>
      </c>
      <c r="Q14" s="858" t="s">
        <v>211</v>
      </c>
      <c r="R14" s="859" t="s">
        <v>210</v>
      </c>
      <c r="S14" s="860" t="s">
        <v>211</v>
      </c>
      <c r="T14" s="1036"/>
      <c r="V14" s="1037"/>
      <c r="W14" s="997"/>
      <c r="X14" s="997"/>
      <c r="Z14" s="847"/>
      <c r="AA14" s="855" t="s">
        <v>210</v>
      </c>
      <c r="AB14" s="856" t="s">
        <v>211</v>
      </c>
      <c r="AC14" s="857" t="s">
        <v>210</v>
      </c>
      <c r="AD14" s="858" t="s">
        <v>211</v>
      </c>
      <c r="AE14" s="859" t="s">
        <v>210</v>
      </c>
      <c r="AF14" s="860" t="s">
        <v>211</v>
      </c>
      <c r="AH14" s="861" t="s">
        <v>210</v>
      </c>
      <c r="AI14" s="862" t="s">
        <v>211</v>
      </c>
      <c r="AJ14" s="863" t="s">
        <v>210</v>
      </c>
      <c r="AK14" s="864" t="s">
        <v>211</v>
      </c>
      <c r="AL14" s="865" t="s">
        <v>210</v>
      </c>
      <c r="AM14" s="866" t="s">
        <v>211</v>
      </c>
      <c r="AO14" s="1018" t="s">
        <v>212</v>
      </c>
      <c r="AP14" s="1018"/>
      <c r="AQ14" s="1019" t="s">
        <v>212</v>
      </c>
      <c r="AR14" s="1019"/>
      <c r="AS14" s="1020" t="s">
        <v>213</v>
      </c>
      <c r="AT14" s="1020"/>
      <c r="AU14" s="848"/>
    </row>
    <row r="15" spans="1:243" ht="12.75" customHeight="1" x14ac:dyDescent="0.2">
      <c r="A15" s="1021" t="s">
        <v>214</v>
      </c>
      <c r="B15" s="1022" t="s">
        <v>215</v>
      </c>
      <c r="C15" s="386" t="s">
        <v>216</v>
      </c>
      <c r="D15" s="386" t="s">
        <v>217</v>
      </c>
      <c r="E15" s="387" t="s">
        <v>218</v>
      </c>
      <c r="F15" s="387" t="s">
        <v>219</v>
      </c>
      <c r="G15" s="388">
        <f>+[2]REMUNERACIONES!Z18</f>
        <v>23353848</v>
      </c>
      <c r="H15" s="388">
        <f t="shared" ref="H15:H20" si="0">+I15/12</f>
        <v>2057084.7779999999</v>
      </c>
      <c r="I15" s="388">
        <f t="shared" ref="I15:I20" si="1">+G15*(1+$L$11)</f>
        <v>24685017.335999999</v>
      </c>
      <c r="J15" s="388">
        <f t="shared" ref="J15:J20" si="2">IF(H15&gt;700000,$J$4,$J$3)</f>
        <v>131600.66666666701</v>
      </c>
      <c r="K15" s="388">
        <f t="shared" ref="K15:K20" si="3">+$K$3</f>
        <v>131218.09400000001</v>
      </c>
      <c r="L15" s="870">
        <f t="shared" ref="L15:L20" si="4">+I15+J15+K15</f>
        <v>24947836.096666668</v>
      </c>
      <c r="M15" s="843"/>
      <c r="N15" s="389">
        <v>0.25</v>
      </c>
      <c r="O15" s="871">
        <f t="shared" ref="O15:O20" si="5">+$L15*N15</f>
        <v>6236959.0241666669</v>
      </c>
      <c r="P15" s="389">
        <v>0.25</v>
      </c>
      <c r="Q15" s="870">
        <f t="shared" ref="Q15:Q20" si="6">+$L15*P15</f>
        <v>6236959.0241666669</v>
      </c>
      <c r="R15" s="390">
        <v>0.5</v>
      </c>
      <c r="S15" s="871">
        <f t="shared" ref="S15:S20" si="7">+$L15*R15</f>
        <v>12473918.048333334</v>
      </c>
      <c r="T15" s="872">
        <f t="shared" ref="T15:T61" si="8">+N15+P15+R15</f>
        <v>1</v>
      </c>
      <c r="V15" s="873"/>
      <c r="W15" s="294" t="s">
        <v>98</v>
      </c>
      <c r="X15" s="254">
        <f>SUM(X16,X20)</f>
        <v>113536959</v>
      </c>
      <c r="Z15" s="847"/>
      <c r="AA15" s="874">
        <f t="shared" ref="AA15:AF15" si="9">+N62</f>
        <v>0.25</v>
      </c>
      <c r="AB15" s="875">
        <f t="shared" si="9"/>
        <v>51844287.225774392</v>
      </c>
      <c r="AC15" s="874">
        <f t="shared" si="9"/>
        <v>0.25</v>
      </c>
      <c r="AD15" s="876">
        <f t="shared" si="9"/>
        <v>51844287.225774392</v>
      </c>
      <c r="AE15" s="877">
        <f t="shared" si="9"/>
        <v>0.5</v>
      </c>
      <c r="AF15" s="876">
        <f t="shared" si="9"/>
        <v>103688574.45154878</v>
      </c>
      <c r="AH15" s="878">
        <f>+AA15</f>
        <v>0.25</v>
      </c>
      <c r="AI15" s="879">
        <f>+AH15*X83</f>
        <v>39490836.5</v>
      </c>
      <c r="AJ15" s="880">
        <f>+AC15</f>
        <v>0.25</v>
      </c>
      <c r="AK15" s="879">
        <f>+AJ15*X83</f>
        <v>39490836.5</v>
      </c>
      <c r="AL15" s="881">
        <f>+AE15</f>
        <v>0.5</v>
      </c>
      <c r="AM15" s="882">
        <f>+AL15*X83</f>
        <v>78981673</v>
      </c>
      <c r="AO15" s="1023">
        <f>+AI15+AB15+L73</f>
        <v>118529501.73644106</v>
      </c>
      <c r="AP15" s="1023"/>
      <c r="AQ15" s="1023">
        <f>+AK15+AD15+L81</f>
        <v>105351660.31044106</v>
      </c>
      <c r="AR15" s="1023"/>
      <c r="AS15" s="1023">
        <f>+AM15+AF15+L88</f>
        <v>254761010.19892371</v>
      </c>
      <c r="AT15" s="1023"/>
      <c r="AU15" s="848"/>
    </row>
    <row r="16" spans="1:243" x14ac:dyDescent="0.2">
      <c r="A16" s="1021"/>
      <c r="B16" s="1022"/>
      <c r="C16" s="391" t="s">
        <v>220</v>
      </c>
      <c r="D16" s="391" t="s">
        <v>221</v>
      </c>
      <c r="E16" s="392" t="s">
        <v>222</v>
      </c>
      <c r="F16" s="392" t="s">
        <v>219</v>
      </c>
      <c r="G16" s="393">
        <f>+[2]REMUNERACIONES!Z17</f>
        <v>7976232</v>
      </c>
      <c r="H16" s="394">
        <f t="shared" si="0"/>
        <v>702573.10199999996</v>
      </c>
      <c r="I16" s="393">
        <f t="shared" si="1"/>
        <v>8430877.2239999995</v>
      </c>
      <c r="J16" s="394">
        <f t="shared" si="2"/>
        <v>131600.66666666701</v>
      </c>
      <c r="K16" s="393">
        <f t="shared" si="3"/>
        <v>131218.09400000001</v>
      </c>
      <c r="L16" s="886">
        <f t="shared" si="4"/>
        <v>8693695.9846666679</v>
      </c>
      <c r="M16" s="843"/>
      <c r="N16" s="395">
        <v>0.25</v>
      </c>
      <c r="O16" s="887">
        <f t="shared" si="5"/>
        <v>2173423.996166667</v>
      </c>
      <c r="P16" s="395">
        <v>0.25</v>
      </c>
      <c r="Q16" s="886">
        <f t="shared" si="6"/>
        <v>2173423.996166667</v>
      </c>
      <c r="R16" s="390">
        <v>0.5</v>
      </c>
      <c r="S16" s="887">
        <f t="shared" si="7"/>
        <v>4346847.9923333339</v>
      </c>
      <c r="T16" s="888">
        <f t="shared" si="8"/>
        <v>1</v>
      </c>
      <c r="V16" s="889"/>
      <c r="W16" s="297" t="s">
        <v>99</v>
      </c>
      <c r="X16" s="260">
        <f>SUM(X17:X19)</f>
        <v>0</v>
      </c>
      <c r="Z16" s="847"/>
      <c r="AU16" s="848"/>
    </row>
    <row r="17" spans="1:47" ht="12.75" customHeight="1" x14ac:dyDescent="0.2">
      <c r="A17" s="1021"/>
      <c r="B17" s="1022"/>
      <c r="C17" s="391" t="s">
        <v>223</v>
      </c>
      <c r="D17" s="391" t="s">
        <v>224</v>
      </c>
      <c r="E17" s="392" t="s">
        <v>225</v>
      </c>
      <c r="F17" s="392" t="s">
        <v>219</v>
      </c>
      <c r="G17" s="393">
        <f>+[2]REMUNERACIONES!Z9</f>
        <v>12966276</v>
      </c>
      <c r="H17" s="394">
        <f t="shared" si="0"/>
        <v>1142112.811</v>
      </c>
      <c r="I17" s="393">
        <f t="shared" si="1"/>
        <v>13705353.731999999</v>
      </c>
      <c r="J17" s="394">
        <f t="shared" si="2"/>
        <v>131600.66666666701</v>
      </c>
      <c r="K17" s="393">
        <f t="shared" si="3"/>
        <v>131218.09400000001</v>
      </c>
      <c r="L17" s="886">
        <f t="shared" si="4"/>
        <v>13968172.492666667</v>
      </c>
      <c r="M17" s="843"/>
      <c r="N17" s="395">
        <v>0.25</v>
      </c>
      <c r="O17" s="887">
        <f t="shared" si="5"/>
        <v>3492043.1231666668</v>
      </c>
      <c r="P17" s="395">
        <v>0.25</v>
      </c>
      <c r="Q17" s="886">
        <f t="shared" si="6"/>
        <v>3492043.1231666668</v>
      </c>
      <c r="R17" s="390">
        <v>0.5</v>
      </c>
      <c r="S17" s="887">
        <f t="shared" si="7"/>
        <v>6984086.2463333337</v>
      </c>
      <c r="T17" s="888">
        <f t="shared" si="8"/>
        <v>1</v>
      </c>
      <c r="V17" s="890">
        <v>53103050000000</v>
      </c>
      <c r="W17" s="891" t="s">
        <v>226</v>
      </c>
      <c r="X17" s="265">
        <v>0</v>
      </c>
      <c r="Z17" s="847"/>
      <c r="AU17" s="848"/>
    </row>
    <row r="18" spans="1:47" ht="13.5" customHeight="1" x14ac:dyDescent="0.2">
      <c r="A18" s="1021"/>
      <c r="B18" s="1022"/>
      <c r="C18" s="391" t="s">
        <v>227</v>
      </c>
      <c r="D18" s="391" t="s">
        <v>228</v>
      </c>
      <c r="E18" s="392" t="s">
        <v>229</v>
      </c>
      <c r="F18" s="392" t="s">
        <v>219</v>
      </c>
      <c r="G18" s="393">
        <f>+[2]REMUNERACIONES!Z10</f>
        <v>12453480</v>
      </c>
      <c r="H18" s="394">
        <f t="shared" si="0"/>
        <v>1096944.03</v>
      </c>
      <c r="I18" s="393">
        <f t="shared" si="1"/>
        <v>13163328.359999999</v>
      </c>
      <c r="J18" s="394">
        <f t="shared" si="2"/>
        <v>131600.66666666701</v>
      </c>
      <c r="K18" s="393">
        <f t="shared" si="3"/>
        <v>131218.09400000001</v>
      </c>
      <c r="L18" s="886">
        <f t="shared" si="4"/>
        <v>13426147.120666668</v>
      </c>
      <c r="M18" s="843"/>
      <c r="N18" s="395">
        <v>0.25</v>
      </c>
      <c r="O18" s="887">
        <f t="shared" si="5"/>
        <v>3356536.780166667</v>
      </c>
      <c r="P18" s="395">
        <v>0.25</v>
      </c>
      <c r="Q18" s="886">
        <f t="shared" si="6"/>
        <v>3356536.780166667</v>
      </c>
      <c r="R18" s="390">
        <v>0.5</v>
      </c>
      <c r="S18" s="887">
        <f t="shared" si="7"/>
        <v>6713073.5603333339</v>
      </c>
      <c r="T18" s="888">
        <f t="shared" si="8"/>
        <v>1</v>
      </c>
      <c r="V18" s="890">
        <v>53103060000000</v>
      </c>
      <c r="W18" s="891" t="s">
        <v>230</v>
      </c>
      <c r="X18" s="265">
        <v>0</v>
      </c>
      <c r="Z18" s="892"/>
      <c r="AA18" s="893"/>
      <c r="AB18" s="893"/>
      <c r="AC18" s="893"/>
      <c r="AD18" s="893"/>
      <c r="AE18" s="893"/>
      <c r="AF18" s="893"/>
      <c r="AG18" s="893"/>
      <c r="AH18" s="893"/>
      <c r="AI18" s="893"/>
      <c r="AJ18" s="893"/>
      <c r="AK18" s="893"/>
      <c r="AL18" s="893"/>
      <c r="AM18" s="893"/>
      <c r="AN18" s="893"/>
      <c r="AO18" s="893"/>
      <c r="AP18" s="893"/>
      <c r="AQ18" s="893"/>
      <c r="AR18" s="893"/>
      <c r="AS18" s="893"/>
      <c r="AT18" s="893"/>
      <c r="AU18" s="894"/>
    </row>
    <row r="19" spans="1:47" x14ac:dyDescent="0.2">
      <c r="A19" s="1021"/>
      <c r="B19" s="1022"/>
      <c r="C19" s="391" t="s">
        <v>231</v>
      </c>
      <c r="D19" s="391" t="s">
        <v>232</v>
      </c>
      <c r="E19" s="392" t="s">
        <v>222</v>
      </c>
      <c r="F19" s="392" t="s">
        <v>219</v>
      </c>
      <c r="G19" s="393">
        <f>+[2]REMUNERACIONES!Z8</f>
        <v>8744748</v>
      </c>
      <c r="H19" s="394">
        <f t="shared" si="0"/>
        <v>770266.55299999996</v>
      </c>
      <c r="I19" s="393">
        <f t="shared" si="1"/>
        <v>9243198.6359999999</v>
      </c>
      <c r="J19" s="394">
        <f t="shared" si="2"/>
        <v>131600.66666666701</v>
      </c>
      <c r="K19" s="393">
        <f t="shared" si="3"/>
        <v>131218.09400000001</v>
      </c>
      <c r="L19" s="886">
        <f t="shared" si="4"/>
        <v>9506017.3966666684</v>
      </c>
      <c r="M19" s="843"/>
      <c r="N19" s="395">
        <v>0.25</v>
      </c>
      <c r="O19" s="887">
        <f t="shared" si="5"/>
        <v>2376504.3491666671</v>
      </c>
      <c r="P19" s="395">
        <v>0.25</v>
      </c>
      <c r="Q19" s="886">
        <f t="shared" si="6"/>
        <v>2376504.3491666671</v>
      </c>
      <c r="R19" s="390">
        <v>0.5</v>
      </c>
      <c r="S19" s="887">
        <f t="shared" si="7"/>
        <v>4753008.6983333342</v>
      </c>
      <c r="T19" s="888">
        <f t="shared" si="8"/>
        <v>1</v>
      </c>
      <c r="V19" s="890">
        <v>53103080010000</v>
      </c>
      <c r="W19" s="891" t="s">
        <v>233</v>
      </c>
      <c r="X19" s="265">
        <v>0</v>
      </c>
    </row>
    <row r="20" spans="1:47" x14ac:dyDescent="0.2">
      <c r="A20" s="1021"/>
      <c r="B20" s="1022"/>
      <c r="C20" s="391" t="s">
        <v>234</v>
      </c>
      <c r="D20" s="391" t="s">
        <v>235</v>
      </c>
      <c r="E20" s="392" t="s">
        <v>236</v>
      </c>
      <c r="F20" s="392" t="s">
        <v>219</v>
      </c>
      <c r="G20" s="393">
        <f>+[2]REMUNERACIONES!Z11</f>
        <v>8448252</v>
      </c>
      <c r="H20" s="394">
        <f t="shared" si="0"/>
        <v>744150.19700000004</v>
      </c>
      <c r="I20" s="393">
        <f t="shared" si="1"/>
        <v>8929802.3640000001</v>
      </c>
      <c r="J20" s="394">
        <f t="shared" si="2"/>
        <v>131600.66666666701</v>
      </c>
      <c r="K20" s="393">
        <f t="shared" si="3"/>
        <v>131218.09400000001</v>
      </c>
      <c r="L20" s="886">
        <f t="shared" si="4"/>
        <v>9192621.1246666685</v>
      </c>
      <c r="M20" s="843"/>
      <c r="N20" s="395">
        <v>0.25</v>
      </c>
      <c r="O20" s="887">
        <f t="shared" si="5"/>
        <v>2298155.2811666671</v>
      </c>
      <c r="P20" s="395">
        <v>0.25</v>
      </c>
      <c r="Q20" s="886">
        <f t="shared" si="6"/>
        <v>2298155.2811666671</v>
      </c>
      <c r="R20" s="390">
        <v>0.5</v>
      </c>
      <c r="S20" s="887">
        <f t="shared" si="7"/>
        <v>4596310.5623333342</v>
      </c>
      <c r="T20" s="888">
        <f t="shared" si="8"/>
        <v>1</v>
      </c>
      <c r="V20" s="889"/>
      <c r="W20" s="297" t="s">
        <v>104</v>
      </c>
      <c r="X20" s="260">
        <f>SUM(X21:X39)</f>
        <v>113536959</v>
      </c>
    </row>
    <row r="21" spans="1:47" x14ac:dyDescent="0.2">
      <c r="A21" s="1021"/>
      <c r="B21" s="1022"/>
      <c r="C21" s="396"/>
      <c r="D21" s="396"/>
      <c r="E21" s="397"/>
      <c r="F21" s="397"/>
      <c r="G21" s="393"/>
      <c r="H21" s="394"/>
      <c r="I21" s="393"/>
      <c r="J21" s="394"/>
      <c r="K21" s="393"/>
      <c r="L21" s="886"/>
      <c r="M21" s="843"/>
      <c r="N21" s="395">
        <v>0</v>
      </c>
      <c r="O21" s="887">
        <f>+$L83*N21</f>
        <v>0</v>
      </c>
      <c r="P21" s="395">
        <v>0</v>
      </c>
      <c r="Q21" s="886">
        <f>+$L83*P21</f>
        <v>0</v>
      </c>
      <c r="R21" s="390">
        <v>0</v>
      </c>
      <c r="S21" s="887">
        <f>+$L83*R21</f>
        <v>0</v>
      </c>
      <c r="T21" s="888">
        <f t="shared" si="8"/>
        <v>0</v>
      </c>
      <c r="V21" s="890">
        <v>53201010100000</v>
      </c>
      <c r="W21" s="891" t="s">
        <v>237</v>
      </c>
      <c r="X21" s="398">
        <v>18000000</v>
      </c>
    </row>
    <row r="22" spans="1:47" x14ac:dyDescent="0.2">
      <c r="A22" s="1021"/>
      <c r="B22" s="1022"/>
      <c r="C22" s="396"/>
      <c r="D22" s="396"/>
      <c r="E22" s="397"/>
      <c r="F22" s="397"/>
      <c r="G22" s="393"/>
      <c r="H22" s="394"/>
      <c r="I22" s="393"/>
      <c r="J22" s="394"/>
      <c r="K22" s="393"/>
      <c r="L22" s="886"/>
      <c r="M22" s="843"/>
      <c r="N22" s="395">
        <v>0</v>
      </c>
      <c r="O22" s="887">
        <f>+$L84*N22</f>
        <v>0</v>
      </c>
      <c r="P22" s="395">
        <v>0</v>
      </c>
      <c r="Q22" s="886">
        <f>+$L84*P22</f>
        <v>0</v>
      </c>
      <c r="R22" s="390">
        <v>0</v>
      </c>
      <c r="S22" s="887">
        <f>+$L84*R22</f>
        <v>0</v>
      </c>
      <c r="T22" s="888">
        <f t="shared" si="8"/>
        <v>0</v>
      </c>
      <c r="V22" s="890">
        <v>53202010100000</v>
      </c>
      <c r="W22" s="891" t="s">
        <v>238</v>
      </c>
      <c r="X22" s="398">
        <v>416000</v>
      </c>
    </row>
    <row r="23" spans="1:47" x14ac:dyDescent="0.2">
      <c r="A23" s="1021"/>
      <c r="B23" s="1022"/>
      <c r="C23" s="396"/>
      <c r="D23" s="396"/>
      <c r="E23" s="397"/>
      <c r="F23" s="397"/>
      <c r="G23" s="393"/>
      <c r="H23" s="394"/>
      <c r="I23" s="393"/>
      <c r="J23" s="394"/>
      <c r="K23" s="393"/>
      <c r="L23" s="886"/>
      <c r="N23" s="395">
        <v>0</v>
      </c>
      <c r="O23" s="887">
        <f>+$L85*N23</f>
        <v>0</v>
      </c>
      <c r="P23" s="395">
        <v>0</v>
      </c>
      <c r="Q23" s="886">
        <f>+$L85*P23</f>
        <v>0</v>
      </c>
      <c r="R23" s="390">
        <v>0</v>
      </c>
      <c r="S23" s="887">
        <f>+$L85*R23</f>
        <v>0</v>
      </c>
      <c r="T23" s="888">
        <f t="shared" si="8"/>
        <v>0</v>
      </c>
      <c r="V23" s="890">
        <v>53203010100000</v>
      </c>
      <c r="W23" s="891" t="s">
        <v>109</v>
      </c>
      <c r="X23" s="398">
        <v>5800000</v>
      </c>
    </row>
    <row r="24" spans="1:47" x14ac:dyDescent="0.2">
      <c r="A24" s="1021"/>
      <c r="B24" s="1022"/>
      <c r="C24" s="399"/>
      <c r="D24" s="399"/>
      <c r="E24" s="400"/>
      <c r="F24" s="400"/>
      <c r="G24" s="401"/>
      <c r="H24" s="402"/>
      <c r="I24" s="401"/>
      <c r="J24" s="402"/>
      <c r="K24" s="401"/>
      <c r="L24" s="901"/>
      <c r="M24" s="843"/>
      <c r="N24" s="403">
        <v>0</v>
      </c>
      <c r="O24" s="902">
        <f>+$L84*N24</f>
        <v>0</v>
      </c>
      <c r="P24" s="403">
        <v>0</v>
      </c>
      <c r="Q24" s="901">
        <f>+$L84*P24</f>
        <v>0</v>
      </c>
      <c r="R24" s="404">
        <v>0</v>
      </c>
      <c r="S24" s="902">
        <f>+$L84*R24</f>
        <v>0</v>
      </c>
      <c r="T24" s="903">
        <f t="shared" si="8"/>
        <v>0</v>
      </c>
      <c r="V24" s="890">
        <v>53203030000000</v>
      </c>
      <c r="W24" s="891" t="s">
        <v>239</v>
      </c>
      <c r="X24" s="398">
        <v>0</v>
      </c>
    </row>
    <row r="25" spans="1:47" ht="12.75" customHeight="1" x14ac:dyDescent="0.2">
      <c r="A25" s="1021"/>
      <c r="B25" s="1022" t="s">
        <v>240</v>
      </c>
      <c r="C25" s="386" t="s">
        <v>241</v>
      </c>
      <c r="D25" s="386" t="s">
        <v>242</v>
      </c>
      <c r="E25" s="387" t="s">
        <v>243</v>
      </c>
      <c r="F25" s="387" t="s">
        <v>219</v>
      </c>
      <c r="G25" s="388">
        <f>+[2]REMUNERACIONES!Z5</f>
        <v>20846028</v>
      </c>
      <c r="H25" s="388">
        <f>+I25/12</f>
        <v>1836187.6329999997</v>
      </c>
      <c r="I25" s="388">
        <f>+G25*(1+$L$11)</f>
        <v>22034251.595999997</v>
      </c>
      <c r="J25" s="388">
        <f>IF(H25&gt;700000,$J$4,$J$3)</f>
        <v>131600.66666666701</v>
      </c>
      <c r="K25" s="388">
        <f>+$K$3</f>
        <v>131218.09400000001</v>
      </c>
      <c r="L25" s="870">
        <f>+I25+J25+K25</f>
        <v>22297070.356666666</v>
      </c>
      <c r="M25" s="843"/>
      <c r="N25" s="395">
        <v>0.25</v>
      </c>
      <c r="O25" s="871">
        <f t="shared" ref="O25:O61" si="10">+$L25*N25</f>
        <v>5574267.5891666664</v>
      </c>
      <c r="P25" s="395">
        <v>0.25</v>
      </c>
      <c r="Q25" s="870">
        <f t="shared" ref="Q25:Q61" si="11">+$L25*P25</f>
        <v>5574267.5891666664</v>
      </c>
      <c r="R25" s="405">
        <v>0.5</v>
      </c>
      <c r="S25" s="871">
        <f t="shared" ref="S25:S61" si="12">+$L25*R25</f>
        <v>11148535.178333333</v>
      </c>
      <c r="T25" s="872">
        <f t="shared" si="8"/>
        <v>1</v>
      </c>
      <c r="V25" s="890">
        <v>53204030000000</v>
      </c>
      <c r="W25" s="891" t="s">
        <v>244</v>
      </c>
      <c r="X25" s="398">
        <v>250000</v>
      </c>
    </row>
    <row r="26" spans="1:47" ht="12.75" customHeight="1" x14ac:dyDescent="0.2">
      <c r="A26" s="1021"/>
      <c r="B26" s="1022"/>
      <c r="C26" s="391" t="s">
        <v>245</v>
      </c>
      <c r="D26" s="391" t="s">
        <v>246</v>
      </c>
      <c r="E26" s="392" t="s">
        <v>247</v>
      </c>
      <c r="F26" s="392" t="s">
        <v>219</v>
      </c>
      <c r="G26" s="393">
        <f>+[2]REMUNERACIONES!Z14</f>
        <v>9311964</v>
      </c>
      <c r="H26" s="394">
        <f>+I26/12</f>
        <v>820228.82899999991</v>
      </c>
      <c r="I26" s="393">
        <f>+G26*(1+$L$11)</f>
        <v>9842745.9479999989</v>
      </c>
      <c r="J26" s="394">
        <f>IF(H26&gt;700000,$J$4,$J$3)</f>
        <v>131600.66666666701</v>
      </c>
      <c r="K26" s="393">
        <f>+$K$3</f>
        <v>131218.09400000001</v>
      </c>
      <c r="L26" s="886">
        <f>+I26+J26+K26</f>
        <v>10105564.708666667</v>
      </c>
      <c r="M26" s="843"/>
      <c r="N26" s="395">
        <v>0.25</v>
      </c>
      <c r="O26" s="887">
        <f t="shared" si="10"/>
        <v>2526391.1771666668</v>
      </c>
      <c r="P26" s="395">
        <v>0.25</v>
      </c>
      <c r="Q26" s="886">
        <f t="shared" si="11"/>
        <v>2526391.1771666668</v>
      </c>
      <c r="R26" s="406">
        <v>0.5</v>
      </c>
      <c r="S26" s="887">
        <f t="shared" si="12"/>
        <v>5052782.3543333337</v>
      </c>
      <c r="T26" s="888">
        <f t="shared" si="8"/>
        <v>1</v>
      </c>
      <c r="V26" s="890">
        <v>53204100100001</v>
      </c>
      <c r="W26" s="891" t="s">
        <v>112</v>
      </c>
      <c r="X26" s="398">
        <v>17510959</v>
      </c>
    </row>
    <row r="27" spans="1:47" ht="12.75" customHeight="1" x14ac:dyDescent="0.2">
      <c r="A27" s="1021"/>
      <c r="B27" s="1022"/>
      <c r="C27" s="391" t="s">
        <v>248</v>
      </c>
      <c r="D27" s="391" t="s">
        <v>249</v>
      </c>
      <c r="E27" s="392" t="s">
        <v>247</v>
      </c>
      <c r="F27" s="392" t="s">
        <v>219</v>
      </c>
      <c r="G27" s="393">
        <f>+[2]REMUNERACIONES!Z4</f>
        <v>10603116</v>
      </c>
      <c r="H27" s="394">
        <f>+I27/12</f>
        <v>933957.80099999998</v>
      </c>
      <c r="I27" s="393">
        <f>+G27*(1+$L$11)</f>
        <v>11207493.612</v>
      </c>
      <c r="J27" s="394">
        <f>IF(H27&gt;700000,$J$4,$J$3)</f>
        <v>131600.66666666701</v>
      </c>
      <c r="K27" s="393">
        <f>+$K$3</f>
        <v>131218.09400000001</v>
      </c>
      <c r="L27" s="886">
        <f>+I27+J27+K27</f>
        <v>11470312.372666668</v>
      </c>
      <c r="M27" s="843"/>
      <c r="N27" s="395">
        <v>0.25</v>
      </c>
      <c r="O27" s="887">
        <f t="shared" si="10"/>
        <v>2867578.093166667</v>
      </c>
      <c r="P27" s="395">
        <v>0.25</v>
      </c>
      <c r="Q27" s="886">
        <f t="shared" si="11"/>
        <v>2867578.093166667</v>
      </c>
      <c r="R27" s="406">
        <v>0.5</v>
      </c>
      <c r="S27" s="887">
        <f t="shared" si="12"/>
        <v>5735156.1863333341</v>
      </c>
      <c r="T27" s="888">
        <f t="shared" si="8"/>
        <v>1</v>
      </c>
      <c r="V27" s="890">
        <v>53204130100000</v>
      </c>
      <c r="W27" s="891" t="s">
        <v>250</v>
      </c>
      <c r="X27" s="398">
        <v>0</v>
      </c>
    </row>
    <row r="28" spans="1:47" ht="12.75" customHeight="1" x14ac:dyDescent="0.2">
      <c r="A28" s="1021"/>
      <c r="B28" s="1022"/>
      <c r="C28" s="391" t="s">
        <v>251</v>
      </c>
      <c r="D28" s="391" t="s">
        <v>252</v>
      </c>
      <c r="E28" s="392" t="s">
        <v>253</v>
      </c>
      <c r="F28" s="392" t="s">
        <v>219</v>
      </c>
      <c r="G28" s="393">
        <f>+[2]REMUNERACIONES!Z7</f>
        <v>13099512</v>
      </c>
      <c r="H28" s="394">
        <f>+I28/12</f>
        <v>1153848.6819999998</v>
      </c>
      <c r="I28" s="393">
        <f>+G28*(1+$L$11)</f>
        <v>13846184.183999998</v>
      </c>
      <c r="J28" s="394">
        <f>IF(H28&gt;700000,$J$4,$J$3)</f>
        <v>131600.66666666701</v>
      </c>
      <c r="K28" s="393">
        <f>+$K$3</f>
        <v>131218.09400000001</v>
      </c>
      <c r="L28" s="886">
        <f>+I28+J28+K28</f>
        <v>14109002.944666667</v>
      </c>
      <c r="M28" s="843"/>
      <c r="N28" s="395">
        <v>0.25</v>
      </c>
      <c r="O28" s="887">
        <f t="shared" si="10"/>
        <v>3527250.7361666667</v>
      </c>
      <c r="P28" s="395">
        <v>0.25</v>
      </c>
      <c r="Q28" s="886">
        <f t="shared" si="11"/>
        <v>3527250.7361666667</v>
      </c>
      <c r="R28" s="406">
        <v>0.5</v>
      </c>
      <c r="S28" s="887">
        <f t="shared" si="12"/>
        <v>7054501.4723333335</v>
      </c>
      <c r="T28" s="888">
        <f t="shared" si="8"/>
        <v>1</v>
      </c>
      <c r="V28" s="890">
        <v>53205010100000</v>
      </c>
      <c r="W28" s="891" t="s">
        <v>114</v>
      </c>
      <c r="X28" s="398">
        <v>27000000</v>
      </c>
    </row>
    <row r="29" spans="1:47" ht="12.75" customHeight="1" x14ac:dyDescent="0.2">
      <c r="A29" s="1021"/>
      <c r="B29" s="1022"/>
      <c r="C29" s="396"/>
      <c r="D29" s="396"/>
      <c r="E29" s="397"/>
      <c r="F29" s="397"/>
      <c r="G29" s="393"/>
      <c r="H29" s="394"/>
      <c r="I29" s="393"/>
      <c r="J29" s="394"/>
      <c r="K29" s="393"/>
      <c r="L29" s="886"/>
      <c r="M29" s="843"/>
      <c r="N29" s="395">
        <v>0</v>
      </c>
      <c r="O29" s="887">
        <f t="shared" si="10"/>
        <v>0</v>
      </c>
      <c r="P29" s="395">
        <v>0</v>
      </c>
      <c r="Q29" s="886">
        <f t="shared" si="11"/>
        <v>0</v>
      </c>
      <c r="R29" s="406">
        <v>0</v>
      </c>
      <c r="S29" s="887">
        <f t="shared" si="12"/>
        <v>0</v>
      </c>
      <c r="T29" s="888">
        <f t="shared" si="8"/>
        <v>0</v>
      </c>
      <c r="V29" s="890">
        <v>53205020100000</v>
      </c>
      <c r="W29" s="891" t="s">
        <v>115</v>
      </c>
      <c r="X29" s="398">
        <v>540000</v>
      </c>
    </row>
    <row r="30" spans="1:47" ht="12.75" customHeight="1" x14ac:dyDescent="0.2">
      <c r="A30" s="1021"/>
      <c r="B30" s="1022"/>
      <c r="C30" s="396"/>
      <c r="D30" s="396"/>
      <c r="E30" s="397"/>
      <c r="F30" s="397"/>
      <c r="G30" s="393"/>
      <c r="H30" s="394"/>
      <c r="I30" s="393"/>
      <c r="J30" s="394"/>
      <c r="K30" s="393"/>
      <c r="L30" s="886"/>
      <c r="M30" s="843"/>
      <c r="N30" s="395">
        <v>0</v>
      </c>
      <c r="O30" s="887">
        <f t="shared" si="10"/>
        <v>0</v>
      </c>
      <c r="P30" s="395">
        <v>0</v>
      </c>
      <c r="Q30" s="886">
        <f t="shared" si="11"/>
        <v>0</v>
      </c>
      <c r="R30" s="406">
        <v>0</v>
      </c>
      <c r="S30" s="887">
        <f t="shared" si="12"/>
        <v>0</v>
      </c>
      <c r="T30" s="888">
        <f t="shared" si="8"/>
        <v>0</v>
      </c>
      <c r="V30" s="890">
        <v>53205030100000</v>
      </c>
      <c r="W30" s="891" t="s">
        <v>116</v>
      </c>
      <c r="X30" s="398">
        <v>5220000</v>
      </c>
    </row>
    <row r="31" spans="1:47" ht="12.75" customHeight="1" x14ac:dyDescent="0.2">
      <c r="A31" s="1021"/>
      <c r="B31" s="1022"/>
      <c r="C31" s="396"/>
      <c r="D31" s="396"/>
      <c r="E31" s="397"/>
      <c r="F31" s="397"/>
      <c r="G31" s="393"/>
      <c r="H31" s="394"/>
      <c r="I31" s="393"/>
      <c r="J31" s="394"/>
      <c r="K31" s="393"/>
      <c r="L31" s="886"/>
      <c r="M31" s="843"/>
      <c r="N31" s="395">
        <v>0</v>
      </c>
      <c r="O31" s="887">
        <f t="shared" si="10"/>
        <v>0</v>
      </c>
      <c r="P31" s="395">
        <v>0</v>
      </c>
      <c r="Q31" s="886">
        <f t="shared" si="11"/>
        <v>0</v>
      </c>
      <c r="R31" s="406">
        <v>0</v>
      </c>
      <c r="S31" s="887">
        <f t="shared" si="12"/>
        <v>0</v>
      </c>
      <c r="T31" s="888">
        <f t="shared" si="8"/>
        <v>0</v>
      </c>
      <c r="V31" s="890">
        <v>53205050100000</v>
      </c>
      <c r="W31" s="891" t="s">
        <v>117</v>
      </c>
      <c r="X31" s="398">
        <v>8640000</v>
      </c>
    </row>
    <row r="32" spans="1:47" ht="12.75" customHeight="1" x14ac:dyDescent="0.2">
      <c r="A32" s="1021"/>
      <c r="B32" s="1022"/>
      <c r="C32" s="396"/>
      <c r="D32" s="396"/>
      <c r="E32" s="397"/>
      <c r="F32" s="397"/>
      <c r="G32" s="393"/>
      <c r="H32" s="394"/>
      <c r="I32" s="393"/>
      <c r="J32" s="394"/>
      <c r="K32" s="393"/>
      <c r="L32" s="886"/>
      <c r="M32" s="843"/>
      <c r="N32" s="395">
        <v>0</v>
      </c>
      <c r="O32" s="887">
        <f t="shared" si="10"/>
        <v>0</v>
      </c>
      <c r="P32" s="395">
        <v>0</v>
      </c>
      <c r="Q32" s="886">
        <f t="shared" si="11"/>
        <v>0</v>
      </c>
      <c r="R32" s="406">
        <v>0</v>
      </c>
      <c r="S32" s="887">
        <f t="shared" si="12"/>
        <v>0</v>
      </c>
      <c r="T32" s="888">
        <f t="shared" si="8"/>
        <v>0</v>
      </c>
      <c r="V32" s="890">
        <v>53205060100000</v>
      </c>
      <c r="W32" s="891" t="s">
        <v>254</v>
      </c>
      <c r="X32" s="398">
        <v>6180000</v>
      </c>
    </row>
    <row r="33" spans="1:24" ht="12.75" customHeight="1" x14ac:dyDescent="0.2">
      <c r="A33" s="1021"/>
      <c r="B33" s="1022"/>
      <c r="C33" s="396"/>
      <c r="D33" s="396"/>
      <c r="E33" s="397"/>
      <c r="F33" s="397"/>
      <c r="G33" s="393"/>
      <c r="H33" s="394"/>
      <c r="I33" s="393"/>
      <c r="J33" s="394"/>
      <c r="K33" s="393"/>
      <c r="L33" s="886"/>
      <c r="M33" s="843"/>
      <c r="N33" s="395">
        <v>0</v>
      </c>
      <c r="O33" s="887">
        <f t="shared" si="10"/>
        <v>0</v>
      </c>
      <c r="P33" s="395">
        <v>0</v>
      </c>
      <c r="Q33" s="886">
        <f t="shared" si="11"/>
        <v>0</v>
      </c>
      <c r="R33" s="406">
        <v>0</v>
      </c>
      <c r="S33" s="887">
        <f t="shared" si="12"/>
        <v>0</v>
      </c>
      <c r="T33" s="888">
        <f t="shared" si="8"/>
        <v>0</v>
      </c>
      <c r="V33" s="890">
        <v>53205070100000</v>
      </c>
      <c r="W33" s="891" t="s">
        <v>118</v>
      </c>
      <c r="X33" s="398">
        <v>13440000</v>
      </c>
    </row>
    <row r="34" spans="1:24" ht="12.75" customHeight="1" x14ac:dyDescent="0.2">
      <c r="A34" s="1021"/>
      <c r="B34" s="1022"/>
      <c r="C34" s="399"/>
      <c r="D34" s="399"/>
      <c r="E34" s="400"/>
      <c r="F34" s="400"/>
      <c r="G34" s="401"/>
      <c r="H34" s="402"/>
      <c r="I34" s="401"/>
      <c r="J34" s="402"/>
      <c r="K34" s="401"/>
      <c r="L34" s="901"/>
      <c r="M34" s="843"/>
      <c r="N34" s="389">
        <v>0</v>
      </c>
      <c r="O34" s="902">
        <f t="shared" si="10"/>
        <v>0</v>
      </c>
      <c r="P34" s="389">
        <v>0</v>
      </c>
      <c r="Q34" s="901">
        <f t="shared" si="11"/>
        <v>0</v>
      </c>
      <c r="R34" s="404">
        <v>0</v>
      </c>
      <c r="S34" s="902">
        <f t="shared" si="12"/>
        <v>0</v>
      </c>
      <c r="T34" s="903">
        <f t="shared" si="8"/>
        <v>0</v>
      </c>
      <c r="V34" s="890">
        <v>53208010100000</v>
      </c>
      <c r="W34" s="891" t="s">
        <v>119</v>
      </c>
      <c r="X34" s="398">
        <v>1440000</v>
      </c>
    </row>
    <row r="35" spans="1:24" ht="12.75" customHeight="1" x14ac:dyDescent="0.2">
      <c r="A35" s="1021"/>
      <c r="B35" s="1022" t="s">
        <v>255</v>
      </c>
      <c r="C35" s="386" t="s">
        <v>256</v>
      </c>
      <c r="D35" s="386" t="s">
        <v>257</v>
      </c>
      <c r="E35" s="387" t="s">
        <v>258</v>
      </c>
      <c r="F35" s="387" t="s">
        <v>219</v>
      </c>
      <c r="G35" s="388">
        <f>+[2]REMUNERACIONES!Z3</f>
        <v>10802448</v>
      </c>
      <c r="H35" s="388">
        <f>+I35/12</f>
        <v>951515.62799999991</v>
      </c>
      <c r="I35" s="388">
        <f>+G35*(1+$L$11)</f>
        <v>11418187.535999998</v>
      </c>
      <c r="J35" s="388">
        <f>IF(H35&gt;700000,$J$4,$J$3)</f>
        <v>131600.66666666701</v>
      </c>
      <c r="K35" s="388">
        <f>+$K$3</f>
        <v>131218.09400000001</v>
      </c>
      <c r="L35" s="870">
        <f>+I35+J35+K35</f>
        <v>11681006.296666667</v>
      </c>
      <c r="M35" s="843"/>
      <c r="N35" s="407">
        <v>0.25</v>
      </c>
      <c r="O35" s="871">
        <f t="shared" si="10"/>
        <v>2920251.5741666667</v>
      </c>
      <c r="P35" s="407">
        <v>0.25</v>
      </c>
      <c r="Q35" s="870">
        <f t="shared" si="11"/>
        <v>2920251.5741666667</v>
      </c>
      <c r="R35" s="408">
        <v>0.5</v>
      </c>
      <c r="S35" s="871">
        <f t="shared" si="12"/>
        <v>5840503.1483333334</v>
      </c>
      <c r="T35" s="872">
        <f t="shared" si="8"/>
        <v>1</v>
      </c>
      <c r="V35" s="890">
        <v>53208070100001</v>
      </c>
      <c r="W35" s="891" t="s">
        <v>120</v>
      </c>
      <c r="X35" s="398">
        <v>0</v>
      </c>
    </row>
    <row r="36" spans="1:24" ht="12.75" customHeight="1" x14ac:dyDescent="0.2">
      <c r="A36" s="1021"/>
      <c r="B36" s="1022"/>
      <c r="C36" s="396"/>
      <c r="D36" s="396"/>
      <c r="E36" s="397"/>
      <c r="F36" s="397"/>
      <c r="G36" s="393"/>
      <c r="H36" s="394"/>
      <c r="I36" s="393"/>
      <c r="J36" s="394"/>
      <c r="K36" s="393"/>
      <c r="L36" s="886"/>
      <c r="M36" s="843"/>
      <c r="N36" s="395">
        <v>0</v>
      </c>
      <c r="O36" s="887">
        <f t="shared" si="10"/>
        <v>0</v>
      </c>
      <c r="P36" s="395">
        <v>0</v>
      </c>
      <c r="Q36" s="886">
        <f t="shared" si="11"/>
        <v>0</v>
      </c>
      <c r="R36" s="406">
        <v>0</v>
      </c>
      <c r="S36" s="887">
        <f t="shared" si="12"/>
        <v>0</v>
      </c>
      <c r="T36" s="888">
        <f t="shared" si="8"/>
        <v>0</v>
      </c>
      <c r="V36" s="890">
        <v>53208100100001</v>
      </c>
      <c r="W36" s="891" t="s">
        <v>259</v>
      </c>
      <c r="X36" s="398">
        <v>0</v>
      </c>
    </row>
    <row r="37" spans="1:24" ht="12.75" customHeight="1" x14ac:dyDescent="0.2">
      <c r="A37" s="1021"/>
      <c r="B37" s="1022"/>
      <c r="C37" s="396"/>
      <c r="D37" s="396"/>
      <c r="E37" s="397"/>
      <c r="F37" s="397"/>
      <c r="G37" s="393"/>
      <c r="H37" s="394"/>
      <c r="I37" s="393"/>
      <c r="J37" s="394"/>
      <c r="K37" s="393"/>
      <c r="L37" s="886"/>
      <c r="M37" s="843"/>
      <c r="N37" s="395">
        <v>0</v>
      </c>
      <c r="O37" s="887">
        <f t="shared" si="10"/>
        <v>0</v>
      </c>
      <c r="P37" s="395">
        <v>0</v>
      </c>
      <c r="Q37" s="886">
        <f t="shared" si="11"/>
        <v>0</v>
      </c>
      <c r="R37" s="406">
        <v>0</v>
      </c>
      <c r="S37" s="887">
        <f t="shared" si="12"/>
        <v>0</v>
      </c>
      <c r="T37" s="888">
        <f t="shared" si="8"/>
        <v>0</v>
      </c>
      <c r="V37" s="890">
        <v>53211030000000</v>
      </c>
      <c r="W37" s="891" t="s">
        <v>122</v>
      </c>
      <c r="X37" s="398">
        <v>0</v>
      </c>
    </row>
    <row r="38" spans="1:24" ht="12.75" customHeight="1" x14ac:dyDescent="0.2">
      <c r="A38" s="1021"/>
      <c r="B38" s="1022"/>
      <c r="C38" s="396"/>
      <c r="D38" s="396"/>
      <c r="E38" s="397"/>
      <c r="F38" s="397"/>
      <c r="G38" s="393"/>
      <c r="H38" s="394"/>
      <c r="I38" s="393"/>
      <c r="J38" s="394"/>
      <c r="K38" s="393"/>
      <c r="L38" s="886"/>
      <c r="M38" s="843"/>
      <c r="N38" s="395">
        <v>0</v>
      </c>
      <c r="O38" s="887">
        <f t="shared" si="10"/>
        <v>0</v>
      </c>
      <c r="P38" s="395">
        <v>0</v>
      </c>
      <c r="Q38" s="886">
        <f t="shared" si="11"/>
        <v>0</v>
      </c>
      <c r="R38" s="406">
        <v>0</v>
      </c>
      <c r="S38" s="887">
        <f t="shared" si="12"/>
        <v>0</v>
      </c>
      <c r="T38" s="888">
        <f t="shared" si="8"/>
        <v>0</v>
      </c>
      <c r="V38" s="890">
        <v>53212020100000</v>
      </c>
      <c r="W38" s="891" t="s">
        <v>260</v>
      </c>
      <c r="X38" s="398">
        <v>9000000</v>
      </c>
    </row>
    <row r="39" spans="1:24" ht="12.75" customHeight="1" x14ac:dyDescent="0.2">
      <c r="A39" s="1021"/>
      <c r="B39" s="1022"/>
      <c r="C39" s="399"/>
      <c r="D39" s="399"/>
      <c r="E39" s="400"/>
      <c r="F39" s="400"/>
      <c r="G39" s="401"/>
      <c r="H39" s="402"/>
      <c r="I39" s="401"/>
      <c r="J39" s="402"/>
      <c r="K39" s="401"/>
      <c r="L39" s="901"/>
      <c r="M39" s="843"/>
      <c r="N39" s="389">
        <v>0</v>
      </c>
      <c r="O39" s="902">
        <f t="shared" si="10"/>
        <v>0</v>
      </c>
      <c r="P39" s="389">
        <v>0</v>
      </c>
      <c r="Q39" s="901">
        <f t="shared" si="11"/>
        <v>0</v>
      </c>
      <c r="R39" s="404">
        <v>0</v>
      </c>
      <c r="S39" s="902">
        <f t="shared" si="12"/>
        <v>0</v>
      </c>
      <c r="T39" s="903">
        <f t="shared" si="8"/>
        <v>0</v>
      </c>
      <c r="V39" s="890">
        <v>53214020000000</v>
      </c>
      <c r="W39" s="891" t="s">
        <v>261</v>
      </c>
      <c r="X39" s="398">
        <v>100000</v>
      </c>
    </row>
    <row r="40" spans="1:24" ht="12.75" customHeight="1" x14ac:dyDescent="0.2">
      <c r="A40" s="1021"/>
      <c r="B40" s="1022" t="s">
        <v>262</v>
      </c>
      <c r="C40" s="386" t="s">
        <v>263</v>
      </c>
      <c r="D40" s="386" t="s">
        <v>264</v>
      </c>
      <c r="E40" s="387" t="s">
        <v>265</v>
      </c>
      <c r="F40" s="387" t="s">
        <v>219</v>
      </c>
      <c r="G40" s="388">
        <f>+[2]REMUNERACIONES!Z20</f>
        <v>5905464</v>
      </c>
      <c r="H40" s="388">
        <f t="shared" ref="H40:H45" si="13">+I40/12</f>
        <v>520172.95399999997</v>
      </c>
      <c r="I40" s="388">
        <f t="shared" ref="I40:I45" si="14">+G40*(1+$L$11)</f>
        <v>6242075.4479999999</v>
      </c>
      <c r="J40" s="388">
        <f t="shared" ref="J40:J45" si="15">IF(H40&gt;700000,$J$4,$J$3)</f>
        <v>226547.66666666701</v>
      </c>
      <c r="K40" s="388">
        <f t="shared" ref="K40:K45" si="16">+$K$3</f>
        <v>131218.09400000001</v>
      </c>
      <c r="L40" s="870">
        <f t="shared" ref="L40:L45" si="17">+I40+J40+K40</f>
        <v>6599841.2086666664</v>
      </c>
      <c r="M40" s="843"/>
      <c r="N40" s="407">
        <v>0.25</v>
      </c>
      <c r="O40" s="871">
        <f t="shared" si="10"/>
        <v>1649960.3021666666</v>
      </c>
      <c r="P40" s="407">
        <v>0.25</v>
      </c>
      <c r="Q40" s="870">
        <f t="shared" si="11"/>
        <v>1649960.3021666666</v>
      </c>
      <c r="R40" s="408">
        <v>0.5</v>
      </c>
      <c r="S40" s="871">
        <f t="shared" si="12"/>
        <v>3299920.6043333332</v>
      </c>
      <c r="T40" s="872">
        <f t="shared" si="8"/>
        <v>1</v>
      </c>
      <c r="V40" s="873"/>
      <c r="W40" s="294" t="s">
        <v>125</v>
      </c>
      <c r="X40" s="254">
        <f>SUM(X41,X46,X49,X60,X73,X81)</f>
        <v>44426387</v>
      </c>
    </row>
    <row r="41" spans="1:24" ht="12.75" customHeight="1" x14ac:dyDescent="0.2">
      <c r="A41" s="1021"/>
      <c r="B41" s="1022"/>
      <c r="C41" s="391" t="s">
        <v>266</v>
      </c>
      <c r="D41" s="391" t="s">
        <v>267</v>
      </c>
      <c r="E41" s="392" t="s">
        <v>268</v>
      </c>
      <c r="F41" s="392" t="s">
        <v>219</v>
      </c>
      <c r="G41" s="393">
        <f>+[2]REMUNERACIONES!Z12</f>
        <v>10134540</v>
      </c>
      <c r="H41" s="394">
        <f t="shared" si="13"/>
        <v>892684.06499999994</v>
      </c>
      <c r="I41" s="393">
        <f t="shared" si="14"/>
        <v>10712208.779999999</v>
      </c>
      <c r="J41" s="394">
        <f t="shared" si="15"/>
        <v>131600.66666666701</v>
      </c>
      <c r="K41" s="393">
        <f t="shared" si="16"/>
        <v>131218.09400000001</v>
      </c>
      <c r="L41" s="886">
        <f t="shared" si="17"/>
        <v>10975027.540666668</v>
      </c>
      <c r="M41" s="843"/>
      <c r="N41" s="395">
        <v>0.25</v>
      </c>
      <c r="O41" s="887">
        <f t="shared" si="10"/>
        <v>2743756.8851666669</v>
      </c>
      <c r="P41" s="395">
        <v>0.25</v>
      </c>
      <c r="Q41" s="886">
        <f t="shared" si="11"/>
        <v>2743756.8851666669</v>
      </c>
      <c r="R41" s="406">
        <v>0.5</v>
      </c>
      <c r="S41" s="887">
        <f t="shared" si="12"/>
        <v>5487513.7703333339</v>
      </c>
      <c r="T41" s="888">
        <f t="shared" si="8"/>
        <v>1</v>
      </c>
      <c r="V41" s="889"/>
      <c r="W41" s="297" t="s">
        <v>126</v>
      </c>
      <c r="X41" s="260">
        <f>SUM(X42:X45)</f>
        <v>1500000</v>
      </c>
    </row>
    <row r="42" spans="1:24" ht="12.75" customHeight="1" x14ac:dyDescent="0.2">
      <c r="A42" s="1021"/>
      <c r="B42" s="1022"/>
      <c r="C42" s="396" t="s">
        <v>269</v>
      </c>
      <c r="D42" s="396" t="s">
        <v>270</v>
      </c>
      <c r="E42" s="392" t="s">
        <v>271</v>
      </c>
      <c r="F42" s="392" t="s">
        <v>219</v>
      </c>
      <c r="G42" s="393">
        <f>+[2]REMUNERACIONES!Z6</f>
        <v>5542356</v>
      </c>
      <c r="H42" s="394">
        <f t="shared" si="13"/>
        <v>488189.19099999993</v>
      </c>
      <c r="I42" s="393">
        <f t="shared" si="14"/>
        <v>5858270.2919999994</v>
      </c>
      <c r="J42" s="394">
        <f t="shared" si="15"/>
        <v>226547.66666666701</v>
      </c>
      <c r="K42" s="393">
        <f t="shared" si="16"/>
        <v>131218.09400000001</v>
      </c>
      <c r="L42" s="886">
        <f t="shared" si="17"/>
        <v>6216036.052666666</v>
      </c>
      <c r="M42" s="843"/>
      <c r="N42" s="395">
        <v>0.25</v>
      </c>
      <c r="O42" s="887">
        <f t="shared" si="10"/>
        <v>1554009.0131666665</v>
      </c>
      <c r="P42" s="395">
        <v>0.25</v>
      </c>
      <c r="Q42" s="886">
        <f t="shared" si="11"/>
        <v>1554009.0131666665</v>
      </c>
      <c r="R42" s="406">
        <v>0.5</v>
      </c>
      <c r="S42" s="887">
        <f t="shared" si="12"/>
        <v>3108018.026333333</v>
      </c>
      <c r="T42" s="888">
        <f t="shared" si="8"/>
        <v>1</v>
      </c>
      <c r="V42" s="890">
        <v>53202020100000</v>
      </c>
      <c r="W42" s="891" t="s">
        <v>272</v>
      </c>
      <c r="X42" s="398">
        <v>500000</v>
      </c>
    </row>
    <row r="43" spans="1:24" ht="12.75" customHeight="1" x14ac:dyDescent="0.2">
      <c r="A43" s="1021"/>
      <c r="B43" s="1022"/>
      <c r="C43" s="391" t="s">
        <v>273</v>
      </c>
      <c r="D43" s="391" t="s">
        <v>274</v>
      </c>
      <c r="E43" s="392" t="s">
        <v>275</v>
      </c>
      <c r="F43" s="392" t="s">
        <v>219</v>
      </c>
      <c r="G43" s="393">
        <f>1113051.60420721*12</f>
        <v>13356619.250486519</v>
      </c>
      <c r="H43" s="394">
        <f t="shared" si="13"/>
        <v>1176495.5456470207</v>
      </c>
      <c r="I43" s="393">
        <f t="shared" si="14"/>
        <v>14117946.547764249</v>
      </c>
      <c r="J43" s="394">
        <f t="shared" si="15"/>
        <v>131600.66666666701</v>
      </c>
      <c r="K43" s="393">
        <f t="shared" si="16"/>
        <v>131218.09400000001</v>
      </c>
      <c r="L43" s="886">
        <f t="shared" si="17"/>
        <v>14380765.308430918</v>
      </c>
      <c r="M43" s="843"/>
      <c r="N43" s="395">
        <v>0.25</v>
      </c>
      <c r="O43" s="887">
        <f t="shared" si="10"/>
        <v>3595191.3271077294</v>
      </c>
      <c r="P43" s="395">
        <v>0.25</v>
      </c>
      <c r="Q43" s="886">
        <f t="shared" si="11"/>
        <v>3595191.3271077294</v>
      </c>
      <c r="R43" s="406">
        <v>0.5</v>
      </c>
      <c r="S43" s="887">
        <f t="shared" si="12"/>
        <v>7190382.6542154588</v>
      </c>
      <c r="T43" s="888">
        <f t="shared" si="8"/>
        <v>1</v>
      </c>
      <c r="V43" s="890">
        <v>53202030000000</v>
      </c>
      <c r="W43" s="891" t="s">
        <v>276</v>
      </c>
      <c r="X43" s="398">
        <v>200000</v>
      </c>
    </row>
    <row r="44" spans="1:24" ht="12.75" customHeight="1" x14ac:dyDescent="0.2">
      <c r="A44" s="1021"/>
      <c r="B44" s="1022"/>
      <c r="C44" s="391" t="s">
        <v>277</v>
      </c>
      <c r="D44" s="391" t="s">
        <v>278</v>
      </c>
      <c r="E44" s="392" t="s">
        <v>279</v>
      </c>
      <c r="F44" s="392" t="s">
        <v>219</v>
      </c>
      <c r="G44" s="393">
        <f>+[2]REMUNERACIONES!Z23</f>
        <v>8293500</v>
      </c>
      <c r="H44" s="394">
        <f t="shared" si="13"/>
        <v>730519.125</v>
      </c>
      <c r="I44" s="393">
        <f t="shared" si="14"/>
        <v>8766229.5</v>
      </c>
      <c r="J44" s="394">
        <f t="shared" si="15"/>
        <v>131600.66666666701</v>
      </c>
      <c r="K44" s="393">
        <f t="shared" si="16"/>
        <v>131218.09400000001</v>
      </c>
      <c r="L44" s="886">
        <f t="shared" si="17"/>
        <v>9029048.2606666684</v>
      </c>
      <c r="M44" s="843"/>
      <c r="N44" s="395">
        <v>0.25</v>
      </c>
      <c r="O44" s="887">
        <f t="shared" si="10"/>
        <v>2257262.0651666671</v>
      </c>
      <c r="P44" s="395">
        <v>0.25</v>
      </c>
      <c r="Q44" s="886">
        <f t="shared" si="11"/>
        <v>2257262.0651666671</v>
      </c>
      <c r="R44" s="406">
        <v>0.5</v>
      </c>
      <c r="S44" s="887">
        <f t="shared" si="12"/>
        <v>4514524.1303333342</v>
      </c>
      <c r="T44" s="888">
        <f t="shared" si="8"/>
        <v>1</v>
      </c>
      <c r="V44" s="890">
        <v>53211020000000</v>
      </c>
      <c r="W44" s="891" t="s">
        <v>129</v>
      </c>
      <c r="X44" s="398">
        <v>200000</v>
      </c>
    </row>
    <row r="45" spans="1:24" ht="12.75" customHeight="1" x14ac:dyDescent="0.2">
      <c r="A45" s="1021"/>
      <c r="B45" s="1022"/>
      <c r="C45" s="391" t="s">
        <v>280</v>
      </c>
      <c r="D45" s="391" t="s">
        <v>281</v>
      </c>
      <c r="E45" s="392" t="s">
        <v>282</v>
      </c>
      <c r="F45" s="392" t="s">
        <v>219</v>
      </c>
      <c r="G45" s="393">
        <f>+[2]REMUNERACIONES!Z21</f>
        <v>9949068</v>
      </c>
      <c r="H45" s="394">
        <f t="shared" si="13"/>
        <v>876347.07299999997</v>
      </c>
      <c r="I45" s="393">
        <f t="shared" si="14"/>
        <v>10516164.876</v>
      </c>
      <c r="J45" s="394">
        <f t="shared" si="15"/>
        <v>131600.66666666701</v>
      </c>
      <c r="K45" s="393">
        <f t="shared" si="16"/>
        <v>131218.09400000001</v>
      </c>
      <c r="L45" s="886">
        <f t="shared" si="17"/>
        <v>10778983.636666669</v>
      </c>
      <c r="M45" s="843"/>
      <c r="N45" s="395">
        <v>0.25</v>
      </c>
      <c r="O45" s="887">
        <f t="shared" si="10"/>
        <v>2694745.9091666671</v>
      </c>
      <c r="P45" s="395">
        <v>0.25</v>
      </c>
      <c r="Q45" s="886">
        <f t="shared" si="11"/>
        <v>2694745.9091666671</v>
      </c>
      <c r="R45" s="406">
        <v>0.5</v>
      </c>
      <c r="S45" s="887">
        <f t="shared" si="12"/>
        <v>5389491.8183333343</v>
      </c>
      <c r="T45" s="888">
        <f t="shared" si="8"/>
        <v>1</v>
      </c>
      <c r="V45" s="890">
        <v>53101004030000</v>
      </c>
      <c r="W45" s="891" t="s">
        <v>283</v>
      </c>
      <c r="X45" s="398">
        <v>600000</v>
      </c>
    </row>
    <row r="46" spans="1:24" ht="12.75" customHeight="1" x14ac:dyDescent="0.2">
      <c r="A46" s="1021"/>
      <c r="B46" s="1022"/>
      <c r="C46" s="391"/>
      <c r="D46" s="391"/>
      <c r="E46" s="392"/>
      <c r="F46" s="392"/>
      <c r="G46" s="409"/>
      <c r="H46" s="394"/>
      <c r="I46" s="393"/>
      <c r="J46" s="394"/>
      <c r="K46" s="393"/>
      <c r="L46" s="886"/>
      <c r="M46" s="843"/>
      <c r="N46" s="395">
        <v>0</v>
      </c>
      <c r="O46" s="887">
        <f t="shared" si="10"/>
        <v>0</v>
      </c>
      <c r="P46" s="395">
        <v>0</v>
      </c>
      <c r="Q46" s="886">
        <f t="shared" si="11"/>
        <v>0</v>
      </c>
      <c r="R46" s="406">
        <v>0</v>
      </c>
      <c r="S46" s="887">
        <f t="shared" si="12"/>
        <v>0</v>
      </c>
      <c r="T46" s="888">
        <f t="shared" si="8"/>
        <v>0</v>
      </c>
      <c r="V46" s="889"/>
      <c r="W46" s="297" t="s">
        <v>131</v>
      </c>
      <c r="X46" s="260">
        <f>SUM(X47:X48)</f>
        <v>6240000</v>
      </c>
    </row>
    <row r="47" spans="1:24" ht="12.75" customHeight="1" x14ac:dyDescent="0.2">
      <c r="A47" s="1021"/>
      <c r="B47" s="1022"/>
      <c r="C47" s="391"/>
      <c r="D47" s="391"/>
      <c r="E47" s="392"/>
      <c r="F47" s="392"/>
      <c r="G47" s="409"/>
      <c r="H47" s="394"/>
      <c r="I47" s="393"/>
      <c r="J47" s="394"/>
      <c r="K47" s="393"/>
      <c r="L47" s="886"/>
      <c r="M47" s="843"/>
      <c r="N47" s="395">
        <v>0</v>
      </c>
      <c r="O47" s="887">
        <f t="shared" si="10"/>
        <v>0</v>
      </c>
      <c r="P47" s="395">
        <v>0</v>
      </c>
      <c r="Q47" s="886">
        <f t="shared" si="11"/>
        <v>0</v>
      </c>
      <c r="R47" s="406">
        <v>0</v>
      </c>
      <c r="S47" s="887">
        <f t="shared" si="12"/>
        <v>0</v>
      </c>
      <c r="T47" s="888">
        <f t="shared" si="8"/>
        <v>0</v>
      </c>
      <c r="V47" s="890">
        <v>53205080000000</v>
      </c>
      <c r="W47" s="891" t="s">
        <v>284</v>
      </c>
      <c r="X47" s="265">
        <v>6240000</v>
      </c>
    </row>
    <row r="48" spans="1:24" ht="12.75" customHeight="1" x14ac:dyDescent="0.2">
      <c r="A48" s="1021"/>
      <c r="B48" s="1022"/>
      <c r="C48" s="391"/>
      <c r="D48" s="391"/>
      <c r="E48" s="391"/>
      <c r="F48" s="392"/>
      <c r="G48" s="393"/>
      <c r="H48" s="394"/>
      <c r="I48" s="393"/>
      <c r="J48" s="394"/>
      <c r="K48" s="393"/>
      <c r="L48" s="886"/>
      <c r="M48" s="843"/>
      <c r="N48" s="395">
        <v>0</v>
      </c>
      <c r="O48" s="887">
        <f t="shared" si="10"/>
        <v>0</v>
      </c>
      <c r="P48" s="395">
        <v>0</v>
      </c>
      <c r="Q48" s="886">
        <f t="shared" si="11"/>
        <v>0</v>
      </c>
      <c r="R48" s="406">
        <v>0</v>
      </c>
      <c r="S48" s="887">
        <f t="shared" si="12"/>
        <v>0</v>
      </c>
      <c r="T48" s="888">
        <f t="shared" si="8"/>
        <v>0</v>
      </c>
      <c r="V48" s="890">
        <v>53205990000000</v>
      </c>
      <c r="W48" s="891" t="s">
        <v>132</v>
      </c>
      <c r="X48" s="265">
        <v>0</v>
      </c>
    </row>
    <row r="49" spans="1:24" ht="12.75" customHeight="1" x14ac:dyDescent="0.2">
      <c r="A49" s="1021"/>
      <c r="B49" s="1022"/>
      <c r="C49" s="391"/>
      <c r="D49" s="391"/>
      <c r="E49" s="392"/>
      <c r="F49" s="392"/>
      <c r="G49" s="409"/>
      <c r="H49" s="394"/>
      <c r="I49" s="393"/>
      <c r="J49" s="394"/>
      <c r="K49" s="393"/>
      <c r="L49" s="886"/>
      <c r="M49" s="843"/>
      <c r="N49" s="395">
        <v>0</v>
      </c>
      <c r="O49" s="887">
        <f t="shared" si="10"/>
        <v>0</v>
      </c>
      <c r="P49" s="395">
        <v>0</v>
      </c>
      <c r="Q49" s="886">
        <f t="shared" si="11"/>
        <v>0</v>
      </c>
      <c r="R49" s="406">
        <v>0</v>
      </c>
      <c r="S49" s="887">
        <f t="shared" si="12"/>
        <v>0</v>
      </c>
      <c r="T49" s="888">
        <f t="shared" si="8"/>
        <v>0</v>
      </c>
      <c r="V49" s="889"/>
      <c r="W49" s="297" t="s">
        <v>133</v>
      </c>
      <c r="X49" s="260">
        <f>SUM(X50:X59)</f>
        <v>27570000</v>
      </c>
    </row>
    <row r="50" spans="1:24" ht="12.75" customHeight="1" x14ac:dyDescent="0.2">
      <c r="A50" s="1021"/>
      <c r="B50" s="1022"/>
      <c r="C50" s="410"/>
      <c r="D50" s="410"/>
      <c r="E50" s="410"/>
      <c r="F50" s="392"/>
      <c r="G50" s="393"/>
      <c r="H50" s="394"/>
      <c r="I50" s="393"/>
      <c r="J50" s="394"/>
      <c r="K50" s="393"/>
      <c r="L50" s="886"/>
      <c r="M50" s="843"/>
      <c r="N50" s="395">
        <v>0</v>
      </c>
      <c r="O50" s="887">
        <f t="shared" si="10"/>
        <v>0</v>
      </c>
      <c r="P50" s="395">
        <v>0</v>
      </c>
      <c r="Q50" s="886">
        <f t="shared" si="11"/>
        <v>0</v>
      </c>
      <c r="R50" s="406">
        <v>0</v>
      </c>
      <c r="S50" s="887">
        <f t="shared" si="12"/>
        <v>0</v>
      </c>
      <c r="T50" s="888">
        <f t="shared" si="8"/>
        <v>0</v>
      </c>
      <c r="V50" s="890">
        <v>53203010200000</v>
      </c>
      <c r="W50" s="891" t="s">
        <v>285</v>
      </c>
      <c r="X50" s="265">
        <v>0</v>
      </c>
    </row>
    <row r="51" spans="1:24" ht="12.75" customHeight="1" x14ac:dyDescent="0.2">
      <c r="A51" s="1021"/>
      <c r="B51" s="1022"/>
      <c r="C51" s="410"/>
      <c r="D51" s="410"/>
      <c r="E51" s="410"/>
      <c r="F51" s="392"/>
      <c r="G51" s="393"/>
      <c r="H51" s="394"/>
      <c r="I51" s="393"/>
      <c r="J51" s="394"/>
      <c r="K51" s="393"/>
      <c r="L51" s="886"/>
      <c r="M51" s="843"/>
      <c r="N51" s="395">
        <v>0</v>
      </c>
      <c r="O51" s="887">
        <f t="shared" si="10"/>
        <v>0</v>
      </c>
      <c r="P51" s="395">
        <v>0</v>
      </c>
      <c r="Q51" s="886">
        <f t="shared" si="11"/>
        <v>0</v>
      </c>
      <c r="R51" s="406">
        <v>0</v>
      </c>
      <c r="S51" s="887">
        <f t="shared" si="12"/>
        <v>0</v>
      </c>
      <c r="T51" s="888">
        <f t="shared" si="8"/>
        <v>0</v>
      </c>
      <c r="V51" s="890">
        <v>53204010000000</v>
      </c>
      <c r="W51" s="891" t="s">
        <v>134</v>
      </c>
      <c r="X51" s="398">
        <v>9840000</v>
      </c>
    </row>
    <row r="52" spans="1:24" ht="12.75" customHeight="1" x14ac:dyDescent="0.2">
      <c r="A52" s="1021"/>
      <c r="B52" s="1022"/>
      <c r="C52" s="396"/>
      <c r="D52" s="396"/>
      <c r="E52" s="397"/>
      <c r="F52" s="397"/>
      <c r="G52" s="393"/>
      <c r="H52" s="394"/>
      <c r="I52" s="393"/>
      <c r="J52" s="394"/>
      <c r="K52" s="393"/>
      <c r="L52" s="886"/>
      <c r="M52" s="843"/>
      <c r="N52" s="395">
        <v>0</v>
      </c>
      <c r="O52" s="887">
        <f t="shared" si="10"/>
        <v>0</v>
      </c>
      <c r="P52" s="395">
        <v>0</v>
      </c>
      <c r="Q52" s="886">
        <f t="shared" si="11"/>
        <v>0</v>
      </c>
      <c r="R52" s="406">
        <v>0</v>
      </c>
      <c r="S52" s="887">
        <f t="shared" si="12"/>
        <v>0</v>
      </c>
      <c r="T52" s="888">
        <f t="shared" si="8"/>
        <v>0</v>
      </c>
      <c r="V52" s="890">
        <v>53204040200000</v>
      </c>
      <c r="W52" s="891" t="s">
        <v>286</v>
      </c>
      <c r="X52" s="398">
        <v>0</v>
      </c>
    </row>
    <row r="53" spans="1:24" ht="12.75" customHeight="1" x14ac:dyDescent="0.2">
      <c r="A53" s="1021"/>
      <c r="B53" s="1022"/>
      <c r="C53" s="396"/>
      <c r="D53" s="396"/>
      <c r="E53" s="397"/>
      <c r="F53" s="397"/>
      <c r="G53" s="393"/>
      <c r="H53" s="394"/>
      <c r="I53" s="393"/>
      <c r="J53" s="394"/>
      <c r="K53" s="393"/>
      <c r="L53" s="886"/>
      <c r="M53" s="843"/>
      <c r="N53" s="395">
        <v>0</v>
      </c>
      <c r="O53" s="887">
        <f t="shared" si="10"/>
        <v>0</v>
      </c>
      <c r="P53" s="395">
        <v>0</v>
      </c>
      <c r="Q53" s="886">
        <f t="shared" si="11"/>
        <v>0</v>
      </c>
      <c r="R53" s="406">
        <v>0</v>
      </c>
      <c r="S53" s="887">
        <f t="shared" si="12"/>
        <v>0</v>
      </c>
      <c r="T53" s="888">
        <f t="shared" si="8"/>
        <v>0</v>
      </c>
      <c r="V53" s="890">
        <v>53204060000000</v>
      </c>
      <c r="W53" s="891" t="s">
        <v>136</v>
      </c>
      <c r="X53" s="398">
        <v>250000</v>
      </c>
    </row>
    <row r="54" spans="1:24" ht="12.75" customHeight="1" x14ac:dyDescent="0.2">
      <c r="A54" s="1021"/>
      <c r="B54" s="1022"/>
      <c r="C54" s="396"/>
      <c r="D54" s="396"/>
      <c r="E54" s="397"/>
      <c r="F54" s="397"/>
      <c r="G54" s="393"/>
      <c r="H54" s="394"/>
      <c r="I54" s="393"/>
      <c r="J54" s="394"/>
      <c r="K54" s="393"/>
      <c r="L54" s="886"/>
      <c r="M54" s="843"/>
      <c r="N54" s="395">
        <v>0</v>
      </c>
      <c r="O54" s="887">
        <f t="shared" si="10"/>
        <v>0</v>
      </c>
      <c r="P54" s="395">
        <v>0</v>
      </c>
      <c r="Q54" s="886">
        <f t="shared" si="11"/>
        <v>0</v>
      </c>
      <c r="R54" s="406">
        <v>0</v>
      </c>
      <c r="S54" s="887">
        <f t="shared" si="12"/>
        <v>0</v>
      </c>
      <c r="T54" s="888">
        <f t="shared" si="8"/>
        <v>0</v>
      </c>
      <c r="V54" s="890">
        <v>53204070000000</v>
      </c>
      <c r="W54" s="891" t="s">
        <v>137</v>
      </c>
      <c r="X54" s="398">
        <v>7000000</v>
      </c>
    </row>
    <row r="55" spans="1:24" ht="12.75" customHeight="1" x14ac:dyDescent="0.2">
      <c r="A55" s="1021"/>
      <c r="B55" s="1022"/>
      <c r="C55" s="396"/>
      <c r="D55" s="396"/>
      <c r="E55" s="397"/>
      <c r="F55" s="397"/>
      <c r="G55" s="393"/>
      <c r="H55" s="394"/>
      <c r="I55" s="393"/>
      <c r="J55" s="394"/>
      <c r="K55" s="393"/>
      <c r="L55" s="886"/>
      <c r="M55" s="843"/>
      <c r="N55" s="395">
        <v>0</v>
      </c>
      <c r="O55" s="887">
        <f t="shared" si="10"/>
        <v>0</v>
      </c>
      <c r="P55" s="395">
        <v>0</v>
      </c>
      <c r="Q55" s="886">
        <f t="shared" si="11"/>
        <v>0</v>
      </c>
      <c r="R55" s="406">
        <v>0</v>
      </c>
      <c r="S55" s="887">
        <f t="shared" si="12"/>
        <v>0</v>
      </c>
      <c r="T55" s="888">
        <f t="shared" si="8"/>
        <v>0</v>
      </c>
      <c r="V55" s="890">
        <v>53204080000000</v>
      </c>
      <c r="W55" s="891" t="s">
        <v>139</v>
      </c>
      <c r="X55" s="398">
        <v>1000000</v>
      </c>
    </row>
    <row r="56" spans="1:24" ht="12.75" customHeight="1" x14ac:dyDescent="0.2">
      <c r="A56" s="1021"/>
      <c r="B56" s="1022"/>
      <c r="C56" s="396"/>
      <c r="D56" s="396"/>
      <c r="E56" s="397"/>
      <c r="F56" s="397"/>
      <c r="G56" s="393"/>
      <c r="H56" s="394"/>
      <c r="I56" s="393"/>
      <c r="J56" s="394"/>
      <c r="K56" s="393"/>
      <c r="L56" s="886"/>
      <c r="M56" s="843"/>
      <c r="N56" s="395">
        <v>0</v>
      </c>
      <c r="O56" s="887">
        <f t="shared" si="10"/>
        <v>0</v>
      </c>
      <c r="P56" s="395">
        <v>0</v>
      </c>
      <c r="Q56" s="886">
        <f t="shared" si="11"/>
        <v>0</v>
      </c>
      <c r="R56" s="406">
        <v>0</v>
      </c>
      <c r="S56" s="887">
        <f t="shared" si="12"/>
        <v>0</v>
      </c>
      <c r="T56" s="888">
        <f t="shared" si="8"/>
        <v>0</v>
      </c>
      <c r="V56" s="890">
        <v>53214010000000</v>
      </c>
      <c r="W56" s="891" t="s">
        <v>140</v>
      </c>
      <c r="X56" s="398">
        <f>1000000+2400000</f>
        <v>3400000</v>
      </c>
    </row>
    <row r="57" spans="1:24" ht="12.75" customHeight="1" x14ac:dyDescent="0.2">
      <c r="A57" s="1021"/>
      <c r="B57" s="1022"/>
      <c r="C57" s="396"/>
      <c r="D57" s="396"/>
      <c r="E57" s="397"/>
      <c r="F57" s="397"/>
      <c r="G57" s="393"/>
      <c r="H57" s="394"/>
      <c r="I57" s="393"/>
      <c r="J57" s="394"/>
      <c r="K57" s="393"/>
      <c r="L57" s="886"/>
      <c r="M57" s="843"/>
      <c r="N57" s="395">
        <v>0</v>
      </c>
      <c r="O57" s="887">
        <f t="shared" si="10"/>
        <v>0</v>
      </c>
      <c r="P57" s="395">
        <v>0</v>
      </c>
      <c r="Q57" s="886">
        <f t="shared" si="11"/>
        <v>0</v>
      </c>
      <c r="R57" s="406">
        <v>0</v>
      </c>
      <c r="S57" s="887">
        <f t="shared" si="12"/>
        <v>0</v>
      </c>
      <c r="T57" s="888">
        <f t="shared" si="8"/>
        <v>0</v>
      </c>
      <c r="V57" s="890">
        <v>53214040000000</v>
      </c>
      <c r="W57" s="891" t="s">
        <v>287</v>
      </c>
      <c r="X57" s="398">
        <f>2600000+3480000</f>
        <v>6080000</v>
      </c>
    </row>
    <row r="58" spans="1:24" ht="12.75" customHeight="1" x14ac:dyDescent="0.2">
      <c r="A58" s="1021"/>
      <c r="B58" s="1022"/>
      <c r="C58" s="396"/>
      <c r="D58" s="396"/>
      <c r="E58" s="397"/>
      <c r="F58" s="397"/>
      <c r="G58" s="393"/>
      <c r="H58" s="394"/>
      <c r="I58" s="393"/>
      <c r="J58" s="394"/>
      <c r="K58" s="393"/>
      <c r="L58" s="886"/>
      <c r="M58" s="843"/>
      <c r="N58" s="395">
        <v>0</v>
      </c>
      <c r="O58" s="887">
        <f t="shared" si="10"/>
        <v>0</v>
      </c>
      <c r="P58" s="395">
        <v>0</v>
      </c>
      <c r="Q58" s="886">
        <f t="shared" si="11"/>
        <v>0</v>
      </c>
      <c r="R58" s="406">
        <v>0</v>
      </c>
      <c r="S58" s="887">
        <f t="shared" si="12"/>
        <v>0</v>
      </c>
      <c r="T58" s="888">
        <f t="shared" si="8"/>
        <v>0</v>
      </c>
      <c r="V58" s="890">
        <v>55201010100004</v>
      </c>
      <c r="W58" s="891" t="s">
        <v>288</v>
      </c>
      <c r="X58" s="398">
        <v>0</v>
      </c>
    </row>
    <row r="59" spans="1:24" ht="12.75" customHeight="1" x14ac:dyDescent="0.2">
      <c r="A59" s="1021"/>
      <c r="B59" s="1022"/>
      <c r="C59" s="396"/>
      <c r="D59" s="396"/>
      <c r="E59" s="397"/>
      <c r="F59" s="397"/>
      <c r="G59" s="393"/>
      <c r="H59" s="394"/>
      <c r="I59" s="393"/>
      <c r="J59" s="394"/>
      <c r="K59" s="393"/>
      <c r="L59" s="886"/>
      <c r="M59" s="843"/>
      <c r="N59" s="395">
        <v>0</v>
      </c>
      <c r="O59" s="887">
        <f t="shared" si="10"/>
        <v>0</v>
      </c>
      <c r="P59" s="395">
        <v>0</v>
      </c>
      <c r="Q59" s="886">
        <f t="shared" si="11"/>
        <v>0</v>
      </c>
      <c r="R59" s="406">
        <v>0</v>
      </c>
      <c r="S59" s="887">
        <f t="shared" si="12"/>
        <v>0</v>
      </c>
      <c r="T59" s="888">
        <f t="shared" si="8"/>
        <v>0</v>
      </c>
      <c r="V59" s="890">
        <v>55201010100005</v>
      </c>
      <c r="W59" s="891" t="s">
        <v>289</v>
      </c>
      <c r="X59" s="265">
        <v>0</v>
      </c>
    </row>
    <row r="60" spans="1:24" ht="12.75" customHeight="1" x14ac:dyDescent="0.2">
      <c r="A60" s="1021"/>
      <c r="B60" s="1022"/>
      <c r="C60" s="396"/>
      <c r="D60" s="396"/>
      <c r="E60" s="397"/>
      <c r="F60" s="397"/>
      <c r="G60" s="393"/>
      <c r="H60" s="394"/>
      <c r="I60" s="393"/>
      <c r="J60" s="394"/>
      <c r="K60" s="393"/>
      <c r="L60" s="886"/>
      <c r="M60" s="843"/>
      <c r="N60" s="395">
        <v>0</v>
      </c>
      <c r="O60" s="887">
        <f t="shared" si="10"/>
        <v>0</v>
      </c>
      <c r="P60" s="395">
        <v>0</v>
      </c>
      <c r="Q60" s="886">
        <f t="shared" si="11"/>
        <v>0</v>
      </c>
      <c r="R60" s="406">
        <v>0</v>
      </c>
      <c r="S60" s="887">
        <f t="shared" si="12"/>
        <v>0</v>
      </c>
      <c r="T60" s="888">
        <f t="shared" si="8"/>
        <v>0</v>
      </c>
      <c r="V60" s="889"/>
      <c r="W60" s="297" t="s">
        <v>143</v>
      </c>
      <c r="X60" s="260">
        <f>SUM(X61:X72)</f>
        <v>6650000</v>
      </c>
    </row>
    <row r="61" spans="1:24" ht="12.75" customHeight="1" x14ac:dyDescent="0.2">
      <c r="A61" s="1021"/>
      <c r="B61" s="1022"/>
      <c r="C61" s="399"/>
      <c r="D61" s="399"/>
      <c r="E61" s="400"/>
      <c r="F61" s="400"/>
      <c r="G61" s="401"/>
      <c r="H61" s="402"/>
      <c r="I61" s="401"/>
      <c r="J61" s="402"/>
      <c r="K61" s="401"/>
      <c r="L61" s="901"/>
      <c r="M61" s="843"/>
      <c r="N61" s="411">
        <v>0</v>
      </c>
      <c r="O61" s="902">
        <f t="shared" si="10"/>
        <v>0</v>
      </c>
      <c r="P61" s="411">
        <v>0</v>
      </c>
      <c r="Q61" s="901">
        <f t="shared" si="11"/>
        <v>0</v>
      </c>
      <c r="R61" s="412">
        <v>0</v>
      </c>
      <c r="S61" s="902">
        <f t="shared" si="12"/>
        <v>0</v>
      </c>
      <c r="T61" s="903">
        <f t="shared" si="8"/>
        <v>0</v>
      </c>
      <c r="V61" s="890">
        <v>53207010000000</v>
      </c>
      <c r="W61" s="891" t="s">
        <v>144</v>
      </c>
      <c r="X61" s="265">
        <v>250000</v>
      </c>
    </row>
    <row r="62" spans="1:24" ht="12.75" customHeight="1" x14ac:dyDescent="0.2">
      <c r="L62" s="905">
        <f>SUM(L15:L61)</f>
        <v>207377148.90309757</v>
      </c>
      <c r="N62" s="906">
        <f>IFERROR(+O62/$L$62,0)</f>
        <v>0.25</v>
      </c>
      <c r="O62" s="907">
        <f>SUM(O15:O61)</f>
        <v>51844287.225774392</v>
      </c>
      <c r="P62" s="906">
        <f>IFERROR(+Q62/$L$62,0)</f>
        <v>0.25</v>
      </c>
      <c r="Q62" s="907">
        <f>SUM(Q15:Q61)</f>
        <v>51844287.225774392</v>
      </c>
      <c r="R62" s="906">
        <f>IFERROR(+S62/$L$62,0)</f>
        <v>0.5</v>
      </c>
      <c r="S62" s="907">
        <f>SUM(S15:S61)</f>
        <v>103688574.45154878</v>
      </c>
      <c r="V62" s="890">
        <v>53207020000000</v>
      </c>
      <c r="W62" s="891" t="s">
        <v>145</v>
      </c>
      <c r="X62" s="265">
        <v>1000000</v>
      </c>
    </row>
    <row r="63" spans="1:24" ht="12.75" customHeight="1" x14ac:dyDescent="0.2">
      <c r="L63" s="908">
        <v>1</v>
      </c>
      <c r="V63" s="890">
        <v>53208020000000</v>
      </c>
      <c r="W63" s="891" t="s">
        <v>290</v>
      </c>
      <c r="X63" s="398">
        <v>0</v>
      </c>
    </row>
    <row r="64" spans="1:24" ht="12.75" customHeight="1" x14ac:dyDescent="0.2">
      <c r="V64" s="890"/>
      <c r="W64" s="891"/>
      <c r="X64" s="398">
        <v>0</v>
      </c>
    </row>
    <row r="65" spans="1:24" ht="12.75" customHeight="1" x14ac:dyDescent="0.2">
      <c r="V65" s="890"/>
      <c r="W65" s="891"/>
      <c r="X65" s="398">
        <v>0</v>
      </c>
    </row>
    <row r="66" spans="1:24" ht="12.75" customHeight="1" x14ac:dyDescent="0.2">
      <c r="V66" s="890"/>
      <c r="W66" s="891"/>
      <c r="X66" s="398">
        <v>0</v>
      </c>
    </row>
    <row r="67" spans="1:24" ht="12.75" customHeight="1" x14ac:dyDescent="0.2">
      <c r="V67" s="890">
        <v>53208990000000</v>
      </c>
      <c r="W67" s="891" t="s">
        <v>291</v>
      </c>
      <c r="X67" s="265">
        <f>1500000+200000</f>
        <v>1700000</v>
      </c>
    </row>
    <row r="68" spans="1:24" ht="12.75" customHeight="1" x14ac:dyDescent="0.2">
      <c r="A68" s="1016" t="s">
        <v>292</v>
      </c>
      <c r="B68" s="1017" t="s">
        <v>293</v>
      </c>
      <c r="C68" s="867" t="s">
        <v>294</v>
      </c>
      <c r="D68" s="867" t="s">
        <v>295</v>
      </c>
      <c r="E68" s="868" t="s">
        <v>296</v>
      </c>
      <c r="F68" s="868" t="s">
        <v>297</v>
      </c>
      <c r="G68" s="869">
        <f>967174*12</f>
        <v>11606088</v>
      </c>
      <c r="H68" s="869">
        <f>+I68/12</f>
        <v>1022302.9179999999</v>
      </c>
      <c r="I68" s="869">
        <f>+G68*(1+$L$11)</f>
        <v>12267635.015999999</v>
      </c>
      <c r="J68" s="869">
        <f>IF(H68&gt;700000,$J$4,$J$3)</f>
        <v>131600.66666666701</v>
      </c>
      <c r="K68" s="869">
        <f>+$K$3</f>
        <v>131218.09400000001</v>
      </c>
      <c r="L68" s="870">
        <f>+I68+J68+K68</f>
        <v>12530453.776666667</v>
      </c>
      <c r="M68" s="843"/>
      <c r="V68" s="890">
        <v>53209010000000</v>
      </c>
      <c r="W68" s="891" t="s">
        <v>298</v>
      </c>
      <c r="X68" s="398">
        <v>0</v>
      </c>
    </row>
    <row r="69" spans="1:24" ht="12.75" customHeight="1" x14ac:dyDescent="0.2">
      <c r="A69" s="1016"/>
      <c r="B69" s="1017"/>
      <c r="C69" s="895" t="s">
        <v>299</v>
      </c>
      <c r="D69" s="895" t="s">
        <v>300</v>
      </c>
      <c r="E69" s="896" t="s">
        <v>301</v>
      </c>
      <c r="F69" s="896" t="s">
        <v>297</v>
      </c>
      <c r="G69" s="884">
        <f>537209*12</f>
        <v>6446508</v>
      </c>
      <c r="H69" s="885">
        <f>+I69/12</f>
        <v>567829.91299999994</v>
      </c>
      <c r="I69" s="884">
        <f>+G69*(1+$L$11)</f>
        <v>6813958.9559999993</v>
      </c>
      <c r="J69" s="885">
        <f>IF(H69&gt;700000,$J$4,$J$3)</f>
        <v>226547.66666666701</v>
      </c>
      <c r="K69" s="884">
        <f>+$K$3</f>
        <v>131218.09400000001</v>
      </c>
      <c r="L69" s="886">
        <f>+I69+J69+K69</f>
        <v>7171724.7166666659</v>
      </c>
      <c r="M69" s="843"/>
      <c r="V69" s="890">
        <v>53209040000000</v>
      </c>
      <c r="W69" s="891" t="s">
        <v>302</v>
      </c>
      <c r="X69" s="398">
        <v>0</v>
      </c>
    </row>
    <row r="70" spans="1:24" x14ac:dyDescent="0.2">
      <c r="A70" s="1016"/>
      <c r="B70" s="1017"/>
      <c r="C70" s="904"/>
      <c r="D70" s="904"/>
      <c r="E70" s="896" t="s">
        <v>303</v>
      </c>
      <c r="F70" s="896"/>
      <c r="G70" s="884">
        <v>150000</v>
      </c>
      <c r="H70" s="885">
        <f>+I70/12</f>
        <v>13212.5</v>
      </c>
      <c r="I70" s="884">
        <f>+G70*(1+$L$11)</f>
        <v>158550</v>
      </c>
      <c r="J70" s="885">
        <f>IF(H70&gt;700000,$J$4,$J$3)</f>
        <v>226547.66666666701</v>
      </c>
      <c r="K70" s="884">
        <f>+$K$3</f>
        <v>131218.09400000001</v>
      </c>
      <c r="L70" s="886">
        <f>+I70+J70+K70</f>
        <v>516315.76066666702</v>
      </c>
      <c r="M70" s="843"/>
      <c r="V70" s="890">
        <v>53209050000000</v>
      </c>
      <c r="W70" s="891" t="s">
        <v>304</v>
      </c>
      <c r="X70" s="265">
        <v>3600000</v>
      </c>
    </row>
    <row r="71" spans="1:24" x14ac:dyDescent="0.2">
      <c r="A71" s="1016"/>
      <c r="B71" s="1017"/>
      <c r="C71" s="909" t="s">
        <v>305</v>
      </c>
      <c r="D71" s="909" t="s">
        <v>306</v>
      </c>
      <c r="E71" s="910" t="s">
        <v>307</v>
      </c>
      <c r="F71" s="883" t="s">
        <v>219</v>
      </c>
      <c r="G71" s="884">
        <f>+[2]REMUNERACIONES!Z16</f>
        <v>6261228</v>
      </c>
      <c r="H71" s="885">
        <f>+I71/12</f>
        <v>551509.83299999998</v>
      </c>
      <c r="I71" s="884">
        <f>+G71*(1+$L$11)</f>
        <v>6618117.9959999993</v>
      </c>
      <c r="J71" s="885">
        <f>IF(H71&gt;700000,$J$4,$J$3)</f>
        <v>226547.66666666701</v>
      </c>
      <c r="K71" s="884">
        <f>+$K$3</f>
        <v>131218.09400000001</v>
      </c>
      <c r="L71" s="911">
        <f>+I71+J71+K71</f>
        <v>6975883.7566666659</v>
      </c>
      <c r="M71" s="843"/>
      <c r="V71" s="890">
        <v>53209990000000</v>
      </c>
      <c r="W71" s="891" t="s">
        <v>308</v>
      </c>
      <c r="X71" s="265">
        <v>100000</v>
      </c>
    </row>
    <row r="72" spans="1:24" x14ac:dyDescent="0.2">
      <c r="A72" s="1016"/>
      <c r="B72" s="1017"/>
      <c r="C72" s="897"/>
      <c r="D72" s="897"/>
      <c r="E72" s="898"/>
      <c r="F72" s="898"/>
      <c r="G72" s="899"/>
      <c r="H72" s="900">
        <f>+I72/12</f>
        <v>0</v>
      </c>
      <c r="I72" s="899">
        <f>+G72*(1+$L$11)</f>
        <v>0</v>
      </c>
      <c r="J72" s="900"/>
      <c r="K72" s="899"/>
      <c r="L72" s="901">
        <f>+I72+J72+K72</f>
        <v>0</v>
      </c>
      <c r="M72" s="843"/>
      <c r="V72" s="890">
        <v>53210020100000</v>
      </c>
      <c r="W72" s="891" t="s">
        <v>151</v>
      </c>
      <c r="X72" s="398">
        <v>0</v>
      </c>
    </row>
    <row r="73" spans="1:24" ht="15.75" x14ac:dyDescent="0.2">
      <c r="C73" s="842"/>
      <c r="D73" s="842"/>
      <c r="E73" s="912"/>
      <c r="F73" s="912"/>
      <c r="G73" s="912"/>
      <c r="H73" s="912"/>
      <c r="I73" s="912"/>
      <c r="J73" s="912"/>
      <c r="K73" s="912"/>
      <c r="L73" s="913">
        <f>SUM(L68:L72)</f>
        <v>27194378.010666668</v>
      </c>
      <c r="M73" s="843"/>
      <c r="V73" s="889"/>
      <c r="W73" s="297" t="s">
        <v>152</v>
      </c>
      <c r="X73" s="260">
        <f>SUM(X74:X80)</f>
        <v>820000</v>
      </c>
    </row>
    <row r="74" spans="1:24" x14ac:dyDescent="0.2">
      <c r="L74" s="908">
        <v>1</v>
      </c>
      <c r="M74" s="843"/>
      <c r="N74" s="914"/>
      <c r="P74" s="914"/>
      <c r="R74" s="914"/>
      <c r="V74" s="890">
        <v>53206030000000</v>
      </c>
      <c r="W74" s="891" t="s">
        <v>153</v>
      </c>
      <c r="X74" s="265">
        <v>100000</v>
      </c>
    </row>
    <row r="75" spans="1:24" ht="15.75" customHeight="1" x14ac:dyDescent="0.2">
      <c r="J75" s="850"/>
      <c r="V75" s="890">
        <v>53206040000000</v>
      </c>
      <c r="W75" s="891" t="s">
        <v>154</v>
      </c>
      <c r="X75" s="265">
        <v>0</v>
      </c>
    </row>
    <row r="76" spans="1:24" ht="12.75" customHeight="1" x14ac:dyDescent="0.2">
      <c r="A76" s="1016" t="s">
        <v>309</v>
      </c>
      <c r="B76" s="1017" t="s">
        <v>310</v>
      </c>
      <c r="C76" s="915" t="s">
        <v>311</v>
      </c>
      <c r="D76" s="915" t="s">
        <v>312</v>
      </c>
      <c r="E76" s="916" t="s">
        <v>313</v>
      </c>
      <c r="F76" s="916" t="s">
        <v>219</v>
      </c>
      <c r="G76" s="869">
        <f>1084336*12</f>
        <v>13012032</v>
      </c>
      <c r="H76" s="869">
        <f>+I76/12</f>
        <v>1146143.152</v>
      </c>
      <c r="I76" s="869">
        <f>+G76*(1+$L$11)</f>
        <v>13753717.823999999</v>
      </c>
      <c r="J76" s="869">
        <f>IF(H76&gt;700000,$J$4,$J$3)</f>
        <v>131600.66666666701</v>
      </c>
      <c r="K76" s="869">
        <f>+$K$3</f>
        <v>131218.09400000001</v>
      </c>
      <c r="L76" s="870">
        <f>+I76+J76+K76</f>
        <v>14016536.584666668</v>
      </c>
      <c r="V76" s="890">
        <v>53206060000000</v>
      </c>
      <c r="W76" s="891" t="s">
        <v>314</v>
      </c>
      <c r="X76" s="265">
        <v>100000</v>
      </c>
    </row>
    <row r="77" spans="1:24" x14ac:dyDescent="0.2">
      <c r="A77" s="1016"/>
      <c r="B77" s="1017"/>
      <c r="C77" s="895"/>
      <c r="D77" s="895"/>
      <c r="E77" s="896"/>
      <c r="F77" s="896"/>
      <c r="G77" s="884">
        <f>+[2]REMUNERACIONES!Z55</f>
        <v>0</v>
      </c>
      <c r="H77" s="884">
        <f>+I77/12</f>
        <v>0</v>
      </c>
      <c r="I77" s="884">
        <f>+G77*(1+$L$11)</f>
        <v>0</v>
      </c>
      <c r="J77" s="884"/>
      <c r="K77" s="884"/>
      <c r="L77" s="886">
        <f>+I77+J77+K77</f>
        <v>0</v>
      </c>
      <c r="V77" s="890">
        <v>53206070000000</v>
      </c>
      <c r="W77" s="891" t="s">
        <v>156</v>
      </c>
      <c r="X77" s="265">
        <v>500000</v>
      </c>
    </row>
    <row r="78" spans="1:24" x14ac:dyDescent="0.2">
      <c r="A78" s="1016"/>
      <c r="B78" s="1017"/>
      <c r="C78" s="904"/>
      <c r="D78" s="904"/>
      <c r="E78" s="904"/>
      <c r="F78" s="896"/>
      <c r="G78" s="884">
        <f>+[2]REMUNERACIONES!Z56</f>
        <v>0</v>
      </c>
      <c r="H78" s="884">
        <f>+I78/12</f>
        <v>0</v>
      </c>
      <c r="I78" s="884">
        <f>+G78*(1+$L$11)</f>
        <v>0</v>
      </c>
      <c r="J78" s="884"/>
      <c r="K78" s="884"/>
      <c r="L78" s="886">
        <f>+I78+J78+K78</f>
        <v>0</v>
      </c>
      <c r="V78" s="890">
        <v>53206990000000</v>
      </c>
      <c r="W78" s="891" t="s">
        <v>315</v>
      </c>
      <c r="X78" s="265">
        <v>0</v>
      </c>
    </row>
    <row r="79" spans="1:24" x14ac:dyDescent="0.2">
      <c r="A79" s="1016"/>
      <c r="B79" s="1017"/>
      <c r="C79" s="895"/>
      <c r="D79" s="895"/>
      <c r="E79" s="896"/>
      <c r="F79" s="896"/>
      <c r="G79" s="884">
        <f>+[2]REMUNERACIONES!Z57</f>
        <v>0</v>
      </c>
      <c r="H79" s="884">
        <f>+I79/12</f>
        <v>0</v>
      </c>
      <c r="I79" s="884">
        <f>+G79*(1+$L$11)</f>
        <v>0</v>
      </c>
      <c r="J79" s="884"/>
      <c r="K79" s="884"/>
      <c r="L79" s="886">
        <f>+I79+J79+K79</f>
        <v>0</v>
      </c>
      <c r="V79" s="890">
        <v>53208030000000</v>
      </c>
      <c r="W79" s="891" t="s">
        <v>158</v>
      </c>
      <c r="X79" s="265">
        <v>0</v>
      </c>
    </row>
    <row r="80" spans="1:24" x14ac:dyDescent="0.2">
      <c r="A80" s="1016"/>
      <c r="B80" s="1017"/>
      <c r="C80" s="897"/>
      <c r="D80" s="897"/>
      <c r="E80" s="898"/>
      <c r="F80" s="898"/>
      <c r="G80" s="899">
        <f>+[2]REMUNERACIONES!Z58</f>
        <v>0</v>
      </c>
      <c r="H80" s="899">
        <f>+I80/12</f>
        <v>0</v>
      </c>
      <c r="I80" s="899">
        <f>+G80*(1+$L$11)</f>
        <v>0</v>
      </c>
      <c r="J80" s="899"/>
      <c r="K80" s="899"/>
      <c r="L80" s="901">
        <f>+I80+J80+K80</f>
        <v>0</v>
      </c>
      <c r="V80" s="890">
        <v>53212060000000</v>
      </c>
      <c r="W80" s="891" t="s">
        <v>316</v>
      </c>
      <c r="X80" s="265">
        <v>120000</v>
      </c>
    </row>
    <row r="81" spans="1:26" ht="15.75" x14ac:dyDescent="0.2">
      <c r="C81" s="842"/>
      <c r="D81" s="842"/>
      <c r="E81" s="912"/>
      <c r="F81" s="912"/>
      <c r="G81" s="912"/>
      <c r="H81" s="912"/>
      <c r="I81" s="912"/>
      <c r="J81" s="912"/>
      <c r="K81" s="912"/>
      <c r="L81" s="913">
        <f>SUM(L76:L80)</f>
        <v>14016536.584666668</v>
      </c>
      <c r="V81" s="889"/>
      <c r="W81" s="297" t="s">
        <v>160</v>
      </c>
      <c r="X81" s="260">
        <f>SUM(X82:X82)</f>
        <v>1646387</v>
      </c>
    </row>
    <row r="82" spans="1:26" x14ac:dyDescent="0.2">
      <c r="L82" s="917">
        <v>1</v>
      </c>
      <c r="V82" s="890">
        <v>53204999000000</v>
      </c>
      <c r="W82" s="891" t="s">
        <v>317</v>
      </c>
      <c r="X82" s="265">
        <v>1646387</v>
      </c>
    </row>
    <row r="83" spans="1:26" ht="15.75" customHeight="1" x14ac:dyDescent="0.2">
      <c r="A83" s="1016" t="s">
        <v>318</v>
      </c>
      <c r="B83" s="1017" t="s">
        <v>319</v>
      </c>
      <c r="C83" s="915" t="s">
        <v>320</v>
      </c>
      <c r="D83" s="915" t="s">
        <v>321</v>
      </c>
      <c r="E83" s="916" t="s">
        <v>322</v>
      </c>
      <c r="F83" s="868" t="s">
        <v>219</v>
      </c>
      <c r="G83" s="869">
        <f>894371*12</f>
        <v>10732452</v>
      </c>
      <c r="H83" s="869">
        <f>+I83/12</f>
        <v>945350.14699999988</v>
      </c>
      <c r="I83" s="869">
        <f>+G83*(1+$L$11)</f>
        <v>11344201.763999999</v>
      </c>
      <c r="J83" s="869">
        <f>IF(H83&gt;700000,$J$4,$J$3)</f>
        <v>131600.66666666701</v>
      </c>
      <c r="K83" s="869">
        <f>+$K$3</f>
        <v>131218.09400000001</v>
      </c>
      <c r="L83" s="870">
        <f>+I83+J83+K83</f>
        <v>11607020.524666667</v>
      </c>
      <c r="V83" s="290"/>
      <c r="W83" s="918" t="s">
        <v>323</v>
      </c>
      <c r="X83" s="919">
        <v>157963346</v>
      </c>
      <c r="Y83" s="839"/>
    </row>
    <row r="84" spans="1:26" x14ac:dyDescent="0.2">
      <c r="A84" s="1016"/>
      <c r="B84" s="1017"/>
      <c r="C84" s="909" t="s">
        <v>324</v>
      </c>
      <c r="D84" s="909" t="s">
        <v>325</v>
      </c>
      <c r="E84" s="909" t="s">
        <v>326</v>
      </c>
      <c r="F84" s="896" t="s">
        <v>219</v>
      </c>
      <c r="G84" s="884">
        <f>561730*12</f>
        <v>6740760</v>
      </c>
      <c r="H84" s="884">
        <f>+I84/12</f>
        <v>593748.61</v>
      </c>
      <c r="I84" s="884">
        <f>+G84*(1+$L$11)</f>
        <v>7124983.3199999994</v>
      </c>
      <c r="J84" s="884">
        <f>IF(H84&gt;700000,$J$4,$J$3)</f>
        <v>226547.66666666701</v>
      </c>
      <c r="K84" s="884">
        <f>+$K$3</f>
        <v>131218.09400000001</v>
      </c>
      <c r="L84" s="886">
        <f>+I84+J84+K84</f>
        <v>7482749.0806666659</v>
      </c>
    </row>
    <row r="85" spans="1:26" x14ac:dyDescent="0.2">
      <c r="A85" s="1016"/>
      <c r="B85" s="1017"/>
      <c r="C85" s="895" t="s">
        <v>327</v>
      </c>
      <c r="D85" s="895" t="s">
        <v>328</v>
      </c>
      <c r="E85" s="896" t="s">
        <v>329</v>
      </c>
      <c r="F85" s="896" t="s">
        <v>297</v>
      </c>
      <c r="G85" s="884">
        <v>26121012</v>
      </c>
      <c r="H85" s="884">
        <f>+I85/12</f>
        <v>2300825.8069999996</v>
      </c>
      <c r="I85" s="884">
        <f>+G85*(1+$L$11)</f>
        <v>27609909.683999997</v>
      </c>
      <c r="J85" s="884">
        <f>IF(H85&gt;700000,$J$4,$J$3)</f>
        <v>131600.66666666701</v>
      </c>
      <c r="K85" s="884">
        <f>+$K$3</f>
        <v>131218.09400000001</v>
      </c>
      <c r="L85" s="886">
        <f>+I85+J85+K85</f>
        <v>27872728.444666665</v>
      </c>
    </row>
    <row r="86" spans="1:26" x14ac:dyDescent="0.2">
      <c r="A86" s="1016"/>
      <c r="B86" s="1017"/>
      <c r="C86" s="895" t="s">
        <v>330</v>
      </c>
      <c r="D86" s="895" t="s">
        <v>331</v>
      </c>
      <c r="E86" s="896" t="s">
        <v>332</v>
      </c>
      <c r="F86" s="896" t="s">
        <v>297</v>
      </c>
      <c r="G86" s="884">
        <v>13573488</v>
      </c>
      <c r="H86" s="884">
        <f>+I86/12</f>
        <v>1195598.068</v>
      </c>
      <c r="I86" s="884">
        <f>+G86*(1+$L$11)</f>
        <v>14347176.816</v>
      </c>
      <c r="J86" s="884">
        <f>IF(H86&gt;700000,$J$4,$J$3)</f>
        <v>131600.66666666701</v>
      </c>
      <c r="K86" s="884">
        <f>+$K$3</f>
        <v>131218.09400000001</v>
      </c>
      <c r="L86" s="886">
        <f>+I86+J86+K86</f>
        <v>14609995.576666668</v>
      </c>
      <c r="W86" s="837" t="s">
        <v>333</v>
      </c>
      <c r="X86" s="920">
        <f>+'[2]$$'!L70</f>
        <v>224139234.66666701</v>
      </c>
    </row>
    <row r="87" spans="1:26" x14ac:dyDescent="0.2">
      <c r="A87" s="1016"/>
      <c r="B87" s="1017"/>
      <c r="C87" s="897" t="s">
        <v>334</v>
      </c>
      <c r="D87" s="897" t="s">
        <v>335</v>
      </c>
      <c r="E87" s="898" t="s">
        <v>332</v>
      </c>
      <c r="F87" s="898" t="s">
        <v>297</v>
      </c>
      <c r="G87" s="899">
        <v>9702412.8288000003</v>
      </c>
      <c r="H87" s="899">
        <f>+I87/12</f>
        <v>854620.86333680002</v>
      </c>
      <c r="I87" s="899">
        <f>+G87*(1+$L$11)</f>
        <v>10255450.3600416</v>
      </c>
      <c r="J87" s="899">
        <f>IF(H87&gt;700000,$J$4,$J$3)</f>
        <v>131600.66666666701</v>
      </c>
      <c r="K87" s="899">
        <f>+$K$3</f>
        <v>131218.09400000001</v>
      </c>
      <c r="L87" s="901">
        <f>+I87+J87+K87</f>
        <v>10518269.120708268</v>
      </c>
    </row>
    <row r="88" spans="1:26" ht="15.75" x14ac:dyDescent="0.2">
      <c r="C88" s="842"/>
      <c r="D88" s="842"/>
      <c r="E88" s="912"/>
      <c r="F88" s="912"/>
      <c r="G88" s="912"/>
      <c r="H88" s="912"/>
      <c r="I88" s="912"/>
      <c r="J88" s="912"/>
      <c r="K88" s="912"/>
      <c r="L88" s="913">
        <f>SUM(L83:L87)</f>
        <v>72090762.747374937</v>
      </c>
      <c r="W88" s="837" t="s">
        <v>336</v>
      </c>
      <c r="X88" s="839">
        <v>0</v>
      </c>
    </row>
    <row r="89" spans="1:26" x14ac:dyDescent="0.2">
      <c r="L89" s="908">
        <v>1</v>
      </c>
    </row>
    <row r="90" spans="1:26" x14ac:dyDescent="0.2">
      <c r="W90" s="837" t="s">
        <v>337</v>
      </c>
      <c r="X90" s="921">
        <f>+X86-X88</f>
        <v>224139234.66666701</v>
      </c>
      <c r="Z90" s="922"/>
    </row>
  </sheetData>
  <sheetProtection algorithmName="SHA-512" hashValue="9WoNpvn3aePQJ4A2jvHuqxW+C2LmNyccToAnbrL2whIAWO4r5Trvi5psda9c88texcrVxTFKmKXZJ4vpsaTjRA==" saltValue="l6bkWuopIkNvfOzjSmXz0Q==" spinCount="100000" sheet="1" objects="1" scenarios="1"/>
  <mergeCells count="48">
    <mergeCell ref="J1:K1"/>
    <mergeCell ref="A9:J9"/>
    <mergeCell ref="N9:T10"/>
    <mergeCell ref="V9:X10"/>
    <mergeCell ref="AA9:AF10"/>
    <mergeCell ref="AH9:AM10"/>
    <mergeCell ref="AO9:AT10"/>
    <mergeCell ref="N12:S12"/>
    <mergeCell ref="A13:B14"/>
    <mergeCell ref="C13:C14"/>
    <mergeCell ref="D13:D14"/>
    <mergeCell ref="E13:E14"/>
    <mergeCell ref="F13:F14"/>
    <mergeCell ref="H13:K13"/>
    <mergeCell ref="L13:L14"/>
    <mergeCell ref="N13:O13"/>
    <mergeCell ref="P13:Q13"/>
    <mergeCell ref="R13:S13"/>
    <mergeCell ref="T13:T14"/>
    <mergeCell ref="V13:V14"/>
    <mergeCell ref="W13:W14"/>
    <mergeCell ref="AJ13:AK13"/>
    <mergeCell ref="AL13:AM13"/>
    <mergeCell ref="AO13:AP13"/>
    <mergeCell ref="AQ13:AR13"/>
    <mergeCell ref="AS13:AT13"/>
    <mergeCell ref="AO14:AP14"/>
    <mergeCell ref="AQ14:AR14"/>
    <mergeCell ref="AS14:AT14"/>
    <mergeCell ref="A15:A61"/>
    <mergeCell ref="B15:B24"/>
    <mergeCell ref="AO15:AP15"/>
    <mergeCell ref="AQ15:AR15"/>
    <mergeCell ref="AS15:AT15"/>
    <mergeCell ref="B25:B34"/>
    <mergeCell ref="B35:B39"/>
    <mergeCell ref="B40:B61"/>
    <mergeCell ref="X13:X14"/>
    <mergeCell ref="AA13:AB13"/>
    <mergeCell ref="AC13:AD13"/>
    <mergeCell ref="AE13:AF13"/>
    <mergeCell ref="AH13:AI13"/>
    <mergeCell ref="A68:A72"/>
    <mergeCell ref="B68:B72"/>
    <mergeCell ref="A76:A80"/>
    <mergeCell ref="B76:B80"/>
    <mergeCell ref="A83:A87"/>
    <mergeCell ref="B83:B87"/>
  </mergeCells>
  <conditionalFormatting sqref="T15:T61">
    <cfRule type="cellIs" dxfId="1" priority="2" operator="equal">
      <formula>1</formula>
    </cfRule>
  </conditionalFormatting>
  <pageMargins left="0.7" right="0.7" top="0.75" bottom="0.75" header="0.51180555555555496" footer="0.51180555555555496"/>
  <pageSetup firstPageNumber="0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K22"/>
  <sheetViews>
    <sheetView showGridLines="0" zoomScale="80" zoomScaleNormal="80" workbookViewId="0">
      <selection activeCell="F20" sqref="F20"/>
    </sheetView>
  </sheetViews>
  <sheetFormatPr baseColWidth="10" defaultColWidth="9.140625" defaultRowHeight="12.75" x14ac:dyDescent="0.2"/>
  <cols>
    <col min="1" max="1" width="43.5703125" style="19"/>
    <col min="2" max="2" width="34" style="19"/>
    <col min="3" max="17" width="14.42578125" style="24"/>
    <col min="18" max="18" width="13.5703125" style="19"/>
    <col min="19" max="20" width="14.42578125" style="19"/>
    <col min="21" max="21" width="12.7109375" style="19"/>
    <col min="22" max="1025" width="11.7109375" style="19"/>
  </cols>
  <sheetData>
    <row r="1" spans="1:245" s="21" customFormat="1" x14ac:dyDescent="0.2">
      <c r="B1" s="20"/>
      <c r="C1" s="22"/>
      <c r="D1" s="22"/>
      <c r="E1" s="22"/>
      <c r="F1" s="22"/>
      <c r="G1" s="4" t="s">
        <v>338</v>
      </c>
      <c r="H1" s="22"/>
      <c r="I1" s="22"/>
      <c r="J1" s="22"/>
      <c r="K1" s="22"/>
      <c r="L1" s="22"/>
      <c r="M1" s="22"/>
      <c r="N1" s="22"/>
      <c r="O1" s="22"/>
      <c r="P1" s="22"/>
      <c r="Q1" s="22"/>
      <c r="IJ1" s="19"/>
      <c r="IK1" s="19"/>
    </row>
    <row r="2" spans="1:245" s="21" customFormat="1" x14ac:dyDescent="0.2">
      <c r="B2" s="23"/>
      <c r="C2" s="22"/>
      <c r="D2" s="22"/>
      <c r="E2" s="22"/>
      <c r="F2" s="22"/>
      <c r="G2" s="4" t="s">
        <v>339</v>
      </c>
      <c r="H2" s="22"/>
      <c r="I2" s="22"/>
      <c r="J2" s="22"/>
      <c r="K2" s="22"/>
      <c r="L2" s="22"/>
      <c r="M2" s="22"/>
      <c r="N2" s="22"/>
      <c r="O2" s="22"/>
      <c r="P2" s="22"/>
      <c r="Q2" s="22"/>
      <c r="IJ2" s="19"/>
      <c r="IK2" s="19"/>
    </row>
    <row r="3" spans="1:245" x14ac:dyDescent="0.2">
      <c r="A3" s="21"/>
    </row>
    <row r="4" spans="1:245" ht="17.25" customHeight="1" x14ac:dyDescent="0.2">
      <c r="A4" s="21"/>
      <c r="B4" s="24"/>
      <c r="C4" s="28"/>
      <c r="F4" s="28" t="s">
        <v>27</v>
      </c>
      <c r="G4" s="1055" t="str">
        <f>+'B) Reajuste Tarifas y Ocupación'!F5</f>
        <v>BIENVALP</v>
      </c>
      <c r="H4" s="1055"/>
      <c r="I4" s="28"/>
      <c r="J4" s="28"/>
      <c r="K4" s="28"/>
      <c r="L4" s="28"/>
      <c r="M4" s="28"/>
      <c r="N4" s="28"/>
      <c r="O4" s="28"/>
      <c r="P4" s="28"/>
      <c r="Q4" s="28"/>
    </row>
    <row r="5" spans="1:245" x14ac:dyDescent="0.2">
      <c r="A5" s="21"/>
      <c r="B5" s="24"/>
      <c r="C5" s="28"/>
      <c r="F5" s="28"/>
      <c r="G5" s="4"/>
      <c r="H5" s="4"/>
      <c r="I5" s="28"/>
      <c r="J5" s="28"/>
      <c r="K5" s="28"/>
      <c r="L5" s="28"/>
      <c r="M5" s="28"/>
      <c r="N5" s="28"/>
      <c r="O5" s="28"/>
      <c r="P5" s="28"/>
      <c r="Q5" s="28"/>
    </row>
    <row r="6" spans="1:245" ht="15.75" x14ac:dyDescent="0.2">
      <c r="A6" s="959" t="s">
        <v>18</v>
      </c>
      <c r="B6" s="959"/>
      <c r="C6" s="959"/>
      <c r="D6" s="959"/>
      <c r="E6" s="29"/>
      <c r="F6" s="28"/>
      <c r="G6" s="4"/>
      <c r="H6" s="4"/>
      <c r="I6" s="28"/>
      <c r="J6" s="28"/>
      <c r="K6" s="28"/>
      <c r="L6" s="28"/>
      <c r="M6" s="28"/>
      <c r="N6" s="28"/>
      <c r="O6" s="28"/>
      <c r="P6" s="28"/>
      <c r="Q6" s="28"/>
    </row>
    <row r="7" spans="1:245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245" ht="16.5" customHeight="1" x14ac:dyDescent="0.2">
      <c r="A8" s="1056" t="s">
        <v>29</v>
      </c>
      <c r="B8" s="1057" t="s">
        <v>42</v>
      </c>
      <c r="C8" s="952" t="s">
        <v>65</v>
      </c>
      <c r="D8" s="952"/>
      <c r="E8" s="952"/>
      <c r="F8" s="952"/>
      <c r="G8" s="952"/>
      <c r="H8" s="1058" t="s">
        <v>63</v>
      </c>
      <c r="I8" s="1058"/>
      <c r="J8" s="1058"/>
      <c r="K8" s="1058"/>
      <c r="L8" s="1058"/>
      <c r="M8" s="1054" t="s">
        <v>340</v>
      </c>
      <c r="N8" s="1054"/>
      <c r="O8" s="1054"/>
      <c r="P8" s="1054"/>
      <c r="Q8" s="1054"/>
      <c r="R8" s="1054" t="s">
        <v>341</v>
      </c>
      <c r="S8" s="1054"/>
      <c r="T8" s="1054"/>
      <c r="U8" s="1054"/>
      <c r="V8" s="1054"/>
    </row>
    <row r="9" spans="1:245" ht="63.75" x14ac:dyDescent="0.2">
      <c r="A9" s="1056" t="e">
        <f>NA()</f>
        <v>#N/A</v>
      </c>
      <c r="B9" s="1057" t="e">
        <f>NA()</f>
        <v>#N/A</v>
      </c>
      <c r="C9" s="74" t="s">
        <v>49</v>
      </c>
      <c r="D9" s="75" t="s">
        <v>50</v>
      </c>
      <c r="E9" s="75" t="s">
        <v>51</v>
      </c>
      <c r="F9" s="75" t="s">
        <v>52</v>
      </c>
      <c r="G9" s="77" t="s">
        <v>53</v>
      </c>
      <c r="H9" s="195" t="s">
        <v>49</v>
      </c>
      <c r="I9" s="196" t="s">
        <v>50</v>
      </c>
      <c r="J9" s="196" t="s">
        <v>51</v>
      </c>
      <c r="K9" s="196" t="s">
        <v>52</v>
      </c>
      <c r="L9" s="413" t="s">
        <v>53</v>
      </c>
      <c r="M9" s="414" t="s">
        <v>49</v>
      </c>
      <c r="N9" s="196" t="s">
        <v>50</v>
      </c>
      <c r="O9" s="196" t="s">
        <v>51</v>
      </c>
      <c r="P9" s="196" t="s">
        <v>52</v>
      </c>
      <c r="Q9" s="413" t="s">
        <v>53</v>
      </c>
      <c r="R9" s="195" t="s">
        <v>49</v>
      </c>
      <c r="S9" s="196" t="s">
        <v>50</v>
      </c>
      <c r="T9" s="196" t="s">
        <v>51</v>
      </c>
      <c r="U9" s="196" t="s">
        <v>52</v>
      </c>
      <c r="V9" s="413" t="s">
        <v>53</v>
      </c>
    </row>
    <row r="10" spans="1:245" x14ac:dyDescent="0.2">
      <c r="A10" s="1045" t="str">
        <f>+'B) Reajuste Tarifas y Ocupación'!A12</f>
        <v>Jardín Infantil Lobito Marino</v>
      </c>
      <c r="B10" s="415" t="str">
        <f>+'B) Reajuste Tarifas y Ocupación'!B12</f>
        <v>Media jornada</v>
      </c>
      <c r="C10" s="416">
        <f>+'B) Reajuste Tarifas y Ocupación'!M12</f>
        <v>83800</v>
      </c>
      <c r="D10" s="417">
        <f>+'B) Reajuste Tarifas y Ocupación'!N12</f>
        <v>100500</v>
      </c>
      <c r="E10" s="417">
        <f>+'B) Reajuste Tarifas y Ocupación'!O12</f>
        <v>100500</v>
      </c>
      <c r="F10" s="417">
        <f>+'B) Reajuste Tarifas y Ocupación'!P12</f>
        <v>112300</v>
      </c>
      <c r="G10" s="418">
        <f>+'B) Reajuste Tarifas y Ocupación'!Q12</f>
        <v>165200</v>
      </c>
      <c r="H10" s="419">
        <f>+'B) Reajuste Tarifas y Ocupación'!C12</f>
        <v>79200</v>
      </c>
      <c r="I10" s="420">
        <f>+'B) Reajuste Tarifas y Ocupación'!D12</f>
        <v>95100</v>
      </c>
      <c r="J10" s="420">
        <f>+'B) Reajuste Tarifas y Ocupación'!E12</f>
        <v>95100</v>
      </c>
      <c r="K10" s="420">
        <f>+'B) Reajuste Tarifas y Ocupación'!F12</f>
        <v>106200</v>
      </c>
      <c r="L10" s="421">
        <f>+'B) Reajuste Tarifas y Ocupación'!G12</f>
        <v>156200</v>
      </c>
      <c r="M10" s="79">
        <f t="shared" ref="M10:Q13" si="0">C10-H10</f>
        <v>4600</v>
      </c>
      <c r="N10" s="80">
        <f t="shared" si="0"/>
        <v>5400</v>
      </c>
      <c r="O10" s="80">
        <f t="shared" si="0"/>
        <v>5400</v>
      </c>
      <c r="P10" s="80">
        <f t="shared" si="0"/>
        <v>6100</v>
      </c>
      <c r="Q10" s="81">
        <f t="shared" si="0"/>
        <v>9000</v>
      </c>
      <c r="R10" s="422">
        <f>+'B) Reajuste Tarifas y Ocupación'!H12</f>
        <v>5.7000000000000002E-2</v>
      </c>
      <c r="S10" s="423">
        <f>+'B) Reajuste Tarifas y Ocupación'!I12</f>
        <v>5.7000000000000002E-2</v>
      </c>
      <c r="T10" s="423">
        <f>+'B) Reajuste Tarifas y Ocupación'!J12</f>
        <v>5.7000000000000002E-2</v>
      </c>
      <c r="U10" s="423">
        <f>+'B) Reajuste Tarifas y Ocupación'!K12</f>
        <v>5.7000000000000002E-2</v>
      </c>
      <c r="V10" s="424">
        <f>+'B) Reajuste Tarifas y Ocupación'!L12</f>
        <v>5.7000000000000002E-2</v>
      </c>
    </row>
    <row r="11" spans="1:245" x14ac:dyDescent="0.2">
      <c r="A11" s="1045"/>
      <c r="B11" s="425" t="str">
        <f>+'B) Reajuste Tarifas y Ocupación'!B13</f>
        <v>Jornada completa</v>
      </c>
      <c r="C11" s="426">
        <f>+'B) Reajuste Tarifas y Ocupación'!M13</f>
        <v>136800</v>
      </c>
      <c r="D11" s="427">
        <f>+'B) Reajuste Tarifas y Ocupación'!N13</f>
        <v>164200</v>
      </c>
      <c r="E11" s="427">
        <f>+'B) Reajuste Tarifas y Ocupación'!O13</f>
        <v>164200</v>
      </c>
      <c r="F11" s="427">
        <f>+'B) Reajuste Tarifas y Ocupación'!P13</f>
        <v>230900</v>
      </c>
      <c r="G11" s="428">
        <f>+'B) Reajuste Tarifas y Ocupación'!Q13</f>
        <v>344400</v>
      </c>
      <c r="H11" s="429">
        <f>+'B) Reajuste Tarifas y Ocupación'!C13</f>
        <v>129400</v>
      </c>
      <c r="I11" s="430">
        <f>+'B) Reajuste Tarifas y Ocupación'!D13</f>
        <v>155300</v>
      </c>
      <c r="J11" s="430">
        <f>+'B) Reajuste Tarifas y Ocupación'!E13</f>
        <v>155300</v>
      </c>
      <c r="K11" s="430">
        <f>+'B) Reajuste Tarifas y Ocupación'!F13</f>
        <v>218400</v>
      </c>
      <c r="L11" s="431">
        <f>+'B) Reajuste Tarifas y Ocupación'!G13</f>
        <v>325800</v>
      </c>
      <c r="M11" s="432">
        <f t="shared" si="0"/>
        <v>7400</v>
      </c>
      <c r="N11" s="433">
        <f t="shared" si="0"/>
        <v>8900</v>
      </c>
      <c r="O11" s="433">
        <f t="shared" si="0"/>
        <v>8900</v>
      </c>
      <c r="P11" s="433">
        <f t="shared" si="0"/>
        <v>12500</v>
      </c>
      <c r="Q11" s="434">
        <f t="shared" si="0"/>
        <v>18600</v>
      </c>
      <c r="R11" s="435">
        <f>+'B) Reajuste Tarifas y Ocupación'!H13</f>
        <v>5.7000000000000002E-2</v>
      </c>
      <c r="S11" s="436">
        <f>+'B) Reajuste Tarifas y Ocupación'!I13</f>
        <v>5.7000000000000002E-2</v>
      </c>
      <c r="T11" s="436">
        <f>+'B) Reajuste Tarifas y Ocupación'!J13</f>
        <v>5.7000000000000002E-2</v>
      </c>
      <c r="U11" s="436">
        <f>+'B) Reajuste Tarifas y Ocupación'!K13</f>
        <v>5.7000000000000002E-2</v>
      </c>
      <c r="V11" s="437">
        <f>+'B) Reajuste Tarifas y Ocupación'!L13</f>
        <v>5.7000000000000002E-2</v>
      </c>
    </row>
    <row r="12" spans="1:245" x14ac:dyDescent="0.2">
      <c r="A12" s="1045" t="str">
        <f>+'B) Reajuste Tarifas y Ocupación'!A14</f>
        <v>Jardín Infantil Los Delfines</v>
      </c>
      <c r="B12" s="415" t="str">
        <f>+'B) Reajuste Tarifas y Ocupación'!B14</f>
        <v>Media jornada</v>
      </c>
      <c r="C12" s="416">
        <f>+'B) Reajuste Tarifas y Ocupación'!M14</f>
        <v>83800</v>
      </c>
      <c r="D12" s="417">
        <f>+'B) Reajuste Tarifas y Ocupación'!N14</f>
        <v>100500</v>
      </c>
      <c r="E12" s="417">
        <f>+'B) Reajuste Tarifas y Ocupación'!O14</f>
        <v>100500</v>
      </c>
      <c r="F12" s="417">
        <f>+'B) Reajuste Tarifas y Ocupación'!P14</f>
        <v>112300</v>
      </c>
      <c r="G12" s="418">
        <f>+'B) Reajuste Tarifas y Ocupación'!Q14</f>
        <v>165200</v>
      </c>
      <c r="H12" s="419">
        <f>+'B) Reajuste Tarifas y Ocupación'!C14</f>
        <v>79200</v>
      </c>
      <c r="I12" s="420">
        <f>+'B) Reajuste Tarifas y Ocupación'!D14</f>
        <v>95100</v>
      </c>
      <c r="J12" s="420">
        <f>+'B) Reajuste Tarifas y Ocupación'!E14</f>
        <v>95100</v>
      </c>
      <c r="K12" s="420">
        <f>+'B) Reajuste Tarifas y Ocupación'!F14</f>
        <v>106200</v>
      </c>
      <c r="L12" s="421">
        <f>+'B) Reajuste Tarifas y Ocupación'!G14</f>
        <v>156200</v>
      </c>
      <c r="M12" s="79">
        <f t="shared" si="0"/>
        <v>4600</v>
      </c>
      <c r="N12" s="80">
        <f t="shared" si="0"/>
        <v>5400</v>
      </c>
      <c r="O12" s="80">
        <f t="shared" si="0"/>
        <v>5400</v>
      </c>
      <c r="P12" s="80">
        <f t="shared" si="0"/>
        <v>6100</v>
      </c>
      <c r="Q12" s="81">
        <f t="shared" si="0"/>
        <v>9000</v>
      </c>
      <c r="R12" s="422">
        <f>+'B) Reajuste Tarifas y Ocupación'!H14</f>
        <v>5.7000000000000002E-2</v>
      </c>
      <c r="S12" s="423">
        <f>+'B) Reajuste Tarifas y Ocupación'!I14</f>
        <v>5.7000000000000002E-2</v>
      </c>
      <c r="T12" s="423">
        <f>+'B) Reajuste Tarifas y Ocupación'!J14</f>
        <v>5.7000000000000002E-2</v>
      </c>
      <c r="U12" s="423">
        <f>+'B) Reajuste Tarifas y Ocupación'!K14</f>
        <v>5.7000000000000002E-2</v>
      </c>
      <c r="V12" s="424">
        <f>+'B) Reajuste Tarifas y Ocupación'!L14</f>
        <v>5.7000000000000002E-2</v>
      </c>
    </row>
    <row r="13" spans="1:245" x14ac:dyDescent="0.2">
      <c r="A13" s="1045"/>
      <c r="B13" s="438" t="str">
        <f>+'B) Reajuste Tarifas y Ocupación'!B15</f>
        <v>Jornada completa</v>
      </c>
      <c r="C13" s="426">
        <f>+'B) Reajuste Tarifas y Ocupación'!M15</f>
        <v>136800</v>
      </c>
      <c r="D13" s="427">
        <f>+'B) Reajuste Tarifas y Ocupación'!N15</f>
        <v>164200</v>
      </c>
      <c r="E13" s="427">
        <f>+'B) Reajuste Tarifas y Ocupación'!O15</f>
        <v>164200</v>
      </c>
      <c r="F13" s="427">
        <f>+'B) Reajuste Tarifas y Ocupación'!P15</f>
        <v>230900</v>
      </c>
      <c r="G13" s="428">
        <f>+'B) Reajuste Tarifas y Ocupación'!Q15</f>
        <v>344400</v>
      </c>
      <c r="H13" s="439">
        <f>+'B) Reajuste Tarifas y Ocupación'!C15</f>
        <v>129400</v>
      </c>
      <c r="I13" s="440">
        <f>+'B) Reajuste Tarifas y Ocupación'!D15</f>
        <v>155300</v>
      </c>
      <c r="J13" s="440">
        <f>+'B) Reajuste Tarifas y Ocupación'!E15</f>
        <v>155300</v>
      </c>
      <c r="K13" s="440">
        <f>+'B) Reajuste Tarifas y Ocupación'!F15</f>
        <v>218400</v>
      </c>
      <c r="L13" s="441">
        <f>+'B) Reajuste Tarifas y Ocupación'!G15</f>
        <v>325800</v>
      </c>
      <c r="M13" s="432">
        <f t="shared" si="0"/>
        <v>7400</v>
      </c>
      <c r="N13" s="433">
        <f t="shared" si="0"/>
        <v>8900</v>
      </c>
      <c r="O13" s="433">
        <f t="shared" si="0"/>
        <v>8900</v>
      </c>
      <c r="P13" s="433">
        <f t="shared" si="0"/>
        <v>12500</v>
      </c>
      <c r="Q13" s="434">
        <f t="shared" si="0"/>
        <v>18600</v>
      </c>
      <c r="R13" s="435">
        <f>+'B) Reajuste Tarifas y Ocupación'!H15</f>
        <v>5.7000000000000002E-2</v>
      </c>
      <c r="S13" s="436">
        <f>+'B) Reajuste Tarifas y Ocupación'!I15</f>
        <v>5.7000000000000002E-2</v>
      </c>
      <c r="T13" s="436">
        <f>+'B) Reajuste Tarifas y Ocupación'!J15</f>
        <v>5.7000000000000002E-2</v>
      </c>
      <c r="U13" s="436">
        <f>+'B) Reajuste Tarifas y Ocupación'!K15</f>
        <v>5.7000000000000002E-2</v>
      </c>
      <c r="V13" s="437">
        <f>+'B) Reajuste Tarifas y Ocupación'!L15</f>
        <v>5.7000000000000002E-2</v>
      </c>
    </row>
    <row r="14" spans="1:245" ht="23.25" customHeight="1" x14ac:dyDescent="0.2">
      <c r="A14" s="442" t="str">
        <f>+'B) Reajuste Tarifas y Ocupación'!A16</f>
        <v>Jardín Infantil Pecesitos de Colores</v>
      </c>
      <c r="B14" s="443" t="str">
        <f>+'B) Reajuste Tarifas y Ocupación'!B16</f>
        <v>Media jornada</v>
      </c>
      <c r="C14" s="1050"/>
      <c r="D14" s="1050"/>
      <c r="E14" s="1050"/>
      <c r="F14" s="1050"/>
      <c r="G14" s="1050"/>
      <c r="H14" s="1051"/>
      <c r="I14" s="1051"/>
      <c r="J14" s="1051"/>
      <c r="K14" s="1051"/>
      <c r="L14" s="1051"/>
      <c r="M14" s="1052"/>
      <c r="N14" s="1052"/>
      <c r="O14" s="1052"/>
      <c r="P14" s="1052"/>
      <c r="Q14" s="1052"/>
      <c r="R14" s="1053"/>
      <c r="S14" s="1053"/>
      <c r="T14" s="1053"/>
      <c r="U14" s="1053"/>
      <c r="V14" s="1053"/>
    </row>
    <row r="15" spans="1:245" x14ac:dyDescent="0.2">
      <c r="A15" s="1045" t="str">
        <f>+'B) Reajuste Tarifas y Ocupación'!A17</f>
        <v>Jardín Infantil Caracolito de Mar</v>
      </c>
      <c r="B15" s="415" t="str">
        <f>+'B) Reajuste Tarifas y Ocupación'!B17</f>
        <v>Media jornada</v>
      </c>
      <c r="C15" s="1050"/>
      <c r="D15" s="1050"/>
      <c r="E15" s="1050"/>
      <c r="F15" s="1050"/>
      <c r="G15" s="1050"/>
      <c r="H15" s="1051"/>
      <c r="I15" s="1051"/>
      <c r="J15" s="1051"/>
      <c r="K15" s="1051"/>
      <c r="L15" s="1051"/>
      <c r="M15" s="1052"/>
      <c r="N15" s="1052"/>
      <c r="O15" s="1052"/>
      <c r="P15" s="1052"/>
      <c r="Q15" s="1052"/>
      <c r="R15" s="1053"/>
      <c r="S15" s="1053"/>
      <c r="T15" s="1053"/>
      <c r="U15" s="1053"/>
      <c r="V15" s="1053"/>
    </row>
    <row r="16" spans="1:245" x14ac:dyDescent="0.2">
      <c r="A16" s="1045"/>
      <c r="B16" s="425" t="str">
        <f>+'B) Reajuste Tarifas y Ocupación'!B18</f>
        <v>Jornada completa</v>
      </c>
      <c r="C16" s="1050"/>
      <c r="D16" s="1050"/>
      <c r="E16" s="1050"/>
      <c r="F16" s="1050"/>
      <c r="G16" s="1050"/>
      <c r="H16" s="1051"/>
      <c r="I16" s="1051"/>
      <c r="J16" s="1051"/>
      <c r="K16" s="1051"/>
      <c r="L16" s="1051"/>
      <c r="M16" s="1052"/>
      <c r="N16" s="1052"/>
      <c r="O16" s="1052"/>
      <c r="P16" s="1052"/>
      <c r="Q16" s="1052"/>
      <c r="R16" s="1053"/>
      <c r="S16" s="1053"/>
      <c r="T16" s="1053"/>
      <c r="U16" s="1053"/>
      <c r="V16" s="1053"/>
    </row>
    <row r="17" spans="1:22" x14ac:dyDescent="0.2">
      <c r="A17" s="1045" t="str">
        <f>+'B) Reajuste Tarifas y Ocupación'!A22</f>
        <v>Sala Cuna Caracolito de Mar</v>
      </c>
      <c r="B17" s="415" t="str">
        <f>+'B) Reajuste Tarifas y Ocupación'!B22</f>
        <v>Diurna</v>
      </c>
      <c r="C17" s="416">
        <f>+'B) Reajuste Tarifas y Ocupación'!M22</f>
        <v>327700</v>
      </c>
      <c r="D17" s="417">
        <f>+'B) Reajuste Tarifas y Ocupación'!N22</f>
        <v>393300</v>
      </c>
      <c r="E17" s="417">
        <f>+'B) Reajuste Tarifas y Ocupación'!O22</f>
        <v>393300</v>
      </c>
      <c r="F17" s="417">
        <f>+'B) Reajuste Tarifas y Ocupación'!P22</f>
        <v>409600</v>
      </c>
      <c r="G17" s="418">
        <f>+'B) Reajuste Tarifas y Ocupación'!Q22</f>
        <v>491600</v>
      </c>
      <c r="H17" s="419">
        <f>+'B) Reajuste Tarifas y Ocupación'!C22</f>
        <v>310000</v>
      </c>
      <c r="I17" s="420">
        <f>+'B) Reajuste Tarifas y Ocupación'!D22</f>
        <v>372000</v>
      </c>
      <c r="J17" s="420">
        <f>+'B) Reajuste Tarifas y Ocupación'!E22</f>
        <v>372000</v>
      </c>
      <c r="K17" s="420">
        <f>+'B) Reajuste Tarifas y Ocupación'!F22</f>
        <v>387500</v>
      </c>
      <c r="L17" s="421">
        <f>+'B) Reajuste Tarifas y Ocupación'!G22</f>
        <v>465000</v>
      </c>
      <c r="M17" s="79">
        <f>C17-H17</f>
        <v>17700</v>
      </c>
      <c r="N17" s="80">
        <f>D17-I17</f>
        <v>21300</v>
      </c>
      <c r="O17" s="80">
        <f>E17-J17</f>
        <v>21300</v>
      </c>
      <c r="P17" s="80">
        <f>F17-K17</f>
        <v>22100</v>
      </c>
      <c r="Q17" s="82">
        <f>G17-L17</f>
        <v>26600</v>
      </c>
      <c r="R17" s="422">
        <f>+'B) Reajuste Tarifas y Ocupación'!H22</f>
        <v>5.7000000000000002E-2</v>
      </c>
      <c r="S17" s="444">
        <f>+'B) Reajuste Tarifas y Ocupación'!I22</f>
        <v>5.7000000000000002E-2</v>
      </c>
      <c r="T17" s="444">
        <f>+'B) Reajuste Tarifas y Ocupación'!J22</f>
        <v>5.7000000000000002E-2</v>
      </c>
      <c r="U17" s="444">
        <f>+'B) Reajuste Tarifas y Ocupación'!K22</f>
        <v>5.7000000000000002E-2</v>
      </c>
      <c r="V17" s="445">
        <f>+'B) Reajuste Tarifas y Ocupación'!L22</f>
        <v>5.7000000000000002E-2</v>
      </c>
    </row>
    <row r="18" spans="1:22" x14ac:dyDescent="0.2">
      <c r="A18" s="1045"/>
      <c r="B18" s="425" t="str">
        <f>+'B) Reajuste Tarifas y Ocupación'!B23</f>
        <v>Nocturna</v>
      </c>
      <c r="C18" s="1046"/>
      <c r="D18" s="1046"/>
      <c r="E18" s="1046"/>
      <c r="F18" s="1046"/>
      <c r="G18" s="1046"/>
      <c r="H18" s="1047"/>
      <c r="I18" s="1047"/>
      <c r="J18" s="1047"/>
      <c r="K18" s="1047"/>
      <c r="L18" s="1047"/>
      <c r="M18" s="1048"/>
      <c r="N18" s="1048"/>
      <c r="O18" s="1048"/>
      <c r="P18" s="1048"/>
      <c r="Q18" s="1048"/>
      <c r="R18" s="1049"/>
      <c r="S18" s="1049"/>
      <c r="T18" s="1049"/>
      <c r="U18" s="1049"/>
      <c r="V18" s="1049"/>
    </row>
    <row r="19" spans="1:22" x14ac:dyDescent="0.2">
      <c r="A19" s="1045"/>
      <c r="B19" s="425" t="str">
        <f>+'B) Reajuste Tarifas y Ocupación'!B24</f>
        <v>Media Jornada</v>
      </c>
      <c r="C19" s="426">
        <f>+'B) Reajuste Tarifas y Ocupación'!M24</f>
        <v>196700</v>
      </c>
      <c r="D19" s="427">
        <f>+'B) Reajuste Tarifas y Ocupación'!N24</f>
        <v>236000</v>
      </c>
      <c r="E19" s="427">
        <f>+'B) Reajuste Tarifas y Ocupación'!O24</f>
        <v>236000</v>
      </c>
      <c r="F19" s="427">
        <f>+'B) Reajuste Tarifas y Ocupación'!P24</f>
        <v>295000</v>
      </c>
      <c r="G19" s="428">
        <f>+'B) Reajuste Tarifas y Ocupación'!Q24</f>
        <v>393300</v>
      </c>
      <c r="H19" s="446">
        <f>+'B) Reajuste Tarifas y Ocupación'!C24</f>
        <v>186000</v>
      </c>
      <c r="I19" s="447">
        <f>+'B) Reajuste Tarifas y Ocupación'!D24</f>
        <v>223200</v>
      </c>
      <c r="J19" s="447">
        <f>+'B) Reajuste Tarifas y Ocupación'!E24</f>
        <v>223200</v>
      </c>
      <c r="K19" s="447">
        <f>+'B) Reajuste Tarifas y Ocupación'!F24</f>
        <v>279000</v>
      </c>
      <c r="L19" s="448">
        <f>+'B) Reajuste Tarifas y Ocupación'!G24</f>
        <v>372000</v>
      </c>
      <c r="M19" s="432">
        <f t="shared" ref="M19:Q20" si="1">C19-H19</f>
        <v>10700</v>
      </c>
      <c r="N19" s="433">
        <f t="shared" si="1"/>
        <v>12800</v>
      </c>
      <c r="O19" s="433">
        <f t="shared" si="1"/>
        <v>12800</v>
      </c>
      <c r="P19" s="433">
        <f t="shared" si="1"/>
        <v>16000</v>
      </c>
      <c r="Q19" s="449">
        <f t="shared" si="1"/>
        <v>21300</v>
      </c>
      <c r="R19" s="450">
        <f>+'B) Reajuste Tarifas y Ocupación'!H24</f>
        <v>5.7000000000000002E-2</v>
      </c>
      <c r="S19" s="451">
        <f>+'B) Reajuste Tarifas y Ocupación'!I24</f>
        <v>5.7000000000000002E-2</v>
      </c>
      <c r="T19" s="451">
        <f>+'B) Reajuste Tarifas y Ocupación'!J24</f>
        <v>5.7000000000000002E-2</v>
      </c>
      <c r="U19" s="451">
        <f>+'B) Reajuste Tarifas y Ocupación'!K24</f>
        <v>5.7000000000000002E-2</v>
      </c>
      <c r="V19" s="452">
        <f>+'B) Reajuste Tarifas y Ocupación'!L24</f>
        <v>5.7000000000000002E-2</v>
      </c>
    </row>
    <row r="20" spans="1:22" x14ac:dyDescent="0.2">
      <c r="A20" s="1040" t="str">
        <f>+'B) Reajuste Tarifas y Ocupación'!A25</f>
        <v>Sala Cuna Mar Azul</v>
      </c>
      <c r="B20" s="415" t="str">
        <f>+'B) Reajuste Tarifas y Ocupación'!B25</f>
        <v>Diurna</v>
      </c>
      <c r="C20" s="453">
        <f>+'B) Reajuste Tarifas y Ocupación'!M25</f>
        <v>327700</v>
      </c>
      <c r="D20" s="454">
        <f>+'B) Reajuste Tarifas y Ocupación'!N25</f>
        <v>393300</v>
      </c>
      <c r="E20" s="454">
        <f>+'B) Reajuste Tarifas y Ocupación'!O25</f>
        <v>393300</v>
      </c>
      <c r="F20" s="454">
        <f>+'B) Reajuste Tarifas y Ocupación'!P25</f>
        <v>409600</v>
      </c>
      <c r="G20" s="455">
        <f>+'B) Reajuste Tarifas y Ocupación'!Q25</f>
        <v>491600</v>
      </c>
      <c r="H20" s="419">
        <f>+'B) Reajuste Tarifas y Ocupación'!C25</f>
        <v>310000</v>
      </c>
      <c r="I20" s="420">
        <f>+'B) Reajuste Tarifas y Ocupación'!D25</f>
        <v>372000</v>
      </c>
      <c r="J20" s="420">
        <f>+'B) Reajuste Tarifas y Ocupación'!E25</f>
        <v>372000</v>
      </c>
      <c r="K20" s="420">
        <f>+'B) Reajuste Tarifas y Ocupación'!F25</f>
        <v>387500</v>
      </c>
      <c r="L20" s="421">
        <f>+'B) Reajuste Tarifas y Ocupación'!G25</f>
        <v>465000</v>
      </c>
      <c r="M20" s="79">
        <f t="shared" si="1"/>
        <v>17700</v>
      </c>
      <c r="N20" s="80">
        <f t="shared" si="1"/>
        <v>21300</v>
      </c>
      <c r="O20" s="80">
        <f t="shared" si="1"/>
        <v>21300</v>
      </c>
      <c r="P20" s="80">
        <f t="shared" si="1"/>
        <v>22100</v>
      </c>
      <c r="Q20" s="82">
        <f t="shared" si="1"/>
        <v>26600</v>
      </c>
      <c r="R20" s="422">
        <f>+'B) Reajuste Tarifas y Ocupación'!H25</f>
        <v>5.7000000000000002E-2</v>
      </c>
      <c r="S20" s="444">
        <f>+'B) Reajuste Tarifas y Ocupación'!I25</f>
        <v>5.7000000000000002E-2</v>
      </c>
      <c r="T20" s="444">
        <f>+'B) Reajuste Tarifas y Ocupación'!J25</f>
        <v>5.7000000000000002E-2</v>
      </c>
      <c r="U20" s="444">
        <f>+'B) Reajuste Tarifas y Ocupación'!K25</f>
        <v>5.7000000000000002E-2</v>
      </c>
      <c r="V20" s="445">
        <f>+'B) Reajuste Tarifas y Ocupación'!L25</f>
        <v>5.7000000000000002E-2</v>
      </c>
    </row>
    <row r="21" spans="1:22" x14ac:dyDescent="0.2">
      <c r="A21" s="1040"/>
      <c r="B21" s="425" t="str">
        <f>+'B) Reajuste Tarifas y Ocupación'!B26</f>
        <v>Nocturna</v>
      </c>
      <c r="C21" s="456">
        <f>+'B) Reajuste Tarifas y Ocupación'!M26</f>
        <v>264300</v>
      </c>
      <c r="D21" s="1041"/>
      <c r="E21" s="1041"/>
      <c r="F21" s="1041"/>
      <c r="G21" s="1041"/>
      <c r="H21" s="457">
        <f>+'B) Reajuste Tarifas y Ocupación'!C26</f>
        <v>250000</v>
      </c>
      <c r="I21" s="1042"/>
      <c r="J21" s="1042"/>
      <c r="K21" s="1042"/>
      <c r="L21" s="1042"/>
      <c r="M21" s="100">
        <f>C21-H21</f>
        <v>14300</v>
      </c>
      <c r="N21" s="1043"/>
      <c r="O21" s="1043"/>
      <c r="P21" s="1043"/>
      <c r="Q21" s="1043"/>
      <c r="R21" s="458">
        <f>+'B) Reajuste Tarifas y Ocupación'!H26</f>
        <v>5.7000000000000002E-2</v>
      </c>
      <c r="S21" s="1044"/>
      <c r="T21" s="1044"/>
      <c r="U21" s="1044"/>
      <c r="V21" s="1044"/>
    </row>
    <row r="22" spans="1:22" x14ac:dyDescent="0.2">
      <c r="A22" s="1040"/>
      <c r="B22" s="459" t="str">
        <f>+'B) Reajuste Tarifas y Ocupación'!B27</f>
        <v>Media Jornada</v>
      </c>
      <c r="C22" s="426">
        <f>+'B) Reajuste Tarifas y Ocupación'!M27</f>
        <v>196700</v>
      </c>
      <c r="D22" s="427">
        <f>+'B) Reajuste Tarifas y Ocupación'!N27</f>
        <v>236000</v>
      </c>
      <c r="E22" s="427">
        <f>+'B) Reajuste Tarifas y Ocupación'!O27</f>
        <v>236000</v>
      </c>
      <c r="F22" s="427">
        <f>+'B) Reajuste Tarifas y Ocupación'!P27</f>
        <v>295000</v>
      </c>
      <c r="G22" s="428">
        <f>+'B) Reajuste Tarifas y Ocupación'!Q27</f>
        <v>393300</v>
      </c>
      <c r="H22" s="446">
        <f>+'B) Reajuste Tarifas y Ocupación'!C27</f>
        <v>186000</v>
      </c>
      <c r="I22" s="447">
        <f>+'B) Reajuste Tarifas y Ocupación'!D27</f>
        <v>223200</v>
      </c>
      <c r="J22" s="447">
        <f>+'B) Reajuste Tarifas y Ocupación'!E27</f>
        <v>223200</v>
      </c>
      <c r="K22" s="447">
        <f>+'B) Reajuste Tarifas y Ocupación'!F27</f>
        <v>279000</v>
      </c>
      <c r="L22" s="448">
        <f>+'B) Reajuste Tarifas y Ocupación'!G27</f>
        <v>372000</v>
      </c>
      <c r="M22" s="432">
        <f>C22-H22</f>
        <v>10700</v>
      </c>
      <c r="N22" s="433">
        <f>D22-I22</f>
        <v>12800</v>
      </c>
      <c r="O22" s="433">
        <f>E22-J22</f>
        <v>12800</v>
      </c>
      <c r="P22" s="433">
        <f>F22-K22</f>
        <v>16000</v>
      </c>
      <c r="Q22" s="449">
        <f>G22-L22</f>
        <v>21300</v>
      </c>
      <c r="R22" s="450">
        <f>+'B) Reajuste Tarifas y Ocupación'!H27</f>
        <v>5.7000000000000002E-2</v>
      </c>
      <c r="S22" s="451">
        <f>+'B) Reajuste Tarifas y Ocupación'!I27</f>
        <v>5.7000000000000002E-2</v>
      </c>
      <c r="T22" s="451">
        <f>+'B) Reajuste Tarifas y Ocupación'!J27</f>
        <v>5.7000000000000002E-2</v>
      </c>
      <c r="U22" s="451">
        <f>+'B) Reajuste Tarifas y Ocupación'!K27</f>
        <v>5.7000000000000002E-2</v>
      </c>
      <c r="V22" s="452">
        <f>+'B) Reajuste Tarifas y Ocupación'!L27</f>
        <v>5.7000000000000002E-2</v>
      </c>
    </row>
  </sheetData>
  <sheetProtection sheet="1" objects="1" scenarios="1"/>
  <mergeCells count="29">
    <mergeCell ref="G4:H4"/>
    <mergeCell ref="A6:D6"/>
    <mergeCell ref="A8:A9"/>
    <mergeCell ref="B8:B9"/>
    <mergeCell ref="C8:G8"/>
    <mergeCell ref="H8:L8"/>
    <mergeCell ref="M8:Q8"/>
    <mergeCell ref="R8:V8"/>
    <mergeCell ref="A10:A11"/>
    <mergeCell ref="A12:A13"/>
    <mergeCell ref="C14:G14"/>
    <mergeCell ref="H14:L14"/>
    <mergeCell ref="M14:Q14"/>
    <mergeCell ref="R14:V14"/>
    <mergeCell ref="A15:A16"/>
    <mergeCell ref="C15:G16"/>
    <mergeCell ref="H15:L16"/>
    <mergeCell ref="M15:Q16"/>
    <mergeCell ref="R15:V16"/>
    <mergeCell ref="A17:A19"/>
    <mergeCell ref="C18:G18"/>
    <mergeCell ref="H18:L18"/>
    <mergeCell ref="M18:Q18"/>
    <mergeCell ref="R18:V18"/>
    <mergeCell ref="A20:A22"/>
    <mergeCell ref="D21:G21"/>
    <mergeCell ref="I21:L21"/>
    <mergeCell ref="N21:Q21"/>
    <mergeCell ref="S21:V21"/>
  </mergeCells>
  <conditionalFormatting sqref="M10:Q13 M17:Q17 M14:M15 M19:Q20 M18 M22:Q22 M21:N21">
    <cfRule type="cellIs" dxfId="0" priority="2" operator="lessThan">
      <formula>0</formula>
    </cfRule>
  </conditionalFormatting>
  <pageMargins left="0.75" right="0.75" top="1" bottom="0.64583333333333304" header="0" footer="0.51180555555555496"/>
  <pageSetup firstPageNumber="0" fitToHeight="14" orientation="landscape" horizontalDpi="300" verticalDpi="300"/>
  <headerFooter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MK141"/>
  <sheetViews>
    <sheetView showGridLines="0" zoomScale="80" zoomScaleNormal="80" workbookViewId="0">
      <selection activeCell="M26" sqref="M26"/>
    </sheetView>
  </sheetViews>
  <sheetFormatPr baseColWidth="10" defaultColWidth="9.140625" defaultRowHeight="12.75" x14ac:dyDescent="0.2"/>
  <cols>
    <col min="1" max="1" width="7.28515625" style="460"/>
    <col min="2" max="2" width="38.5703125" style="460"/>
    <col min="3" max="3" width="29" style="460"/>
    <col min="4" max="4" width="25" style="460"/>
    <col min="5" max="5" width="25.85546875" style="460"/>
    <col min="6" max="6" width="32.7109375" style="460"/>
    <col min="7" max="8" width="15.28515625" style="460"/>
    <col min="9" max="9" width="15.42578125" style="460"/>
    <col min="10" max="10" width="15.5703125" style="460"/>
    <col min="11" max="11" width="19.7109375" style="460"/>
    <col min="12" max="12" width="27.7109375" style="460"/>
    <col min="13" max="13" width="16.5703125" style="460"/>
    <col min="14" max="14" width="17.5703125" style="460"/>
    <col min="15" max="15" width="15.28515625" style="460"/>
    <col min="16" max="16" width="18.140625" style="460"/>
    <col min="17" max="17" width="17.5703125" style="460"/>
    <col min="18" max="18" width="18.5703125" style="461"/>
    <col min="19" max="19" width="16.85546875" style="460"/>
    <col min="20" max="20" width="16.28515625" style="460"/>
    <col min="21" max="21" width="15.28515625" style="460"/>
    <col min="22" max="22" width="16.28515625" style="460"/>
    <col min="23" max="23" width="14.85546875" style="460"/>
    <col min="24" max="24" width="15.28515625" style="460"/>
    <col min="25" max="25" width="14.42578125" style="460"/>
    <col min="26" max="26" width="17.42578125" style="460"/>
    <col min="27" max="27" width="18" style="460"/>
    <col min="28" max="28" width="15.7109375" style="460"/>
    <col min="29" max="29" width="20.28515625" style="460"/>
    <col min="30" max="30" width="17.85546875" style="460"/>
    <col min="31" max="31" width="12.42578125" style="460"/>
    <col min="32" max="1025" width="11.7109375" style="460"/>
    <col min="1026" max="16384" width="9.140625" style="797"/>
  </cols>
  <sheetData>
    <row r="1" spans="1:259" s="21" customFormat="1" x14ac:dyDescent="0.2">
      <c r="C1" s="22"/>
      <c r="D1" s="22"/>
      <c r="E1" s="4" t="s">
        <v>342</v>
      </c>
      <c r="F1" s="4"/>
      <c r="G1" s="4"/>
      <c r="H1" s="4"/>
      <c r="I1" s="4"/>
      <c r="J1" s="4"/>
      <c r="K1" s="22"/>
      <c r="IM1" s="19"/>
      <c r="IN1" s="19"/>
    </row>
    <row r="2" spans="1:259" x14ac:dyDescent="0.2">
      <c r="A2" s="21"/>
      <c r="B2" s="21"/>
      <c r="E2" s="4" t="s">
        <v>343</v>
      </c>
      <c r="F2" s="4"/>
      <c r="G2" s="4"/>
      <c r="H2" s="4"/>
      <c r="I2" s="4"/>
      <c r="J2" s="4"/>
      <c r="IM2" s="19"/>
      <c r="IN2" s="19"/>
    </row>
    <row r="3" spans="1:259" x14ac:dyDescent="0.2">
      <c r="A3" s="21"/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ID3" s="19"/>
      <c r="IE3" s="19"/>
      <c r="IF3" s="19"/>
      <c r="IG3" s="19"/>
      <c r="IH3" s="19"/>
      <c r="II3" s="19"/>
    </row>
    <row r="4" spans="1:259" ht="18.75" customHeight="1" x14ac:dyDescent="0.2">
      <c r="A4" s="21"/>
      <c r="B4" s="25"/>
      <c r="D4" s="783" t="s">
        <v>27</v>
      </c>
      <c r="E4" s="840" t="str">
        <f>+'B) Reajuste Tarifas y Ocupación'!F5</f>
        <v>BIENVALP</v>
      </c>
      <c r="F4" s="462"/>
      <c r="G4" s="463"/>
      <c r="H4" s="463"/>
      <c r="I4" s="463"/>
      <c r="J4" s="463"/>
      <c r="N4" s="26"/>
      <c r="ID4" s="19"/>
      <c r="IE4" s="19"/>
      <c r="IF4" s="19"/>
      <c r="IG4" s="19"/>
      <c r="IH4" s="19"/>
      <c r="II4" s="19"/>
    </row>
    <row r="5" spans="1:259" x14ac:dyDescent="0.2">
      <c r="A5" s="21"/>
      <c r="B5" s="25"/>
      <c r="D5" s="788"/>
      <c r="E5" s="4"/>
      <c r="F5" s="4"/>
      <c r="G5" s="4"/>
      <c r="H5" s="4"/>
      <c r="I5" s="4"/>
      <c r="J5" s="4"/>
      <c r="N5" s="26"/>
      <c r="ID5" s="19"/>
      <c r="IE5" s="19"/>
      <c r="IF5" s="19"/>
      <c r="IG5" s="19"/>
      <c r="IH5" s="19"/>
      <c r="II5" s="19"/>
    </row>
    <row r="6" spans="1:259" x14ac:dyDescent="0.2">
      <c r="A6" s="21"/>
      <c r="B6" s="25"/>
      <c r="D6" s="788"/>
      <c r="E6" s="4"/>
      <c r="F6" s="4"/>
      <c r="G6" s="4"/>
      <c r="H6" s="4"/>
      <c r="I6" s="4"/>
      <c r="J6" s="4"/>
      <c r="N6" s="26"/>
      <c r="ID6" s="19"/>
      <c r="IE6" s="19"/>
      <c r="IF6" s="19"/>
      <c r="IG6" s="19"/>
      <c r="IH6" s="19"/>
      <c r="II6" s="19"/>
    </row>
    <row r="7" spans="1:259" s="21" customFormat="1" ht="15.75" x14ac:dyDescent="0.2">
      <c r="B7" s="973" t="s">
        <v>20</v>
      </c>
      <c r="C7" s="973"/>
      <c r="D7" s="973"/>
      <c r="E7" s="973"/>
      <c r="F7" s="785"/>
      <c r="G7" s="785"/>
      <c r="H7" s="785"/>
      <c r="I7" s="785"/>
      <c r="J7" s="785"/>
      <c r="K7" s="464" t="s">
        <v>194</v>
      </c>
      <c r="L7" s="465">
        <v>7.1999999999999995E-2</v>
      </c>
      <c r="N7" s="26"/>
      <c r="ID7" s="19"/>
      <c r="IE7" s="19"/>
      <c r="IF7" s="19"/>
      <c r="IG7" s="19"/>
      <c r="IH7" s="19"/>
      <c r="II7" s="19"/>
    </row>
    <row r="9" spans="1:259" ht="15" customHeight="1" x14ac:dyDescent="0.2">
      <c r="B9" s="960" t="s">
        <v>29</v>
      </c>
      <c r="C9" s="1090" t="s">
        <v>196</v>
      </c>
      <c r="D9" s="1090" t="s">
        <v>197</v>
      </c>
      <c r="E9" s="961" t="s">
        <v>198</v>
      </c>
      <c r="F9" s="1087" t="s">
        <v>165</v>
      </c>
      <c r="G9" s="961" t="s">
        <v>344</v>
      </c>
      <c r="H9" s="961" t="s">
        <v>345</v>
      </c>
      <c r="I9" s="961" t="s">
        <v>208</v>
      </c>
      <c r="J9" s="961" t="s">
        <v>209</v>
      </c>
      <c r="K9" s="1083" t="s">
        <v>199</v>
      </c>
      <c r="L9" s="1065" t="s">
        <v>346</v>
      </c>
      <c r="O9" s="466"/>
      <c r="P9" s="466"/>
      <c r="Q9" s="466"/>
      <c r="R9" s="466"/>
      <c r="S9" s="466"/>
      <c r="T9" s="466"/>
    </row>
    <row r="10" spans="1:259" ht="36.75" customHeight="1" thickBot="1" x14ac:dyDescent="0.25">
      <c r="B10" s="960"/>
      <c r="C10" s="1090"/>
      <c r="D10" s="1090"/>
      <c r="E10" s="961"/>
      <c r="F10" s="1087"/>
      <c r="G10" s="961"/>
      <c r="H10" s="961"/>
      <c r="I10" s="961"/>
      <c r="J10" s="961"/>
      <c r="K10" s="1083"/>
      <c r="L10" s="1065"/>
      <c r="M10" s="145"/>
      <c r="N10" s="467"/>
      <c r="O10" s="467"/>
      <c r="P10" s="468"/>
      <c r="Q10" s="468"/>
      <c r="R10" s="468"/>
      <c r="S10" s="145"/>
      <c r="T10" s="1066"/>
      <c r="U10" s="1066"/>
      <c r="V10" s="1066"/>
      <c r="W10" s="1066"/>
      <c r="X10" s="145"/>
    </row>
    <row r="11" spans="1:259" s="3" customFormat="1" ht="13.5" thickBot="1" x14ac:dyDescent="0.25">
      <c r="B11" s="1059" t="str">
        <f>+'B) Reajuste Tarifas y Ocupación'!A12</f>
        <v>Jardín Infantil Lobito Marino</v>
      </c>
      <c r="C11" s="391" t="s">
        <v>347</v>
      </c>
      <c r="D11" s="391" t="s">
        <v>348</v>
      </c>
      <c r="E11" s="391" t="s">
        <v>349</v>
      </c>
      <c r="F11" s="391" t="s">
        <v>66</v>
      </c>
      <c r="G11" s="393">
        <f>721831*12</f>
        <v>8661972</v>
      </c>
      <c r="H11" s="475">
        <f t="shared" ref="H11:H21" si="0">+G11*(1+$L$7)</f>
        <v>9285633.9840000011</v>
      </c>
      <c r="I11" s="393">
        <v>226548</v>
      </c>
      <c r="J11" s="393">
        <v>133310</v>
      </c>
      <c r="K11" s="488">
        <f t="shared" ref="K11:K60" si="1">SUM(H11:J11)</f>
        <v>9645491.9840000011</v>
      </c>
      <c r="L11" s="1085">
        <f>SUM(K11:K33)</f>
        <v>114796873.264</v>
      </c>
      <c r="M11" s="145"/>
      <c r="N11" s="470"/>
      <c r="O11" s="470"/>
      <c r="P11" s="471"/>
      <c r="Q11" s="471"/>
      <c r="R11" s="471"/>
      <c r="S11" s="472"/>
      <c r="T11" s="473"/>
      <c r="U11" s="473"/>
      <c r="V11" s="473"/>
      <c r="W11" s="473"/>
      <c r="X11" s="474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</row>
    <row r="12" spans="1:259" ht="13.5" thickBot="1" x14ac:dyDescent="0.25">
      <c r="A12" s="3"/>
      <c r="B12" s="1059"/>
      <c r="C12" s="391" t="s">
        <v>350</v>
      </c>
      <c r="D12" s="391" t="s">
        <v>351</v>
      </c>
      <c r="E12" s="391" t="s">
        <v>349</v>
      </c>
      <c r="F12" s="391" t="s">
        <v>66</v>
      </c>
      <c r="G12" s="393">
        <f>721831*12</f>
        <v>8661972</v>
      </c>
      <c r="H12" s="475">
        <f t="shared" si="0"/>
        <v>9285633.9840000011</v>
      </c>
      <c r="I12" s="393">
        <v>226548</v>
      </c>
      <c r="J12" s="393">
        <v>133310</v>
      </c>
      <c r="K12" s="488">
        <f t="shared" si="1"/>
        <v>9645491.9840000011</v>
      </c>
      <c r="L12" s="1085"/>
      <c r="M12" s="145"/>
      <c r="N12" s="470"/>
      <c r="O12" s="470"/>
      <c r="P12" s="468"/>
      <c r="Q12" s="468"/>
      <c r="R12" s="468"/>
      <c r="S12" s="472"/>
      <c r="T12" s="473"/>
      <c r="U12" s="473"/>
      <c r="V12" s="473"/>
      <c r="W12" s="473"/>
      <c r="X12" s="474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</row>
    <row r="13" spans="1:259" ht="13.5" thickBot="1" x14ac:dyDescent="0.25">
      <c r="A13" s="3"/>
      <c r="B13" s="1059"/>
      <c r="C13" s="391" t="s">
        <v>785</v>
      </c>
      <c r="D13" s="391" t="s">
        <v>785</v>
      </c>
      <c r="E13" s="391" t="s">
        <v>349</v>
      </c>
      <c r="F13" s="391" t="s">
        <v>66</v>
      </c>
      <c r="G13" s="393"/>
      <c r="H13" s="479">
        <f>552922*10</f>
        <v>5529220</v>
      </c>
      <c r="I13" s="393">
        <v>226548</v>
      </c>
      <c r="J13" s="393">
        <v>0</v>
      </c>
      <c r="K13" s="488">
        <f t="shared" si="1"/>
        <v>5755768</v>
      </c>
      <c r="L13" s="1085"/>
      <c r="M13" s="145"/>
      <c r="N13" s="470"/>
      <c r="O13" s="470"/>
      <c r="P13" s="468"/>
      <c r="Q13" s="468"/>
      <c r="R13" s="468"/>
      <c r="S13" s="472"/>
      <c r="T13" s="473"/>
      <c r="U13" s="473"/>
      <c r="V13" s="473"/>
      <c r="W13" s="473"/>
      <c r="X13" s="474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</row>
    <row r="14" spans="1:259" ht="13.5" thickBot="1" x14ac:dyDescent="0.25">
      <c r="A14" s="3"/>
      <c r="B14" s="1059"/>
      <c r="C14" s="391" t="s">
        <v>353</v>
      </c>
      <c r="D14" s="391" t="s">
        <v>354</v>
      </c>
      <c r="E14" s="391" t="s">
        <v>349</v>
      </c>
      <c r="F14" s="391" t="s">
        <v>66</v>
      </c>
      <c r="G14" s="393">
        <f>609203*12</f>
        <v>7310436</v>
      </c>
      <c r="H14" s="475">
        <f t="shared" si="0"/>
        <v>7836787.3920000009</v>
      </c>
      <c r="I14" s="393">
        <v>226548</v>
      </c>
      <c r="J14" s="393">
        <v>133310</v>
      </c>
      <c r="K14" s="488">
        <f t="shared" si="1"/>
        <v>8196645.3920000009</v>
      </c>
      <c r="L14" s="1085"/>
      <c r="M14" s="145" t="s">
        <v>355</v>
      </c>
      <c r="N14" s="470"/>
      <c r="O14" s="470"/>
      <c r="P14" s="468"/>
      <c r="Q14" s="468"/>
      <c r="R14" s="468"/>
      <c r="S14" s="472"/>
      <c r="T14" s="473"/>
      <c r="U14" s="473"/>
      <c r="V14" s="473"/>
      <c r="W14" s="473"/>
      <c r="X14" s="474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</row>
    <row r="15" spans="1:259" ht="13.5" thickBot="1" x14ac:dyDescent="0.25">
      <c r="A15" s="3"/>
      <c r="B15" s="1059"/>
      <c r="C15" s="391" t="s">
        <v>356</v>
      </c>
      <c r="D15" s="391" t="s">
        <v>357</v>
      </c>
      <c r="E15" s="391" t="s">
        <v>349</v>
      </c>
      <c r="F15" s="391" t="s">
        <v>66</v>
      </c>
      <c r="G15" s="393">
        <f>595727*12</f>
        <v>7148724</v>
      </c>
      <c r="H15" s="475">
        <f t="shared" si="0"/>
        <v>7663432.1280000005</v>
      </c>
      <c r="I15" s="393">
        <v>226548</v>
      </c>
      <c r="J15" s="393">
        <v>133310</v>
      </c>
      <c r="K15" s="488">
        <f t="shared" si="1"/>
        <v>8023290.1280000005</v>
      </c>
      <c r="L15" s="1085"/>
      <c r="M15" s="145" t="s">
        <v>358</v>
      </c>
      <c r="N15" s="470"/>
      <c r="O15" s="470"/>
      <c r="P15" s="468"/>
      <c r="Q15" s="468"/>
      <c r="R15" s="468"/>
      <c r="S15" s="472"/>
      <c r="T15" s="473"/>
      <c r="U15" s="473"/>
      <c r="V15" s="473"/>
      <c r="W15" s="473"/>
      <c r="X15" s="474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</row>
    <row r="16" spans="1:259" ht="13.5" thickBot="1" x14ac:dyDescent="0.25">
      <c r="A16" s="3"/>
      <c r="B16" s="1059"/>
      <c r="C16" s="391" t="s">
        <v>359</v>
      </c>
      <c r="D16" s="391" t="s">
        <v>360</v>
      </c>
      <c r="E16" s="391" t="s">
        <v>349</v>
      </c>
      <c r="F16" s="391" t="s">
        <v>66</v>
      </c>
      <c r="G16" s="393">
        <f>599105*12</f>
        <v>7189260</v>
      </c>
      <c r="H16" s="475">
        <f t="shared" si="0"/>
        <v>7706886.7200000007</v>
      </c>
      <c r="I16" s="393">
        <v>226548</v>
      </c>
      <c r="J16" s="393">
        <v>133310</v>
      </c>
      <c r="K16" s="488">
        <f t="shared" si="1"/>
        <v>8066744.7200000007</v>
      </c>
      <c r="L16" s="1085"/>
      <c r="M16" s="145"/>
      <c r="N16" s="470"/>
      <c r="O16" s="470"/>
      <c r="P16" s="468"/>
      <c r="Q16" s="468"/>
      <c r="R16" s="468"/>
      <c r="S16" s="472"/>
      <c r="T16" s="473"/>
      <c r="U16" s="473"/>
      <c r="V16" s="473"/>
      <c r="W16" s="473"/>
      <c r="X16" s="474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</row>
    <row r="17" spans="1:259" ht="13.5" thickBot="1" x14ac:dyDescent="0.25">
      <c r="A17" s="3"/>
      <c r="B17" s="1059"/>
      <c r="C17" s="391" t="s">
        <v>361</v>
      </c>
      <c r="D17" s="391" t="s">
        <v>362</v>
      </c>
      <c r="E17" s="391" t="s">
        <v>349</v>
      </c>
      <c r="F17" s="391" t="s">
        <v>66</v>
      </c>
      <c r="G17" s="393">
        <f>585640*12</f>
        <v>7027680</v>
      </c>
      <c r="H17" s="475">
        <f t="shared" si="0"/>
        <v>7533672.9600000009</v>
      </c>
      <c r="I17" s="393">
        <v>226548</v>
      </c>
      <c r="J17" s="393">
        <v>133310</v>
      </c>
      <c r="K17" s="488">
        <f t="shared" si="1"/>
        <v>7893530.9600000009</v>
      </c>
      <c r="L17" s="1085"/>
      <c r="M17" s="145"/>
      <c r="N17" s="470"/>
      <c r="O17" s="470"/>
      <c r="P17" s="468"/>
      <c r="Q17" s="468"/>
      <c r="R17" s="468"/>
      <c r="S17" s="472"/>
      <c r="T17" s="473"/>
      <c r="U17" s="473"/>
      <c r="V17" s="473"/>
      <c r="W17" s="473"/>
      <c r="X17" s="474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</row>
    <row r="18" spans="1:259" ht="13.5" thickBot="1" x14ac:dyDescent="0.25">
      <c r="A18" s="3"/>
      <c r="B18" s="1059"/>
      <c r="C18" s="391" t="s">
        <v>785</v>
      </c>
      <c r="D18" s="391"/>
      <c r="E18" s="391" t="s">
        <v>349</v>
      </c>
      <c r="F18" s="391" t="s">
        <v>66</v>
      </c>
      <c r="G18" s="393">
        <v>0</v>
      </c>
      <c r="H18" s="479">
        <f>552922*10</f>
        <v>5529220</v>
      </c>
      <c r="I18" s="393">
        <v>226548</v>
      </c>
      <c r="J18" s="393">
        <v>0</v>
      </c>
      <c r="K18" s="488">
        <f t="shared" si="1"/>
        <v>5755768</v>
      </c>
      <c r="L18" s="1085"/>
      <c r="M18" s="145"/>
      <c r="N18" s="470"/>
      <c r="O18" s="470"/>
      <c r="P18" s="468"/>
      <c r="Q18" s="468"/>
      <c r="R18" s="468"/>
      <c r="S18" s="472"/>
      <c r="T18" s="473"/>
      <c r="U18" s="473"/>
      <c r="V18" s="473"/>
      <c r="W18" s="473"/>
      <c r="X18" s="474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</row>
    <row r="19" spans="1:259" ht="13.5" thickBot="1" x14ac:dyDescent="0.25">
      <c r="A19" s="3"/>
      <c r="B19" s="1059"/>
      <c r="C19" s="391" t="s">
        <v>363</v>
      </c>
      <c r="D19" s="391" t="s">
        <v>364</v>
      </c>
      <c r="E19" s="391" t="s">
        <v>365</v>
      </c>
      <c r="F19" s="391" t="s">
        <v>66</v>
      </c>
      <c r="G19" s="393">
        <f>425373*12</f>
        <v>5104476</v>
      </c>
      <c r="H19" s="475">
        <f t="shared" si="0"/>
        <v>5471998.2719999999</v>
      </c>
      <c r="I19" s="393">
        <v>226548</v>
      </c>
      <c r="J19" s="393">
        <v>133310</v>
      </c>
      <c r="K19" s="488">
        <f t="shared" si="1"/>
        <v>5831856.2719999999</v>
      </c>
      <c r="L19" s="1085"/>
      <c r="M19" s="145"/>
      <c r="N19" s="470"/>
      <c r="O19" s="470"/>
      <c r="P19" s="468"/>
      <c r="Q19" s="468"/>
      <c r="R19" s="468"/>
      <c r="S19" s="472"/>
      <c r="T19" s="473"/>
      <c r="U19" s="473"/>
      <c r="V19" s="473"/>
      <c r="W19" s="473"/>
      <c r="X19" s="474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</row>
    <row r="20" spans="1:259" ht="13.5" thickBot="1" x14ac:dyDescent="0.25">
      <c r="A20" s="3"/>
      <c r="B20" s="1059"/>
      <c r="C20" s="391" t="s">
        <v>366</v>
      </c>
      <c r="D20" s="391" t="s">
        <v>367</v>
      </c>
      <c r="E20" s="391" t="s">
        <v>365</v>
      </c>
      <c r="F20" s="391" t="s">
        <v>66</v>
      </c>
      <c r="G20" s="393">
        <f>371516*12</f>
        <v>4458192</v>
      </c>
      <c r="H20" s="475">
        <f t="shared" si="0"/>
        <v>4779181.824</v>
      </c>
      <c r="I20" s="393">
        <v>226548</v>
      </c>
      <c r="J20" s="393">
        <v>133310</v>
      </c>
      <c r="K20" s="488">
        <f t="shared" si="1"/>
        <v>5139039.824</v>
      </c>
      <c r="L20" s="1085"/>
      <c r="M20" s="145"/>
      <c r="N20" s="470"/>
      <c r="O20" s="470"/>
      <c r="P20" s="468"/>
      <c r="Q20" s="468"/>
      <c r="R20" s="468"/>
      <c r="S20" s="472"/>
      <c r="T20" s="473"/>
      <c r="U20" s="473"/>
      <c r="V20" s="473"/>
      <c r="W20" s="473"/>
      <c r="X20" s="474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</row>
    <row r="21" spans="1:259" ht="21.75" customHeight="1" thickBot="1" x14ac:dyDescent="0.25">
      <c r="A21" s="3"/>
      <c r="B21" s="1059"/>
      <c r="C21" s="391" t="s">
        <v>368</v>
      </c>
      <c r="D21" s="391" t="s">
        <v>369</v>
      </c>
      <c r="E21" s="391" t="s">
        <v>370</v>
      </c>
      <c r="F21" s="391" t="s">
        <v>66</v>
      </c>
      <c r="G21" s="393">
        <f>405805*12</f>
        <v>4869660</v>
      </c>
      <c r="H21" s="475">
        <f t="shared" si="0"/>
        <v>5220275.5200000005</v>
      </c>
      <c r="I21" s="393">
        <v>226548</v>
      </c>
      <c r="J21" s="393">
        <v>133310</v>
      </c>
      <c r="K21" s="488">
        <f t="shared" si="1"/>
        <v>5580133.5200000005</v>
      </c>
      <c r="L21" s="1085"/>
      <c r="M21" s="780"/>
      <c r="N21" s="781"/>
      <c r="O21" s="781"/>
      <c r="P21" s="1088"/>
      <c r="Q21" s="1089"/>
      <c r="R21" s="1089"/>
      <c r="S21" s="1089"/>
      <c r="T21" s="473"/>
      <c r="U21" s="473"/>
      <c r="V21" s="473"/>
      <c r="W21" s="473"/>
      <c r="X21" s="474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</row>
    <row r="22" spans="1:259" ht="13.5" thickBot="1" x14ac:dyDescent="0.25">
      <c r="A22" s="3"/>
      <c r="B22" s="1059"/>
      <c r="C22" s="391" t="s">
        <v>371</v>
      </c>
      <c r="D22" s="391" t="s">
        <v>372</v>
      </c>
      <c r="E22" s="391" t="s">
        <v>373</v>
      </c>
      <c r="F22" s="391" t="s">
        <v>66</v>
      </c>
      <c r="G22" s="393">
        <f>63434*10</f>
        <v>634340</v>
      </c>
      <c r="H22" s="475">
        <f t="shared" ref="H22:H60" si="2">+G22*(1+$L$7)</f>
        <v>680012.4800000001</v>
      </c>
      <c r="I22" s="393"/>
      <c r="J22" s="393">
        <v>133310</v>
      </c>
      <c r="K22" s="488">
        <f t="shared" si="1"/>
        <v>813322.4800000001</v>
      </c>
      <c r="L22" s="1085"/>
      <c r="M22" s="780"/>
      <c r="N22" s="781"/>
      <c r="O22" s="781"/>
      <c r="P22" s="796"/>
      <c r="Q22" s="796"/>
      <c r="R22" s="796"/>
      <c r="S22" s="782"/>
      <c r="T22" s="473"/>
      <c r="U22" s="473"/>
      <c r="V22" s="473"/>
      <c r="W22" s="473"/>
      <c r="X22" s="474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</row>
    <row r="23" spans="1:259" ht="13.5" thickBot="1" x14ac:dyDescent="0.25">
      <c r="A23" s="3"/>
      <c r="B23" s="1059"/>
      <c r="C23" s="391" t="s">
        <v>785</v>
      </c>
      <c r="D23" s="391"/>
      <c r="E23" s="391" t="s">
        <v>349</v>
      </c>
      <c r="F23" s="391" t="s">
        <v>66</v>
      </c>
      <c r="G23" s="393">
        <v>0</v>
      </c>
      <c r="H23" s="479">
        <f>H30</f>
        <v>4976298</v>
      </c>
      <c r="I23" s="393">
        <v>226548</v>
      </c>
      <c r="J23" s="393">
        <v>0</v>
      </c>
      <c r="K23" s="488">
        <f t="shared" si="1"/>
        <v>5202846</v>
      </c>
      <c r="L23" s="1085"/>
      <c r="M23" s="780"/>
      <c r="N23" s="781"/>
      <c r="O23" s="781"/>
      <c r="P23" s="796"/>
      <c r="Q23" s="796"/>
      <c r="R23" s="796"/>
      <c r="S23" s="782"/>
      <c r="T23" s="473"/>
      <c r="U23" s="473"/>
      <c r="V23" s="473"/>
      <c r="W23" s="473"/>
      <c r="X23" s="474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</row>
    <row r="24" spans="1:259" ht="13.5" thickBot="1" x14ac:dyDescent="0.25">
      <c r="A24" s="3"/>
      <c r="B24" s="1059"/>
      <c r="C24" s="391" t="s">
        <v>785</v>
      </c>
      <c r="D24" s="391" t="s">
        <v>785</v>
      </c>
      <c r="E24" s="391" t="s">
        <v>813</v>
      </c>
      <c r="F24" s="391" t="s">
        <v>66</v>
      </c>
      <c r="G24" s="393">
        <v>0</v>
      </c>
      <c r="H24" s="479">
        <f>377024*9</f>
        <v>3393216</v>
      </c>
      <c r="I24" s="393">
        <v>226548</v>
      </c>
      <c r="J24" s="393">
        <v>0</v>
      </c>
      <c r="K24" s="488">
        <f t="shared" si="1"/>
        <v>3619764</v>
      </c>
      <c r="L24" s="1085"/>
      <c r="M24" s="145"/>
      <c r="N24" s="470"/>
      <c r="O24" s="470"/>
      <c r="P24" s="468"/>
      <c r="Q24" s="468"/>
      <c r="R24" s="468"/>
      <c r="S24" s="472"/>
      <c r="T24" s="473"/>
      <c r="U24" s="473"/>
      <c r="V24" s="473"/>
      <c r="W24" s="473"/>
      <c r="X24" s="474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</row>
    <row r="25" spans="1:259" ht="13.5" thickBot="1" x14ac:dyDescent="0.25">
      <c r="A25" s="3"/>
      <c r="B25" s="1059"/>
      <c r="C25" s="391" t="s">
        <v>376</v>
      </c>
      <c r="D25" s="391" t="s">
        <v>377</v>
      </c>
      <c r="E25" s="391" t="s">
        <v>378</v>
      </c>
      <c r="F25" s="391" t="s">
        <v>66</v>
      </c>
      <c r="G25" s="393">
        <v>0</v>
      </c>
      <c r="H25" s="475">
        <f t="shared" si="2"/>
        <v>0</v>
      </c>
      <c r="I25" s="393">
        <v>0</v>
      </c>
      <c r="J25" s="393">
        <v>0</v>
      </c>
      <c r="K25" s="488">
        <f t="shared" si="1"/>
        <v>0</v>
      </c>
      <c r="L25" s="1085"/>
      <c r="M25" s="145"/>
      <c r="N25" s="470"/>
      <c r="O25" s="470"/>
      <c r="P25" s="468"/>
      <c r="Q25" s="468"/>
      <c r="R25" s="468"/>
      <c r="S25" s="472"/>
      <c r="T25" s="473"/>
      <c r="U25" s="473"/>
      <c r="V25" s="473"/>
      <c r="W25" s="473"/>
      <c r="X25" s="474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  <c r="IX25" s="19"/>
      <c r="IY25" s="19"/>
    </row>
    <row r="26" spans="1:259" ht="13.5" thickBot="1" x14ac:dyDescent="0.25">
      <c r="A26" s="3"/>
      <c r="B26" s="1059"/>
      <c r="C26" s="391" t="s">
        <v>379</v>
      </c>
      <c r="D26" s="391" t="s">
        <v>380</v>
      </c>
      <c r="E26" s="391" t="s">
        <v>381</v>
      </c>
      <c r="F26" s="391" t="s">
        <v>66</v>
      </c>
      <c r="G26" s="393">
        <v>0</v>
      </c>
      <c r="H26" s="475">
        <f t="shared" si="2"/>
        <v>0</v>
      </c>
      <c r="I26" s="393">
        <v>0</v>
      </c>
      <c r="J26" s="393">
        <v>0</v>
      </c>
      <c r="K26" s="488">
        <f t="shared" si="1"/>
        <v>0</v>
      </c>
      <c r="L26" s="1085"/>
      <c r="M26" s="145"/>
      <c r="N26" s="470"/>
      <c r="O26" s="470"/>
      <c r="P26" s="468"/>
      <c r="Q26" s="468"/>
      <c r="R26" s="468"/>
      <c r="S26" s="472"/>
      <c r="T26" s="473"/>
      <c r="U26" s="473"/>
      <c r="V26" s="473"/>
      <c r="W26" s="473"/>
      <c r="X26" s="474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  <c r="IX26" s="19"/>
      <c r="IY26" s="19"/>
    </row>
    <row r="27" spans="1:259" ht="13.5" thickBot="1" x14ac:dyDescent="0.25">
      <c r="A27" s="3"/>
      <c r="B27" s="1059"/>
      <c r="C27" s="391" t="s">
        <v>382</v>
      </c>
      <c r="D27" s="391" t="s">
        <v>383</v>
      </c>
      <c r="E27" s="391" t="s">
        <v>381</v>
      </c>
      <c r="F27" s="391" t="s">
        <v>66</v>
      </c>
      <c r="G27" s="393">
        <v>0</v>
      </c>
      <c r="H27" s="475">
        <f t="shared" si="2"/>
        <v>0</v>
      </c>
      <c r="I27" s="393">
        <v>0</v>
      </c>
      <c r="J27" s="393">
        <v>0</v>
      </c>
      <c r="K27" s="488">
        <f t="shared" si="1"/>
        <v>0</v>
      </c>
      <c r="L27" s="1085"/>
      <c r="M27" s="145"/>
      <c r="N27" s="470"/>
      <c r="O27" s="470"/>
      <c r="P27" s="468"/>
      <c r="Q27" s="468"/>
      <c r="R27" s="468"/>
      <c r="S27" s="472"/>
      <c r="T27" s="473"/>
      <c r="U27" s="473"/>
      <c r="V27" s="473"/>
      <c r="W27" s="473"/>
      <c r="X27" s="474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  <c r="IX27" s="19"/>
      <c r="IY27" s="19"/>
    </row>
    <row r="28" spans="1:259" ht="13.5" thickBot="1" x14ac:dyDescent="0.25">
      <c r="A28" s="3"/>
      <c r="B28" s="1059"/>
      <c r="C28" s="391" t="s">
        <v>384</v>
      </c>
      <c r="D28" s="391" t="s">
        <v>385</v>
      </c>
      <c r="E28" s="391" t="s">
        <v>386</v>
      </c>
      <c r="F28" s="391" t="s">
        <v>66</v>
      </c>
      <c r="G28" s="393">
        <v>0</v>
      </c>
      <c r="H28" s="475">
        <f t="shared" si="2"/>
        <v>0</v>
      </c>
      <c r="I28" s="393">
        <v>0</v>
      </c>
      <c r="J28" s="393">
        <v>0</v>
      </c>
      <c r="K28" s="488">
        <f t="shared" si="1"/>
        <v>0</v>
      </c>
      <c r="L28" s="1085"/>
      <c r="M28" s="145"/>
      <c r="N28" s="470"/>
      <c r="O28" s="470"/>
      <c r="P28" s="468"/>
      <c r="Q28" s="468"/>
      <c r="R28" s="468"/>
      <c r="S28" s="472"/>
      <c r="T28" s="473"/>
      <c r="U28" s="473"/>
      <c r="V28" s="473"/>
      <c r="W28" s="473"/>
      <c r="X28" s="474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  <c r="IX28" s="19"/>
      <c r="IY28" s="19"/>
    </row>
    <row r="29" spans="1:259" ht="13.5" thickBot="1" x14ac:dyDescent="0.25">
      <c r="A29" s="3"/>
      <c r="B29" s="1059"/>
      <c r="C29" s="391" t="s">
        <v>387</v>
      </c>
      <c r="D29" s="391" t="s">
        <v>357</v>
      </c>
      <c r="E29" s="391" t="s">
        <v>386</v>
      </c>
      <c r="F29" s="391" t="s">
        <v>66</v>
      </c>
      <c r="G29" s="393">
        <v>0</v>
      </c>
      <c r="H29" s="475">
        <f t="shared" si="2"/>
        <v>0</v>
      </c>
      <c r="I29" s="393">
        <v>0</v>
      </c>
      <c r="J29" s="393">
        <v>0</v>
      </c>
      <c r="K29" s="488">
        <f t="shared" si="1"/>
        <v>0</v>
      </c>
      <c r="L29" s="1085"/>
      <c r="M29" s="145"/>
      <c r="N29" s="470"/>
      <c r="O29" s="470"/>
      <c r="P29" s="468"/>
      <c r="Q29" s="468"/>
      <c r="R29" s="468"/>
      <c r="S29" s="472"/>
      <c r="T29" s="473"/>
      <c r="U29" s="473"/>
      <c r="V29" s="473"/>
      <c r="W29" s="473"/>
      <c r="X29" s="474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  <c r="IX29" s="19"/>
      <c r="IY29" s="19"/>
    </row>
    <row r="30" spans="1:259" ht="13.5" thickBot="1" x14ac:dyDescent="0.25">
      <c r="A30" s="3"/>
      <c r="B30" s="1059"/>
      <c r="C30" s="391" t="s">
        <v>785</v>
      </c>
      <c r="D30" s="391"/>
      <c r="E30" s="391" t="s">
        <v>349</v>
      </c>
      <c r="F30" s="391" t="s">
        <v>66</v>
      </c>
      <c r="G30" s="393">
        <v>0</v>
      </c>
      <c r="H30" s="479">
        <f>552922*9</f>
        <v>4976298</v>
      </c>
      <c r="I30" s="393">
        <v>226548</v>
      </c>
      <c r="J30" s="393">
        <v>0</v>
      </c>
      <c r="K30" s="488">
        <f t="shared" si="1"/>
        <v>5202846</v>
      </c>
      <c r="L30" s="1085"/>
      <c r="M30" s="221" t="s">
        <v>836</v>
      </c>
      <c r="N30" s="470"/>
      <c r="O30" s="470"/>
      <c r="P30" s="468"/>
      <c r="Q30" s="468"/>
      <c r="R30" s="468"/>
      <c r="S30" s="472"/>
      <c r="T30" s="473"/>
      <c r="U30" s="473"/>
      <c r="V30" s="473"/>
      <c r="W30" s="473"/>
      <c r="X30" s="474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  <c r="IY30" s="19"/>
    </row>
    <row r="31" spans="1:259" ht="13.5" thickBot="1" x14ac:dyDescent="0.25">
      <c r="A31" s="3"/>
      <c r="B31" s="1084"/>
      <c r="C31" s="391" t="s">
        <v>785</v>
      </c>
      <c r="D31" s="391"/>
      <c r="E31" s="391" t="s">
        <v>349</v>
      </c>
      <c r="F31" s="391" t="s">
        <v>66</v>
      </c>
      <c r="G31" s="393">
        <v>0</v>
      </c>
      <c r="H31" s="479">
        <f>552922*9</f>
        <v>4976298</v>
      </c>
      <c r="I31" s="393">
        <v>226548</v>
      </c>
      <c r="J31" s="393">
        <v>0</v>
      </c>
      <c r="K31" s="488">
        <f t="shared" ref="K31" si="3">SUM(H31:J31)</f>
        <v>5202846</v>
      </c>
      <c r="L31" s="1086"/>
      <c r="M31" s="221" t="s">
        <v>836</v>
      </c>
      <c r="N31" s="470"/>
      <c r="O31" s="470"/>
      <c r="P31" s="468"/>
      <c r="Q31" s="468"/>
      <c r="R31" s="468"/>
      <c r="S31" s="472"/>
      <c r="T31" s="473"/>
      <c r="U31" s="473"/>
      <c r="V31" s="473"/>
      <c r="W31" s="473"/>
      <c r="X31" s="474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  <c r="IX31" s="19"/>
      <c r="IY31" s="19"/>
    </row>
    <row r="32" spans="1:259" ht="13.5" thickBot="1" x14ac:dyDescent="0.25">
      <c r="A32" s="3"/>
      <c r="B32" s="1084"/>
      <c r="C32" s="391" t="s">
        <v>785</v>
      </c>
      <c r="D32" s="391"/>
      <c r="E32" s="391" t="s">
        <v>817</v>
      </c>
      <c r="F32" s="391" t="s">
        <v>66</v>
      </c>
      <c r="G32" s="393"/>
      <c r="H32" s="479">
        <f>749747*10</f>
        <v>7497470</v>
      </c>
      <c r="I32" s="393">
        <v>226548</v>
      </c>
      <c r="J32" s="393">
        <v>0</v>
      </c>
      <c r="K32" s="488">
        <f>H32+J32</f>
        <v>7497470</v>
      </c>
      <c r="L32" s="1086"/>
      <c r="M32" s="145"/>
      <c r="N32" s="470"/>
      <c r="O32" s="470"/>
      <c r="P32" s="468"/>
      <c r="Q32" s="468"/>
      <c r="R32" s="468"/>
      <c r="S32" s="472"/>
      <c r="T32" s="473"/>
      <c r="U32" s="473"/>
      <c r="V32" s="473"/>
      <c r="W32" s="473"/>
      <c r="X32" s="474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  <c r="IX32" s="19"/>
      <c r="IY32" s="19"/>
    </row>
    <row r="33" spans="2:259" ht="13.5" thickBot="1" x14ac:dyDescent="0.25">
      <c r="B33" s="1084"/>
      <c r="C33" s="769" t="s">
        <v>785</v>
      </c>
      <c r="D33" s="769"/>
      <c r="E33" s="769" t="s">
        <v>817</v>
      </c>
      <c r="F33" s="769" t="s">
        <v>66</v>
      </c>
      <c r="G33" s="770">
        <v>0</v>
      </c>
      <c r="H33" s="479">
        <f>749747*10</f>
        <v>7497470</v>
      </c>
      <c r="I33" s="393">
        <v>226548</v>
      </c>
      <c r="J33" s="770">
        <v>0</v>
      </c>
      <c r="K33" s="771">
        <f t="shared" si="1"/>
        <v>7724018</v>
      </c>
      <c r="L33" s="1086"/>
      <c r="M33" s="145"/>
      <c r="N33" s="470"/>
      <c r="O33" s="470"/>
      <c r="P33" s="470"/>
      <c r="Q33" s="470"/>
      <c r="R33" s="470"/>
      <c r="S33" s="482"/>
      <c r="T33" s="470"/>
      <c r="U33" s="470"/>
      <c r="V33" s="470"/>
      <c r="W33" s="470"/>
      <c r="X33" s="483"/>
      <c r="Z33" s="484"/>
      <c r="AA33" s="484"/>
      <c r="AB33" s="484"/>
      <c r="AC33" s="484"/>
      <c r="AD33" s="484"/>
      <c r="AE33" s="484"/>
      <c r="AF33" s="484"/>
      <c r="AG33" s="484"/>
      <c r="AH33" s="484"/>
      <c r="AI33" s="484"/>
      <c r="AJ33" s="484"/>
      <c r="AK33" s="484"/>
      <c r="AL33" s="484"/>
      <c r="AM33" s="484"/>
      <c r="AN33" s="484"/>
      <c r="AO33" s="484"/>
      <c r="AP33" s="484"/>
      <c r="AQ33" s="484"/>
      <c r="AR33" s="484"/>
      <c r="AS33" s="484"/>
      <c r="AT33" s="484"/>
      <c r="AU33" s="484"/>
      <c r="AV33" s="484"/>
      <c r="AW33" s="484"/>
      <c r="AX33" s="484"/>
      <c r="AY33" s="484"/>
      <c r="AZ33" s="484"/>
      <c r="BA33" s="484"/>
      <c r="BB33" s="484"/>
      <c r="BC33" s="484"/>
      <c r="BD33" s="484"/>
      <c r="BE33" s="484"/>
      <c r="BF33" s="484"/>
      <c r="BG33" s="484"/>
      <c r="BH33" s="484"/>
      <c r="BI33" s="484"/>
      <c r="BJ33" s="484"/>
      <c r="BK33" s="484"/>
      <c r="BL33" s="484"/>
      <c r="BM33" s="484"/>
      <c r="BN33" s="484"/>
      <c r="BO33" s="484"/>
      <c r="BP33" s="484"/>
      <c r="BQ33" s="484"/>
      <c r="BR33" s="484"/>
      <c r="BS33" s="484"/>
      <c r="BT33" s="484"/>
      <c r="BU33" s="484"/>
      <c r="BV33" s="484"/>
      <c r="BW33" s="484"/>
      <c r="BX33" s="484"/>
      <c r="BY33" s="484"/>
      <c r="BZ33" s="484"/>
      <c r="CA33" s="484"/>
      <c r="CB33" s="484"/>
      <c r="CC33" s="484"/>
      <c r="CD33" s="484"/>
      <c r="CE33" s="484"/>
      <c r="CF33" s="484"/>
      <c r="CG33" s="484"/>
      <c r="CH33" s="484"/>
      <c r="CI33" s="484"/>
      <c r="CJ33" s="484"/>
      <c r="CK33" s="484"/>
      <c r="CL33" s="484"/>
      <c r="CM33" s="484"/>
      <c r="CN33" s="484"/>
      <c r="CO33" s="484"/>
      <c r="CP33" s="484"/>
      <c r="CQ33" s="484"/>
      <c r="CR33" s="484"/>
      <c r="CS33" s="484"/>
      <c r="CT33" s="484"/>
      <c r="CU33" s="484"/>
      <c r="CV33" s="484"/>
      <c r="CW33" s="484"/>
      <c r="CX33" s="484"/>
      <c r="CY33" s="484"/>
      <c r="CZ33" s="484"/>
      <c r="DA33" s="484"/>
      <c r="DB33" s="484"/>
      <c r="DC33" s="484"/>
      <c r="DD33" s="484"/>
      <c r="DE33" s="484"/>
      <c r="DF33" s="484"/>
      <c r="DG33" s="484"/>
      <c r="DH33" s="484"/>
      <c r="DI33" s="484"/>
      <c r="DJ33" s="484"/>
      <c r="DK33" s="484"/>
      <c r="DL33" s="484"/>
      <c r="DM33" s="484"/>
      <c r="DN33" s="484"/>
      <c r="DO33" s="484"/>
      <c r="DP33" s="484"/>
      <c r="DQ33" s="484"/>
      <c r="DR33" s="484"/>
      <c r="DS33" s="484"/>
      <c r="DT33" s="484"/>
      <c r="DU33" s="484"/>
      <c r="DV33" s="484"/>
      <c r="DW33" s="484"/>
      <c r="DX33" s="484"/>
      <c r="DY33" s="484"/>
      <c r="DZ33" s="484"/>
      <c r="EA33" s="484"/>
      <c r="EB33" s="484"/>
      <c r="EC33" s="484"/>
      <c r="ED33" s="484"/>
      <c r="EE33" s="484"/>
      <c r="EF33" s="484"/>
      <c r="EG33" s="484"/>
      <c r="EH33" s="484"/>
      <c r="EI33" s="484"/>
      <c r="EJ33" s="484"/>
      <c r="EK33" s="484"/>
      <c r="EL33" s="484"/>
      <c r="EM33" s="484"/>
      <c r="EN33" s="484"/>
      <c r="EO33" s="484"/>
      <c r="EP33" s="484"/>
      <c r="EQ33" s="484"/>
      <c r="ER33" s="484"/>
      <c r="ES33" s="484"/>
      <c r="ET33" s="484"/>
      <c r="EU33" s="484"/>
      <c r="EV33" s="484"/>
      <c r="EW33" s="484"/>
      <c r="EX33" s="484"/>
      <c r="EY33" s="484"/>
      <c r="EZ33" s="484"/>
      <c r="FA33" s="484"/>
      <c r="FB33" s="484"/>
      <c r="FC33" s="484"/>
      <c r="FD33" s="484"/>
      <c r="FE33" s="484"/>
      <c r="FF33" s="484"/>
      <c r="FG33" s="484"/>
      <c r="FH33" s="484"/>
      <c r="FI33" s="484"/>
      <c r="FJ33" s="484"/>
      <c r="FK33" s="484"/>
      <c r="FL33" s="484"/>
      <c r="FM33" s="484"/>
      <c r="FN33" s="484"/>
      <c r="FO33" s="484"/>
      <c r="FP33" s="484"/>
      <c r="FQ33" s="484"/>
      <c r="FR33" s="484"/>
      <c r="FS33" s="484"/>
      <c r="FT33" s="484"/>
      <c r="FU33" s="484"/>
      <c r="FV33" s="484"/>
      <c r="FW33" s="484"/>
      <c r="FX33" s="484"/>
      <c r="FY33" s="484"/>
      <c r="FZ33" s="484"/>
      <c r="GA33" s="484"/>
      <c r="GB33" s="484"/>
      <c r="GC33" s="484"/>
      <c r="GD33" s="484"/>
      <c r="GE33" s="484"/>
      <c r="GF33" s="484"/>
      <c r="GG33" s="484"/>
      <c r="GH33" s="484"/>
      <c r="GI33" s="484"/>
      <c r="GJ33" s="484"/>
      <c r="GK33" s="484"/>
      <c r="GL33" s="484"/>
      <c r="GM33" s="484"/>
      <c r="GN33" s="484"/>
      <c r="GO33" s="484"/>
      <c r="GP33" s="484"/>
      <c r="GQ33" s="484"/>
      <c r="GR33" s="484"/>
      <c r="GS33" s="484"/>
      <c r="GT33" s="484"/>
      <c r="GU33" s="484"/>
      <c r="GV33" s="484"/>
      <c r="GW33" s="484"/>
      <c r="GX33" s="484"/>
      <c r="GY33" s="484"/>
      <c r="GZ33" s="484"/>
      <c r="HA33" s="484"/>
      <c r="HB33" s="484"/>
      <c r="HC33" s="484"/>
      <c r="HD33" s="484"/>
      <c r="HE33" s="484"/>
      <c r="HF33" s="484"/>
      <c r="HG33" s="484"/>
      <c r="HH33" s="484"/>
      <c r="HI33" s="484"/>
      <c r="HJ33" s="484"/>
      <c r="HK33" s="484"/>
      <c r="HL33" s="484"/>
      <c r="HM33" s="484"/>
      <c r="HN33" s="484"/>
      <c r="HO33" s="484"/>
      <c r="HP33" s="484"/>
      <c r="HQ33" s="484"/>
      <c r="HR33" s="484"/>
      <c r="HS33" s="484"/>
      <c r="HT33" s="484"/>
      <c r="HU33" s="484"/>
      <c r="HV33" s="484"/>
      <c r="HW33" s="484"/>
      <c r="HX33" s="484"/>
      <c r="HY33" s="484"/>
      <c r="HZ33" s="484"/>
      <c r="IA33" s="484"/>
      <c r="IB33" s="484"/>
      <c r="IC33" s="484"/>
      <c r="ID33" s="484"/>
      <c r="IE33" s="484"/>
      <c r="IF33" s="484"/>
      <c r="IG33" s="484"/>
      <c r="IH33" s="484"/>
      <c r="II33" s="484"/>
      <c r="IJ33" s="484"/>
      <c r="IK33" s="484"/>
      <c r="IL33" s="484"/>
      <c r="IM33" s="484"/>
      <c r="IN33" s="484"/>
      <c r="IO33" s="484"/>
      <c r="IP33" s="484"/>
      <c r="IQ33" s="484"/>
      <c r="IR33" s="484"/>
      <c r="IS33" s="484"/>
      <c r="IT33" s="484"/>
      <c r="IU33" s="484"/>
      <c r="IV33" s="484"/>
      <c r="IW33" s="484"/>
      <c r="IX33" s="484"/>
      <c r="IY33" s="484"/>
    </row>
    <row r="34" spans="2:259" ht="12.75" customHeight="1" x14ac:dyDescent="0.2">
      <c r="B34" s="1074" t="str">
        <f>+'B) Reajuste Tarifas y Ocupación'!A14</f>
        <v>Jardín Infantil Los Delfines</v>
      </c>
      <c r="C34" s="544" t="s">
        <v>388</v>
      </c>
      <c r="D34" s="386" t="s">
        <v>369</v>
      </c>
      <c r="E34" s="386" t="s">
        <v>349</v>
      </c>
      <c r="F34" s="386" t="s">
        <v>69</v>
      </c>
      <c r="G34" s="388">
        <f>600219*12</f>
        <v>7202628</v>
      </c>
      <c r="H34" s="160">
        <f t="shared" si="2"/>
        <v>7721217.216</v>
      </c>
      <c r="I34" s="388">
        <v>226548</v>
      </c>
      <c r="J34" s="388">
        <v>133310</v>
      </c>
      <c r="K34" s="763">
        <f t="shared" si="1"/>
        <v>8081075.216</v>
      </c>
      <c r="L34" s="1077">
        <f>SUM(K34:K54)</f>
        <v>119425381.752</v>
      </c>
      <c r="M34" s="145"/>
      <c r="N34" s="470"/>
      <c r="O34" s="470"/>
      <c r="P34" s="471"/>
      <c r="Q34" s="471"/>
      <c r="R34" s="471"/>
      <c r="T34" s="795"/>
      <c r="U34" s="795"/>
      <c r="V34" s="795"/>
      <c r="W34" s="795"/>
    </row>
    <row r="35" spans="2:259" ht="12.75" customHeight="1" x14ac:dyDescent="0.2">
      <c r="B35" s="1075"/>
      <c r="C35" s="558" t="s">
        <v>389</v>
      </c>
      <c r="D35" s="391" t="s">
        <v>390</v>
      </c>
      <c r="E35" s="391" t="s">
        <v>349</v>
      </c>
      <c r="F35" s="391" t="s">
        <v>69</v>
      </c>
      <c r="G35" s="393">
        <f>600219*12</f>
        <v>7202628</v>
      </c>
      <c r="H35" s="475">
        <f t="shared" si="2"/>
        <v>7721217.216</v>
      </c>
      <c r="I35" s="393">
        <v>226548</v>
      </c>
      <c r="J35" s="393">
        <v>133310</v>
      </c>
      <c r="K35" s="764">
        <f t="shared" si="1"/>
        <v>8081075.216</v>
      </c>
      <c r="L35" s="1078"/>
      <c r="M35" s="145"/>
      <c r="N35" s="470"/>
      <c r="O35" s="470"/>
      <c r="P35" s="468"/>
      <c r="Q35" s="468"/>
      <c r="R35" s="468"/>
      <c r="S35" s="485"/>
      <c r="T35" s="485"/>
      <c r="U35" s="486"/>
      <c r="V35" s="486"/>
      <c r="W35" s="487"/>
      <c r="X35" s="487"/>
    </row>
    <row r="36" spans="2:259" ht="12.75" customHeight="1" x14ac:dyDescent="0.2">
      <c r="B36" s="1075"/>
      <c r="C36" s="558" t="s">
        <v>391</v>
      </c>
      <c r="D36" s="391" t="s">
        <v>392</v>
      </c>
      <c r="E36" s="391" t="s">
        <v>349</v>
      </c>
      <c r="F36" s="391" t="s">
        <v>69</v>
      </c>
      <c r="G36" s="393">
        <f>585640*12</f>
        <v>7027680</v>
      </c>
      <c r="H36" s="475">
        <f t="shared" si="2"/>
        <v>7533672.9600000009</v>
      </c>
      <c r="I36" s="393">
        <v>226548</v>
      </c>
      <c r="J36" s="393">
        <v>133310</v>
      </c>
      <c r="K36" s="764">
        <f t="shared" si="1"/>
        <v>7893530.9600000009</v>
      </c>
      <c r="L36" s="1078"/>
      <c r="M36" s="145"/>
      <c r="N36" s="470"/>
      <c r="O36" s="470"/>
      <c r="P36" s="468"/>
      <c r="Q36" s="468"/>
      <c r="R36" s="468"/>
      <c r="S36" s="485"/>
      <c r="T36" s="485"/>
      <c r="U36" s="486"/>
      <c r="V36" s="486"/>
      <c r="W36" s="487"/>
      <c r="X36" s="487"/>
    </row>
    <row r="37" spans="2:259" ht="12.75" customHeight="1" x14ac:dyDescent="0.2">
      <c r="B37" s="1075"/>
      <c r="C37" s="558" t="s">
        <v>393</v>
      </c>
      <c r="D37" s="391" t="s">
        <v>394</v>
      </c>
      <c r="E37" s="391" t="s">
        <v>349</v>
      </c>
      <c r="F37" s="391" t="s">
        <v>69</v>
      </c>
      <c r="G37" s="393">
        <f>572176*12</f>
        <v>6866112</v>
      </c>
      <c r="H37" s="475">
        <f t="shared" si="2"/>
        <v>7360472.0640000002</v>
      </c>
      <c r="I37" s="393">
        <v>226548</v>
      </c>
      <c r="J37" s="393">
        <v>133310</v>
      </c>
      <c r="K37" s="764">
        <f t="shared" si="1"/>
        <v>7720330.0640000002</v>
      </c>
      <c r="L37" s="1078"/>
      <c r="M37" s="145"/>
      <c r="N37" s="470"/>
      <c r="O37" s="470"/>
      <c r="P37" s="468"/>
      <c r="Q37" s="468"/>
      <c r="R37" s="468"/>
      <c r="S37" s="485"/>
      <c r="T37" s="485"/>
      <c r="U37" s="486"/>
      <c r="V37" s="486"/>
      <c r="W37" s="487"/>
      <c r="X37" s="487"/>
    </row>
    <row r="38" spans="2:259" ht="12.75" customHeight="1" x14ac:dyDescent="0.2">
      <c r="B38" s="1075"/>
      <c r="C38" s="558" t="s">
        <v>395</v>
      </c>
      <c r="D38" s="391" t="s">
        <v>396</v>
      </c>
      <c r="E38" s="391" t="s">
        <v>349</v>
      </c>
      <c r="F38" s="391" t="s">
        <v>69</v>
      </c>
      <c r="G38" s="393">
        <f>558711*12</f>
        <v>6704532</v>
      </c>
      <c r="H38" s="475">
        <f t="shared" si="2"/>
        <v>7187258.3040000005</v>
      </c>
      <c r="I38" s="393">
        <v>226548</v>
      </c>
      <c r="J38" s="393">
        <v>133310</v>
      </c>
      <c r="K38" s="764">
        <f t="shared" si="1"/>
        <v>7547116.3040000005</v>
      </c>
      <c r="L38" s="1078"/>
      <c r="M38" s="145"/>
      <c r="N38" s="470"/>
      <c r="O38" s="470"/>
      <c r="P38" s="468"/>
      <c r="Q38" s="468"/>
      <c r="R38" s="468"/>
      <c r="S38" s="485"/>
      <c r="T38" s="485"/>
      <c r="U38" s="486"/>
      <c r="V38" s="486"/>
      <c r="W38" s="487"/>
      <c r="X38" s="487"/>
    </row>
    <row r="39" spans="2:259" ht="12.75" customHeight="1" x14ac:dyDescent="0.2">
      <c r="B39" s="1075"/>
      <c r="C39" s="558" t="s">
        <v>397</v>
      </c>
      <c r="D39" s="391" t="s">
        <v>398</v>
      </c>
      <c r="E39" s="391" t="s">
        <v>349</v>
      </c>
      <c r="F39" s="391" t="s">
        <v>69</v>
      </c>
      <c r="G39" s="393">
        <f>595727*12</f>
        <v>7148724</v>
      </c>
      <c r="H39" s="475">
        <f t="shared" si="2"/>
        <v>7663432.1280000005</v>
      </c>
      <c r="I39" s="393">
        <v>226548</v>
      </c>
      <c r="J39" s="393">
        <v>133310</v>
      </c>
      <c r="K39" s="764">
        <f t="shared" si="1"/>
        <v>8023290.1280000005</v>
      </c>
      <c r="L39" s="1078"/>
      <c r="M39" s="145"/>
      <c r="N39" s="470"/>
      <c r="O39" s="470"/>
      <c r="P39" s="468"/>
      <c r="Q39" s="468"/>
      <c r="R39" s="468"/>
      <c r="S39" s="485"/>
      <c r="T39" s="485"/>
      <c r="U39" s="486"/>
      <c r="V39" s="486"/>
      <c r="W39" s="487"/>
      <c r="X39" s="487"/>
    </row>
    <row r="40" spans="2:259" ht="12.75" customHeight="1" x14ac:dyDescent="0.2">
      <c r="B40" s="1075"/>
      <c r="C40" s="558" t="s">
        <v>399</v>
      </c>
      <c r="D40" s="391" t="s">
        <v>400</v>
      </c>
      <c r="E40" s="391" t="s">
        <v>349</v>
      </c>
      <c r="F40" s="391" t="s">
        <v>69</v>
      </c>
      <c r="G40" s="393">
        <f>585640*12</f>
        <v>7027680</v>
      </c>
      <c r="H40" s="475">
        <f t="shared" si="2"/>
        <v>7533672.9600000009</v>
      </c>
      <c r="I40" s="393">
        <v>226548</v>
      </c>
      <c r="J40" s="393">
        <v>133310</v>
      </c>
      <c r="K40" s="764">
        <f t="shared" si="1"/>
        <v>7893530.9600000009</v>
      </c>
      <c r="L40" s="1078"/>
      <c r="M40" s="145"/>
      <c r="N40" s="470"/>
      <c r="O40" s="470"/>
      <c r="P40" s="468"/>
      <c r="Q40" s="468"/>
      <c r="R40" s="468"/>
      <c r="S40" s="485"/>
      <c r="T40" s="485"/>
      <c r="U40" s="486"/>
      <c r="V40" s="486"/>
      <c r="W40" s="487"/>
      <c r="X40" s="487"/>
    </row>
    <row r="41" spans="2:259" ht="12.75" customHeight="1" x14ac:dyDescent="0.2">
      <c r="B41" s="1075"/>
      <c r="C41" s="558" t="s">
        <v>785</v>
      </c>
      <c r="D41" s="391"/>
      <c r="E41" s="391" t="s">
        <v>349</v>
      </c>
      <c r="F41" s="391" t="s">
        <v>69</v>
      </c>
      <c r="G41" s="393">
        <v>0</v>
      </c>
      <c r="H41" s="479">
        <f>552922*10</f>
        <v>5529220</v>
      </c>
      <c r="I41" s="393">
        <v>226548</v>
      </c>
      <c r="J41" s="393"/>
      <c r="K41" s="764">
        <f t="shared" si="1"/>
        <v>5755768</v>
      </c>
      <c r="L41" s="1078"/>
      <c r="M41" s="145"/>
      <c r="N41" s="470"/>
      <c r="O41" s="470"/>
      <c r="P41" s="468"/>
      <c r="Q41" s="468"/>
      <c r="R41" s="468"/>
      <c r="S41" s="485"/>
      <c r="T41" s="485"/>
      <c r="U41" s="486"/>
      <c r="V41" s="486"/>
      <c r="W41" s="487"/>
      <c r="X41" s="487"/>
    </row>
    <row r="42" spans="2:259" ht="12.75" customHeight="1" x14ac:dyDescent="0.2">
      <c r="B42" s="1075"/>
      <c r="C42" s="558" t="s">
        <v>401</v>
      </c>
      <c r="D42" s="391" t="s">
        <v>402</v>
      </c>
      <c r="E42" s="391" t="s">
        <v>365</v>
      </c>
      <c r="F42" s="391" t="s">
        <v>69</v>
      </c>
      <c r="G42" s="393">
        <f>617821*12</f>
        <v>7413852</v>
      </c>
      <c r="H42" s="475">
        <f t="shared" si="2"/>
        <v>7947649.3440000005</v>
      </c>
      <c r="I42" s="393">
        <v>226548</v>
      </c>
      <c r="J42" s="393">
        <v>133310</v>
      </c>
      <c r="K42" s="764">
        <f t="shared" si="1"/>
        <v>8307507.3440000005</v>
      </c>
      <c r="L42" s="1078"/>
      <c r="M42" s="145"/>
      <c r="N42" s="470"/>
      <c r="O42" s="470"/>
      <c r="P42" s="468"/>
      <c r="Q42" s="468"/>
      <c r="R42" s="468"/>
      <c r="S42" s="485"/>
      <c r="T42" s="485"/>
      <c r="U42" s="486"/>
      <c r="V42" s="486"/>
      <c r="W42" s="487"/>
      <c r="X42" s="487"/>
    </row>
    <row r="43" spans="2:259" ht="12.75" customHeight="1" x14ac:dyDescent="0.2">
      <c r="B43" s="1075"/>
      <c r="C43" s="558" t="s">
        <v>403</v>
      </c>
      <c r="D43" s="391" t="s">
        <v>404</v>
      </c>
      <c r="E43" s="391" t="s">
        <v>365</v>
      </c>
      <c r="F43" s="391" t="s">
        <v>69</v>
      </c>
      <c r="G43" s="393">
        <f>429112*12</f>
        <v>5149344</v>
      </c>
      <c r="H43" s="475">
        <f t="shared" si="2"/>
        <v>5520096.7680000002</v>
      </c>
      <c r="I43" s="393">
        <v>226548</v>
      </c>
      <c r="J43" s="393">
        <v>133310</v>
      </c>
      <c r="K43" s="764">
        <f t="shared" si="1"/>
        <v>5879954.7680000002</v>
      </c>
      <c r="L43" s="1078"/>
      <c r="M43" s="145"/>
      <c r="N43" s="470"/>
      <c r="O43" s="470"/>
      <c r="P43" s="468"/>
      <c r="Q43" s="468"/>
      <c r="R43" s="468"/>
      <c r="S43" s="485"/>
      <c r="T43" s="485"/>
      <c r="U43" s="486"/>
      <c r="V43" s="486"/>
      <c r="W43" s="487"/>
      <c r="X43" s="487"/>
    </row>
    <row r="44" spans="2:259" ht="12.75" customHeight="1" x14ac:dyDescent="0.2">
      <c r="B44" s="1075"/>
      <c r="C44" s="558" t="s">
        <v>405</v>
      </c>
      <c r="D44" s="391" t="s">
        <v>364</v>
      </c>
      <c r="E44" s="391" t="s">
        <v>370</v>
      </c>
      <c r="F44" s="391" t="s">
        <v>69</v>
      </c>
      <c r="G44" s="393">
        <f>405805*12</f>
        <v>4869660</v>
      </c>
      <c r="H44" s="475">
        <f t="shared" si="2"/>
        <v>5220275.5200000005</v>
      </c>
      <c r="I44" s="393">
        <v>226548</v>
      </c>
      <c r="J44" s="393">
        <v>133310</v>
      </c>
      <c r="K44" s="764">
        <f t="shared" si="1"/>
        <v>5580133.5200000005</v>
      </c>
      <c r="L44" s="1078"/>
      <c r="M44" s="145"/>
      <c r="N44" s="470"/>
      <c r="O44" s="470"/>
      <c r="P44" s="468"/>
      <c r="Q44" s="468"/>
      <c r="R44" s="468"/>
      <c r="S44" s="485"/>
      <c r="T44" s="485"/>
      <c r="U44" s="486"/>
      <c r="V44" s="486"/>
      <c r="W44" s="487"/>
      <c r="X44" s="487"/>
    </row>
    <row r="45" spans="2:259" ht="12.75" customHeight="1" x14ac:dyDescent="0.2">
      <c r="B45" s="1075"/>
      <c r="C45" s="558" t="s">
        <v>785</v>
      </c>
      <c r="D45" s="391"/>
      <c r="E45" s="391" t="s">
        <v>370</v>
      </c>
      <c r="F45" s="391" t="s">
        <v>69</v>
      </c>
      <c r="G45" s="393"/>
      <c r="H45" s="479">
        <f>H24</f>
        <v>3393216</v>
      </c>
      <c r="I45" s="393">
        <v>226548</v>
      </c>
      <c r="J45" s="393"/>
      <c r="K45" s="764">
        <f>H45+I45+J45</f>
        <v>3619764</v>
      </c>
      <c r="L45" s="1078"/>
      <c r="M45" s="145"/>
      <c r="N45" s="470"/>
      <c r="O45" s="470"/>
      <c r="P45" s="468"/>
      <c r="Q45" s="468"/>
      <c r="R45" s="468"/>
      <c r="S45" s="485"/>
      <c r="T45" s="485"/>
      <c r="U45" s="486"/>
      <c r="V45" s="486"/>
      <c r="W45" s="487"/>
      <c r="X45" s="487"/>
    </row>
    <row r="46" spans="2:259" ht="12.75" customHeight="1" x14ac:dyDescent="0.2">
      <c r="B46" s="1075"/>
      <c r="C46" s="558" t="s">
        <v>785</v>
      </c>
      <c r="D46" s="391"/>
      <c r="E46" s="391" t="s">
        <v>349</v>
      </c>
      <c r="F46" s="391" t="s">
        <v>69</v>
      </c>
      <c r="G46" s="393">
        <v>0</v>
      </c>
      <c r="H46" s="479">
        <f>552922*10</f>
        <v>5529220</v>
      </c>
      <c r="I46" s="393">
        <v>226548</v>
      </c>
      <c r="J46" s="393"/>
      <c r="K46" s="764">
        <f t="shared" si="1"/>
        <v>5755768</v>
      </c>
      <c r="L46" s="1078"/>
      <c r="M46" s="221" t="s">
        <v>821</v>
      </c>
      <c r="N46" s="470"/>
      <c r="O46" s="470"/>
      <c r="P46" s="468"/>
      <c r="Q46" s="468"/>
      <c r="R46" s="468"/>
      <c r="S46" s="485"/>
      <c r="T46" s="485"/>
      <c r="U46" s="486"/>
      <c r="V46" s="486"/>
      <c r="W46" s="487"/>
      <c r="X46" s="487"/>
    </row>
    <row r="47" spans="2:259" ht="12.75" customHeight="1" x14ac:dyDescent="0.2">
      <c r="B47" s="1075"/>
      <c r="C47" s="558" t="s">
        <v>406</v>
      </c>
      <c r="D47" s="391" t="s">
        <v>407</v>
      </c>
      <c r="E47" s="391" t="s">
        <v>378</v>
      </c>
      <c r="F47" s="391" t="s">
        <v>69</v>
      </c>
      <c r="G47" s="393">
        <v>0</v>
      </c>
      <c r="H47" s="475">
        <f t="shared" si="2"/>
        <v>0</v>
      </c>
      <c r="I47" s="393">
        <v>0</v>
      </c>
      <c r="J47" s="393">
        <v>0</v>
      </c>
      <c r="K47" s="764">
        <f t="shared" si="1"/>
        <v>0</v>
      </c>
      <c r="L47" s="1078"/>
      <c r="M47" s="145"/>
      <c r="N47" s="470"/>
      <c r="O47" s="470"/>
      <c r="P47" s="468"/>
      <c r="Q47" s="468"/>
      <c r="R47" s="468"/>
      <c r="S47" s="485"/>
      <c r="T47" s="485"/>
      <c r="U47" s="486"/>
      <c r="V47" s="486"/>
      <c r="W47" s="487"/>
      <c r="X47" s="487"/>
    </row>
    <row r="48" spans="2:259" ht="12.75" customHeight="1" x14ac:dyDescent="0.2">
      <c r="B48" s="1075"/>
      <c r="C48" s="558" t="s">
        <v>408</v>
      </c>
      <c r="D48" s="391" t="s">
        <v>409</v>
      </c>
      <c r="E48" s="391" t="s">
        <v>381</v>
      </c>
      <c r="F48" s="391" t="s">
        <v>69</v>
      </c>
      <c r="G48" s="393">
        <v>0</v>
      </c>
      <c r="H48" s="475">
        <f t="shared" si="2"/>
        <v>0</v>
      </c>
      <c r="I48" s="393">
        <v>0</v>
      </c>
      <c r="J48" s="393">
        <v>0</v>
      </c>
      <c r="K48" s="764">
        <f t="shared" si="1"/>
        <v>0</v>
      </c>
      <c r="L48" s="1078"/>
      <c r="M48" s="145"/>
      <c r="N48" s="470"/>
      <c r="O48" s="470"/>
      <c r="P48" s="468"/>
      <c r="Q48" s="468"/>
      <c r="R48" s="468"/>
      <c r="S48" s="485"/>
      <c r="T48" s="485"/>
      <c r="U48" s="486"/>
      <c r="V48" s="486"/>
      <c r="W48" s="487"/>
      <c r="X48" s="487"/>
    </row>
    <row r="49" spans="2:24" ht="12.75" customHeight="1" x14ac:dyDescent="0.2">
      <c r="B49" s="1075"/>
      <c r="C49" s="558" t="s">
        <v>410</v>
      </c>
      <c r="D49" s="391" t="s">
        <v>411</v>
      </c>
      <c r="E49" s="391" t="s">
        <v>381</v>
      </c>
      <c r="F49" s="391" t="s">
        <v>69</v>
      </c>
      <c r="G49" s="393">
        <v>0</v>
      </c>
      <c r="H49" s="475">
        <f t="shared" si="2"/>
        <v>0</v>
      </c>
      <c r="I49" s="393">
        <v>0</v>
      </c>
      <c r="J49" s="393">
        <v>0</v>
      </c>
      <c r="K49" s="764">
        <f t="shared" si="1"/>
        <v>0</v>
      </c>
      <c r="L49" s="1078"/>
      <c r="M49" s="145"/>
      <c r="N49" s="470"/>
      <c r="O49" s="470"/>
      <c r="P49" s="468"/>
      <c r="Q49" s="468"/>
      <c r="R49" s="468"/>
      <c r="S49" s="485"/>
      <c r="T49" s="485"/>
      <c r="U49" s="486"/>
      <c r="V49" s="486"/>
      <c r="W49" s="487"/>
      <c r="X49" s="487"/>
    </row>
    <row r="50" spans="2:24" ht="12.75" customHeight="1" x14ac:dyDescent="0.2">
      <c r="B50" s="1075"/>
      <c r="C50" s="558" t="s">
        <v>412</v>
      </c>
      <c r="D50" s="391" t="s">
        <v>413</v>
      </c>
      <c r="E50" s="391" t="s">
        <v>381</v>
      </c>
      <c r="F50" s="391" t="s">
        <v>69</v>
      </c>
      <c r="G50" s="393">
        <v>0</v>
      </c>
      <c r="H50" s="475">
        <f t="shared" si="2"/>
        <v>0</v>
      </c>
      <c r="I50" s="393">
        <v>0</v>
      </c>
      <c r="J50" s="393">
        <v>0</v>
      </c>
      <c r="K50" s="764">
        <f t="shared" si="1"/>
        <v>0</v>
      </c>
      <c r="L50" s="1078"/>
      <c r="M50" s="145"/>
      <c r="N50" s="470"/>
      <c r="O50" s="470"/>
      <c r="P50" s="468"/>
      <c r="Q50" s="468"/>
      <c r="R50" s="468"/>
      <c r="S50" s="485"/>
      <c r="T50" s="485"/>
      <c r="U50" s="486"/>
      <c r="V50" s="486"/>
      <c r="W50" s="487"/>
      <c r="X50" s="487"/>
    </row>
    <row r="51" spans="2:24" ht="12.75" customHeight="1" x14ac:dyDescent="0.2">
      <c r="B51" s="1075"/>
      <c r="C51" s="759" t="s">
        <v>822</v>
      </c>
      <c r="D51" s="477"/>
      <c r="E51" s="477" t="s">
        <v>381</v>
      </c>
      <c r="F51" s="477" t="s">
        <v>69</v>
      </c>
      <c r="G51" s="478"/>
      <c r="H51" s="479">
        <f>749747*9</f>
        <v>6747723</v>
      </c>
      <c r="I51" s="393">
        <v>226548</v>
      </c>
      <c r="J51" s="478"/>
      <c r="K51" s="764">
        <f>H51+I51+J51</f>
        <v>6974271</v>
      </c>
      <c r="L51" s="1078"/>
      <c r="M51" s="145"/>
      <c r="N51" s="470"/>
      <c r="O51" s="470"/>
      <c r="P51" s="468"/>
      <c r="Q51" s="468"/>
      <c r="R51" s="468"/>
      <c r="S51" s="485"/>
      <c r="T51" s="485"/>
      <c r="U51" s="486"/>
      <c r="V51" s="486"/>
      <c r="W51" s="487"/>
      <c r="X51" s="487"/>
    </row>
    <row r="52" spans="2:24" ht="12.75" customHeight="1" x14ac:dyDescent="0.2">
      <c r="B52" s="1075"/>
      <c r="C52" s="558" t="s">
        <v>441</v>
      </c>
      <c r="D52" s="391" t="s">
        <v>442</v>
      </c>
      <c r="E52" s="391" t="s">
        <v>381</v>
      </c>
      <c r="F52" s="391" t="s">
        <v>69</v>
      </c>
      <c r="G52" s="393">
        <f>821998*12</f>
        <v>9863976</v>
      </c>
      <c r="H52" s="475">
        <f t="shared" si="2"/>
        <v>10574182.272</v>
      </c>
      <c r="I52" s="393">
        <v>226548</v>
      </c>
      <c r="J52" s="393"/>
      <c r="K52" s="764">
        <f t="shared" si="1"/>
        <v>10800730.272</v>
      </c>
      <c r="L52" s="1078"/>
      <c r="M52" s="145"/>
      <c r="N52" s="470"/>
      <c r="O52" s="470"/>
      <c r="P52" s="468"/>
      <c r="Q52" s="468"/>
      <c r="R52" s="468"/>
      <c r="S52" s="485"/>
      <c r="T52" s="485"/>
      <c r="U52" s="486"/>
      <c r="V52" s="486"/>
      <c r="W52" s="487"/>
      <c r="X52" s="487"/>
    </row>
    <row r="53" spans="2:24" ht="12.75" customHeight="1" x14ac:dyDescent="0.2">
      <c r="B53" s="1075"/>
      <c r="C53" s="558" t="s">
        <v>785</v>
      </c>
      <c r="D53" s="391"/>
      <c r="E53" s="391" t="s">
        <v>349</v>
      </c>
      <c r="F53" s="391" t="s">
        <v>69</v>
      </c>
      <c r="G53" s="393">
        <v>0</v>
      </c>
      <c r="H53" s="475">
        <f>552922*10</f>
        <v>5529220</v>
      </c>
      <c r="I53" s="393">
        <v>226548</v>
      </c>
      <c r="J53" s="393"/>
      <c r="K53" s="764">
        <f t="shared" si="1"/>
        <v>5755768</v>
      </c>
      <c r="L53" s="1078"/>
      <c r="M53" s="145"/>
      <c r="N53" s="470"/>
      <c r="O53" s="470"/>
      <c r="P53" s="468"/>
      <c r="Q53" s="468"/>
      <c r="R53" s="468"/>
      <c r="S53" s="485"/>
      <c r="T53" s="485"/>
      <c r="U53" s="486"/>
      <c r="V53" s="486"/>
      <c r="W53" s="487"/>
      <c r="X53" s="487"/>
    </row>
    <row r="54" spans="2:24" ht="12.75" customHeight="1" thickBot="1" x14ac:dyDescent="0.25">
      <c r="B54" s="1076"/>
      <c r="C54" s="550" t="s">
        <v>785</v>
      </c>
      <c r="D54" s="480"/>
      <c r="E54" s="480" t="s">
        <v>349</v>
      </c>
      <c r="F54" s="480" t="s">
        <v>69</v>
      </c>
      <c r="G54" s="401">
        <v>0</v>
      </c>
      <c r="H54" s="171">
        <f>552922*10</f>
        <v>5529220</v>
      </c>
      <c r="I54" s="393">
        <v>226548</v>
      </c>
      <c r="J54" s="401"/>
      <c r="K54" s="765">
        <f t="shared" si="1"/>
        <v>5755768</v>
      </c>
      <c r="L54" s="1079"/>
      <c r="M54" s="145"/>
      <c r="N54" s="470"/>
      <c r="O54" s="470"/>
      <c r="P54" s="470"/>
      <c r="Q54" s="470"/>
      <c r="R54" s="470"/>
      <c r="S54" s="485"/>
      <c r="T54" s="485"/>
      <c r="U54" s="486"/>
      <c r="V54" s="486"/>
      <c r="W54" s="487"/>
      <c r="X54" s="487"/>
    </row>
    <row r="55" spans="2:24" ht="12.75" customHeight="1" thickBot="1" x14ac:dyDescent="0.25">
      <c r="B55" s="1080" t="str">
        <f>+'B) Reajuste Tarifas y Ocupación'!A16</f>
        <v>Jardín Infantil Pecesitos de Colores</v>
      </c>
      <c r="C55" s="553"/>
      <c r="D55" s="924"/>
      <c r="E55" s="924"/>
      <c r="F55" s="924"/>
      <c r="G55" s="394">
        <v>0</v>
      </c>
      <c r="H55" s="174">
        <f t="shared" si="2"/>
        <v>0</v>
      </c>
      <c r="I55" s="394">
        <v>0</v>
      </c>
      <c r="J55" s="394">
        <v>0</v>
      </c>
      <c r="K55" s="766">
        <f t="shared" si="1"/>
        <v>0</v>
      </c>
      <c r="L55" s="1060">
        <f>K56</f>
        <v>9377547.7280000001</v>
      </c>
      <c r="M55" s="145"/>
      <c r="N55" s="470"/>
      <c r="O55" s="470"/>
      <c r="P55" s="471"/>
      <c r="Q55" s="471"/>
      <c r="R55" s="471"/>
      <c r="T55" s="795"/>
      <c r="U55" s="795"/>
      <c r="V55" s="795"/>
      <c r="W55" s="795"/>
    </row>
    <row r="56" spans="2:24" ht="12.75" customHeight="1" thickBot="1" x14ac:dyDescent="0.25">
      <c r="B56" s="1059"/>
      <c r="C56" s="558" t="s">
        <v>433</v>
      </c>
      <c r="D56" s="391" t="s">
        <v>352</v>
      </c>
      <c r="E56" s="391" t="s">
        <v>416</v>
      </c>
      <c r="F56" s="391" t="s">
        <v>417</v>
      </c>
      <c r="G56" s="393">
        <f>701002*12</f>
        <v>8412024</v>
      </c>
      <c r="H56" s="475">
        <f t="shared" si="2"/>
        <v>9017689.7280000001</v>
      </c>
      <c r="I56" s="388">
        <v>226548</v>
      </c>
      <c r="J56" s="388">
        <v>133310</v>
      </c>
      <c r="K56" s="764">
        <f t="shared" si="1"/>
        <v>9377547.7280000001</v>
      </c>
      <c r="L56" s="1060"/>
      <c r="M56" s="145"/>
      <c r="N56" s="470"/>
      <c r="O56" s="470"/>
      <c r="P56" s="468"/>
      <c r="Q56" s="468"/>
      <c r="R56" s="468"/>
      <c r="S56" s="485"/>
      <c r="T56" s="485"/>
      <c r="U56" s="486"/>
      <c r="V56" s="486"/>
      <c r="W56" s="487"/>
      <c r="X56" s="487"/>
    </row>
    <row r="57" spans="2:24" ht="12.75" customHeight="1" thickBot="1" x14ac:dyDescent="0.25">
      <c r="B57" s="1059"/>
      <c r="C57" s="558" t="s">
        <v>374</v>
      </c>
      <c r="D57" s="391" t="s">
        <v>375</v>
      </c>
      <c r="E57" s="391" t="s">
        <v>820</v>
      </c>
      <c r="F57" s="391" t="s">
        <v>417</v>
      </c>
      <c r="G57" s="393">
        <v>0</v>
      </c>
      <c r="H57" s="475">
        <f t="shared" si="2"/>
        <v>0</v>
      </c>
      <c r="I57" s="393">
        <v>0</v>
      </c>
      <c r="J57" s="393">
        <v>0</v>
      </c>
      <c r="K57" s="764">
        <f t="shared" si="1"/>
        <v>0</v>
      </c>
      <c r="L57" s="1060"/>
      <c r="M57" s="145"/>
      <c r="N57" s="470"/>
      <c r="O57" s="470"/>
      <c r="P57" s="468"/>
      <c r="Q57" s="468"/>
      <c r="R57" s="468"/>
      <c r="S57" s="485"/>
      <c r="T57" s="485"/>
      <c r="U57" s="486"/>
      <c r="V57" s="486"/>
      <c r="W57" s="487"/>
      <c r="X57" s="487"/>
    </row>
    <row r="58" spans="2:24" ht="12.75" customHeight="1" thickBot="1" x14ac:dyDescent="0.25">
      <c r="B58" s="1059"/>
      <c r="C58" s="558"/>
      <c r="D58" s="391"/>
      <c r="E58" s="391"/>
      <c r="F58" s="391"/>
      <c r="G58" s="393">
        <v>0</v>
      </c>
      <c r="H58" s="475">
        <f t="shared" si="2"/>
        <v>0</v>
      </c>
      <c r="I58" s="393">
        <v>0</v>
      </c>
      <c r="J58" s="393">
        <v>0</v>
      </c>
      <c r="K58" s="764">
        <f t="shared" si="1"/>
        <v>0</v>
      </c>
      <c r="L58" s="1060"/>
      <c r="M58" s="145"/>
      <c r="N58" s="923"/>
      <c r="O58" s="470"/>
      <c r="P58" s="468"/>
      <c r="Q58" s="468"/>
      <c r="R58" s="468"/>
      <c r="S58" s="485"/>
      <c r="T58" s="485"/>
      <c r="U58" s="486"/>
      <c r="V58" s="486"/>
      <c r="W58" s="487"/>
      <c r="X58" s="487"/>
    </row>
    <row r="59" spans="2:24" ht="12.75" customHeight="1" thickBot="1" x14ac:dyDescent="0.25">
      <c r="B59" s="1059"/>
      <c r="C59" s="558" t="s">
        <v>462</v>
      </c>
      <c r="D59" s="391" t="s">
        <v>463</v>
      </c>
      <c r="E59" s="391" t="s">
        <v>419</v>
      </c>
      <c r="F59" s="391"/>
      <c r="G59" s="393">
        <v>0</v>
      </c>
      <c r="H59" s="475">
        <f t="shared" si="2"/>
        <v>0</v>
      </c>
      <c r="I59" s="393">
        <v>0</v>
      </c>
      <c r="J59" s="393">
        <v>0</v>
      </c>
      <c r="K59" s="764">
        <f t="shared" si="1"/>
        <v>0</v>
      </c>
      <c r="L59" s="1060"/>
      <c r="M59" s="145"/>
      <c r="N59" s="470"/>
      <c r="O59" s="470"/>
      <c r="P59" s="468"/>
      <c r="Q59" s="468"/>
      <c r="R59" s="468"/>
      <c r="S59" s="485"/>
      <c r="T59" s="485"/>
      <c r="U59" s="486"/>
      <c r="V59" s="486"/>
      <c r="W59" s="487"/>
      <c r="X59" s="487"/>
    </row>
    <row r="60" spans="2:24" ht="12.75" customHeight="1" thickBot="1" x14ac:dyDescent="0.25">
      <c r="B60" s="1059"/>
      <c r="C60" s="550" t="s">
        <v>811</v>
      </c>
      <c r="D60" s="480" t="s">
        <v>464</v>
      </c>
      <c r="E60" s="480" t="s">
        <v>819</v>
      </c>
      <c r="F60" s="480"/>
      <c r="G60" s="401">
        <v>0</v>
      </c>
      <c r="H60" s="171">
        <f t="shared" si="2"/>
        <v>0</v>
      </c>
      <c r="I60" s="401">
        <v>0</v>
      </c>
      <c r="J60" s="401">
        <v>0</v>
      </c>
      <c r="K60" s="765">
        <f t="shared" si="1"/>
        <v>0</v>
      </c>
      <c r="L60" s="1060"/>
      <c r="M60" s="145"/>
      <c r="N60" s="923"/>
      <c r="O60" s="470"/>
      <c r="P60" s="468"/>
      <c r="Q60" s="468"/>
      <c r="R60" s="468"/>
      <c r="S60" s="485"/>
      <c r="T60" s="485"/>
      <c r="U60" s="486"/>
      <c r="V60" s="486"/>
      <c r="W60" s="487"/>
      <c r="X60" s="487"/>
    </row>
    <row r="61" spans="2:24" ht="13.5" thickBot="1" x14ac:dyDescent="0.25">
      <c r="B61" s="1081" t="str">
        <f>+'B) Reajuste Tarifas y Ocupación'!A17</f>
        <v>Jardín Infantil Caracolito de Mar</v>
      </c>
      <c r="C61" s="925"/>
      <c r="D61" s="925"/>
      <c r="E61" s="925"/>
      <c r="F61" s="925"/>
      <c r="G61" s="926"/>
      <c r="H61" s="490"/>
      <c r="I61" s="489"/>
      <c r="J61" s="489"/>
      <c r="K61" s="491"/>
      <c r="L61" s="1082"/>
      <c r="M61" s="145"/>
      <c r="N61" s="470"/>
      <c r="O61" s="470"/>
      <c r="P61" s="471"/>
      <c r="Q61" s="471"/>
      <c r="R61" s="471"/>
      <c r="T61" s="795"/>
      <c r="U61" s="795"/>
      <c r="V61" s="795"/>
      <c r="W61" s="795"/>
    </row>
    <row r="62" spans="2:24" x14ac:dyDescent="0.2">
      <c r="B62" s="1081"/>
      <c r="C62" s="927"/>
      <c r="D62" s="927"/>
      <c r="E62" s="927"/>
      <c r="F62" s="927"/>
      <c r="G62" s="928"/>
      <c r="H62" s="494"/>
      <c r="I62" s="493"/>
      <c r="J62" s="493"/>
      <c r="K62" s="495"/>
      <c r="L62" s="1082"/>
      <c r="M62" s="145"/>
      <c r="N62" s="470"/>
      <c r="O62" s="470"/>
      <c r="P62" s="468"/>
      <c r="Q62" s="468"/>
      <c r="R62" s="468"/>
      <c r="S62" s="485"/>
      <c r="T62" s="485"/>
      <c r="U62" s="486"/>
      <c r="V62" s="486"/>
      <c r="W62" s="487"/>
      <c r="X62" s="487"/>
    </row>
    <row r="63" spans="2:24" x14ac:dyDescent="0.2">
      <c r="B63" s="1081"/>
      <c r="C63" s="927"/>
      <c r="D63" s="927"/>
      <c r="E63" s="927"/>
      <c r="F63" s="927"/>
      <c r="G63" s="928"/>
      <c r="H63" s="494"/>
      <c r="I63" s="493"/>
      <c r="J63" s="493"/>
      <c r="K63" s="495"/>
      <c r="L63" s="1082"/>
      <c r="M63" s="145"/>
      <c r="N63" s="470"/>
      <c r="O63" s="470"/>
      <c r="P63" s="468"/>
      <c r="Q63" s="468"/>
      <c r="R63" s="468"/>
      <c r="S63" s="485"/>
      <c r="T63" s="485"/>
      <c r="U63" s="486"/>
      <c r="V63" s="486"/>
      <c r="W63" s="487"/>
      <c r="X63" s="487"/>
    </row>
    <row r="64" spans="2:24" x14ac:dyDescent="0.2">
      <c r="B64" s="1081"/>
      <c r="C64" s="927"/>
      <c r="D64" s="927"/>
      <c r="E64" s="927"/>
      <c r="F64" s="927"/>
      <c r="G64" s="928"/>
      <c r="H64" s="494"/>
      <c r="I64" s="493"/>
      <c r="J64" s="493"/>
      <c r="K64" s="495"/>
      <c r="L64" s="1082"/>
      <c r="M64" s="145"/>
      <c r="N64" s="470"/>
      <c r="O64" s="470"/>
      <c r="P64" s="468"/>
      <c r="Q64" s="468"/>
      <c r="R64" s="468"/>
      <c r="S64" s="485"/>
      <c r="T64" s="485"/>
      <c r="U64" s="486"/>
      <c r="V64" s="486"/>
      <c r="W64" s="487"/>
      <c r="X64" s="487"/>
    </row>
    <row r="65" spans="2:24" x14ac:dyDescent="0.2">
      <c r="B65" s="1081"/>
      <c r="C65" s="927"/>
      <c r="D65" s="927"/>
      <c r="E65" s="927"/>
      <c r="F65" s="927"/>
      <c r="G65" s="928"/>
      <c r="H65" s="494"/>
      <c r="I65" s="493"/>
      <c r="J65" s="493"/>
      <c r="K65" s="495"/>
      <c r="L65" s="1082"/>
      <c r="M65" s="145"/>
      <c r="N65" s="470"/>
      <c r="O65" s="470"/>
      <c r="P65" s="468"/>
      <c r="Q65" s="468"/>
      <c r="R65" s="468"/>
      <c r="S65" s="485"/>
      <c r="T65" s="485"/>
      <c r="U65" s="486"/>
      <c r="V65" s="486"/>
      <c r="W65" s="487"/>
      <c r="X65" s="487"/>
    </row>
    <row r="66" spans="2:24" x14ac:dyDescent="0.2">
      <c r="B66" s="1081"/>
      <c r="C66" s="927"/>
      <c r="D66" s="927"/>
      <c r="E66" s="927"/>
      <c r="F66" s="927"/>
      <c r="G66" s="928"/>
      <c r="H66" s="494"/>
      <c r="I66" s="493"/>
      <c r="J66" s="493"/>
      <c r="K66" s="495"/>
      <c r="L66" s="1082"/>
      <c r="M66" s="145"/>
      <c r="N66" s="470"/>
      <c r="O66" s="470"/>
      <c r="P66" s="468"/>
      <c r="Q66" s="468"/>
      <c r="R66" s="468"/>
      <c r="S66" s="485"/>
      <c r="T66" s="485"/>
      <c r="U66" s="486"/>
      <c r="V66" s="486"/>
      <c r="W66" s="487"/>
      <c r="X66" s="487"/>
    </row>
    <row r="67" spans="2:24" x14ac:dyDescent="0.2">
      <c r="B67" s="1081"/>
      <c r="C67" s="927"/>
      <c r="D67" s="927"/>
      <c r="E67" s="927"/>
      <c r="F67" s="927"/>
      <c r="G67" s="928"/>
      <c r="H67" s="494"/>
      <c r="I67" s="493"/>
      <c r="J67" s="493"/>
      <c r="K67" s="495"/>
      <c r="L67" s="1082"/>
      <c r="M67" s="145"/>
      <c r="N67" s="470"/>
      <c r="O67" s="470"/>
      <c r="P67" s="468"/>
      <c r="Q67" s="468"/>
      <c r="R67" s="468"/>
      <c r="S67" s="485"/>
      <c r="T67" s="485"/>
      <c r="U67" s="486"/>
      <c r="V67" s="486"/>
      <c r="W67" s="487"/>
      <c r="X67" s="487"/>
    </row>
    <row r="68" spans="2:24" x14ac:dyDescent="0.2">
      <c r="B68" s="1081"/>
      <c r="C68" s="927"/>
      <c r="D68" s="927"/>
      <c r="E68" s="927"/>
      <c r="F68" s="927"/>
      <c r="G68" s="928"/>
      <c r="H68" s="494"/>
      <c r="I68" s="493"/>
      <c r="J68" s="493"/>
      <c r="K68" s="495"/>
      <c r="L68" s="1082"/>
      <c r="M68" s="145"/>
      <c r="N68" s="470"/>
      <c r="O68" s="470"/>
      <c r="P68" s="468"/>
      <c r="Q68" s="468"/>
      <c r="R68" s="468"/>
      <c r="S68" s="485"/>
      <c r="T68" s="485"/>
      <c r="U68" s="486"/>
      <c r="V68" s="486"/>
      <c r="W68" s="487"/>
      <c r="X68" s="487"/>
    </row>
    <row r="69" spans="2:24" x14ac:dyDescent="0.2">
      <c r="B69" s="1081"/>
      <c r="C69" s="927"/>
      <c r="D69" s="927"/>
      <c r="E69" s="927"/>
      <c r="F69" s="927"/>
      <c r="G69" s="928"/>
      <c r="H69" s="494"/>
      <c r="I69" s="493"/>
      <c r="J69" s="493"/>
      <c r="K69" s="495"/>
      <c r="L69" s="1082"/>
      <c r="M69" s="145"/>
      <c r="N69" s="470"/>
      <c r="O69" s="470"/>
      <c r="P69" s="468"/>
      <c r="Q69" s="468"/>
      <c r="R69" s="468"/>
      <c r="S69" s="485"/>
      <c r="T69" s="485"/>
      <c r="U69" s="486"/>
      <c r="V69" s="486"/>
      <c r="W69" s="487"/>
      <c r="X69" s="487"/>
    </row>
    <row r="70" spans="2:24" x14ac:dyDescent="0.2">
      <c r="B70" s="1081"/>
      <c r="C70" s="927"/>
      <c r="D70" s="927"/>
      <c r="E70" s="927"/>
      <c r="F70" s="927"/>
      <c r="G70" s="928"/>
      <c r="H70" s="494"/>
      <c r="I70" s="493"/>
      <c r="J70" s="493"/>
      <c r="K70" s="495"/>
      <c r="L70" s="1082"/>
      <c r="M70" s="145"/>
      <c r="N70" s="470"/>
      <c r="O70" s="470"/>
      <c r="P70" s="468"/>
      <c r="Q70" s="468"/>
      <c r="R70" s="468"/>
      <c r="S70" s="485"/>
      <c r="T70" s="485"/>
      <c r="U70" s="486"/>
      <c r="V70" s="486"/>
      <c r="W70" s="487"/>
      <c r="X70" s="487"/>
    </row>
    <row r="71" spans="2:24" x14ac:dyDescent="0.2">
      <c r="B71" s="1081"/>
      <c r="C71" s="927"/>
      <c r="D71" s="927"/>
      <c r="E71" s="927"/>
      <c r="F71" s="927"/>
      <c r="G71" s="928"/>
      <c r="H71" s="494"/>
      <c r="I71" s="493"/>
      <c r="J71" s="493"/>
      <c r="K71" s="495"/>
      <c r="L71" s="1082"/>
      <c r="M71" s="145"/>
      <c r="N71" s="470"/>
      <c r="O71" s="470"/>
      <c r="P71" s="468"/>
      <c r="Q71" s="468"/>
      <c r="R71" s="468"/>
      <c r="S71" s="485"/>
      <c r="T71" s="485"/>
      <c r="U71" s="486"/>
      <c r="V71" s="486"/>
      <c r="W71" s="487"/>
      <c r="X71" s="487"/>
    </row>
    <row r="72" spans="2:24" x14ac:dyDescent="0.2">
      <c r="B72" s="1081"/>
      <c r="C72" s="929"/>
      <c r="D72" s="929"/>
      <c r="E72" s="929"/>
      <c r="F72" s="929"/>
      <c r="G72" s="930"/>
      <c r="H72" s="498"/>
      <c r="I72" s="497"/>
      <c r="J72" s="497"/>
      <c r="K72" s="499"/>
      <c r="L72" s="1082"/>
      <c r="M72" s="145"/>
      <c r="N72" s="470"/>
      <c r="O72" s="470"/>
      <c r="P72" s="468"/>
      <c r="Q72" s="468"/>
      <c r="R72" s="468"/>
      <c r="S72" s="485"/>
      <c r="T72" s="485"/>
      <c r="U72" s="486"/>
      <c r="V72" s="486"/>
      <c r="W72" s="487"/>
      <c r="X72" s="487"/>
    </row>
    <row r="73" spans="2:24" ht="15" customHeight="1" thickBot="1" x14ac:dyDescent="0.25">
      <c r="B73" s="1031" t="s">
        <v>29</v>
      </c>
      <c r="C73" s="1072" t="s">
        <v>196</v>
      </c>
      <c r="D73" s="1072" t="s">
        <v>197</v>
      </c>
      <c r="E73" s="1068" t="s">
        <v>198</v>
      </c>
      <c r="F73" s="1068" t="s">
        <v>165</v>
      </c>
      <c r="G73" s="1068" t="s">
        <v>344</v>
      </c>
      <c r="H73" s="1033" t="s">
        <v>345</v>
      </c>
      <c r="I73" s="1033" t="s">
        <v>208</v>
      </c>
      <c r="J73" s="1033" t="s">
        <v>209</v>
      </c>
      <c r="K73" s="1070" t="s">
        <v>199</v>
      </c>
      <c r="L73" s="1064" t="s">
        <v>346</v>
      </c>
      <c r="O73" s="466"/>
      <c r="P73" s="466"/>
      <c r="Q73" s="466"/>
      <c r="R73" s="466"/>
      <c r="S73" s="466"/>
      <c r="T73" s="466"/>
    </row>
    <row r="74" spans="2:24" ht="54.75" customHeight="1" thickBot="1" x14ac:dyDescent="0.25">
      <c r="B74" s="1031"/>
      <c r="C74" s="1073"/>
      <c r="D74" s="1073"/>
      <c r="E74" s="1069"/>
      <c r="F74" s="1069"/>
      <c r="G74" s="1069"/>
      <c r="H74" s="961"/>
      <c r="I74" s="961"/>
      <c r="J74" s="961"/>
      <c r="K74" s="1071"/>
      <c r="L74" s="1065"/>
      <c r="M74" s="145"/>
      <c r="N74" s="467"/>
      <c r="O74" s="467"/>
      <c r="P74" s="468"/>
      <c r="Q74" s="468"/>
      <c r="R74" s="468"/>
      <c r="S74" s="145"/>
      <c r="T74" s="1066"/>
      <c r="U74" s="1066"/>
      <c r="V74" s="1066"/>
      <c r="W74" s="1066"/>
      <c r="X74" s="145"/>
    </row>
    <row r="75" spans="2:24" ht="13.5" thickBot="1" x14ac:dyDescent="0.25">
      <c r="B75" s="1059" t="str">
        <f>+'A) Resumen Ingresos y Egresos'!A13</f>
        <v>Sala Cuna Caracolito de Mar Diurna</v>
      </c>
      <c r="C75" s="544" t="s">
        <v>436</v>
      </c>
      <c r="D75" s="386" t="s">
        <v>814</v>
      </c>
      <c r="E75" s="386" t="s">
        <v>422</v>
      </c>
      <c r="F75" s="386" t="s">
        <v>73</v>
      </c>
      <c r="G75" s="388"/>
      <c r="H75" s="772">
        <f>816602*12</f>
        <v>9799224</v>
      </c>
      <c r="I75" s="773">
        <v>226548</v>
      </c>
      <c r="J75" s="388">
        <v>133310</v>
      </c>
      <c r="K75" s="469">
        <f t="shared" ref="K75:K89" si="4">SUM(H75:J75)</f>
        <v>10159082</v>
      </c>
      <c r="L75" s="1061">
        <f>SUM(K75:K89)</f>
        <v>67397750.255999997</v>
      </c>
      <c r="M75" s="145"/>
      <c r="N75" s="470"/>
      <c r="O75" s="470"/>
      <c r="P75" s="468"/>
      <c r="Q75" s="468"/>
      <c r="R75" s="468"/>
      <c r="S75" s="485"/>
      <c r="T75" s="485"/>
      <c r="U75" s="486"/>
      <c r="V75" s="486"/>
      <c r="W75" s="487"/>
      <c r="X75" s="487"/>
    </row>
    <row r="76" spans="2:24" ht="13.5" thickBot="1" x14ac:dyDescent="0.25">
      <c r="B76" s="1059"/>
      <c r="C76" s="558" t="s">
        <v>423</v>
      </c>
      <c r="D76" s="391" t="s">
        <v>424</v>
      </c>
      <c r="E76" s="391" t="s">
        <v>416</v>
      </c>
      <c r="F76" s="391" t="s">
        <v>73</v>
      </c>
      <c r="G76" s="393">
        <f>699374*12</f>
        <v>8392488</v>
      </c>
      <c r="H76" s="475">
        <f>+G76*(1+$L$7)</f>
        <v>8996747.1359999999</v>
      </c>
      <c r="I76" s="393">
        <v>226548</v>
      </c>
      <c r="J76" s="393">
        <v>133310</v>
      </c>
      <c r="K76" s="476">
        <f t="shared" si="4"/>
        <v>9356605.1359999999</v>
      </c>
      <c r="L76" s="1062"/>
      <c r="M76" s="145"/>
      <c r="N76" s="470"/>
      <c r="O76" s="470"/>
      <c r="P76" s="470"/>
      <c r="Q76" s="470"/>
      <c r="R76" s="470"/>
      <c r="S76" s="485"/>
      <c r="T76" s="485"/>
      <c r="U76" s="486"/>
      <c r="V76" s="486"/>
      <c r="W76" s="487"/>
      <c r="X76" s="487"/>
    </row>
    <row r="77" spans="2:24" ht="13.5" thickBot="1" x14ac:dyDescent="0.25">
      <c r="B77" s="1059"/>
      <c r="C77" s="558" t="s">
        <v>425</v>
      </c>
      <c r="D77" s="391" t="s">
        <v>426</v>
      </c>
      <c r="E77" s="391" t="s">
        <v>416</v>
      </c>
      <c r="F77" s="391" t="s">
        <v>73</v>
      </c>
      <c r="G77" s="393">
        <f>609203*12</f>
        <v>7310436</v>
      </c>
      <c r="H77" s="475">
        <f>+G77*(1+$L$7)</f>
        <v>7836787.3920000009</v>
      </c>
      <c r="I77" s="393">
        <v>226548</v>
      </c>
      <c r="J77" s="393">
        <v>133310</v>
      </c>
      <c r="K77" s="476">
        <f t="shared" si="4"/>
        <v>8196645.3920000009</v>
      </c>
      <c r="L77" s="1062"/>
      <c r="M77" s="145"/>
      <c r="N77" s="470"/>
      <c r="O77" s="470"/>
      <c r="P77" s="471"/>
      <c r="Q77" s="471"/>
      <c r="R77" s="471"/>
      <c r="T77" s="795"/>
      <c r="U77" s="795"/>
      <c r="V77" s="795"/>
      <c r="W77" s="795"/>
    </row>
    <row r="78" spans="2:24" ht="13.5" thickBot="1" x14ac:dyDescent="0.25">
      <c r="B78" s="1059"/>
      <c r="C78" s="558" t="s">
        <v>382</v>
      </c>
      <c r="D78" s="391" t="s">
        <v>427</v>
      </c>
      <c r="E78" s="391" t="s">
        <v>416</v>
      </c>
      <c r="F78" s="391" t="s">
        <v>73</v>
      </c>
      <c r="G78" s="393">
        <f>600219*12</f>
        <v>7202628</v>
      </c>
      <c r="H78" s="475">
        <f>+G78*(1+$L$7)</f>
        <v>7721217.216</v>
      </c>
      <c r="I78" s="393">
        <v>226548</v>
      </c>
      <c r="J78" s="393">
        <v>133310</v>
      </c>
      <c r="K78" s="476">
        <f t="shared" si="4"/>
        <v>8081075.216</v>
      </c>
      <c r="L78" s="1062"/>
      <c r="M78" s="145"/>
      <c r="N78" s="470"/>
      <c r="O78" s="470"/>
      <c r="P78" s="468"/>
      <c r="Q78" s="468"/>
      <c r="R78" s="468"/>
      <c r="S78" s="485"/>
      <c r="T78" s="485"/>
      <c r="U78" s="486"/>
      <c r="V78" s="486"/>
      <c r="W78" s="487"/>
      <c r="X78" s="487"/>
    </row>
    <row r="79" spans="2:24" ht="13.5" thickBot="1" x14ac:dyDescent="0.25">
      <c r="B79" s="1059"/>
      <c r="C79" s="558" t="s">
        <v>412</v>
      </c>
      <c r="D79" s="391" t="s">
        <v>428</v>
      </c>
      <c r="E79" s="391" t="s">
        <v>416</v>
      </c>
      <c r="F79" s="391" t="s">
        <v>73</v>
      </c>
      <c r="G79" s="393"/>
      <c r="H79" s="479">
        <f>646949*12</f>
        <v>7763388</v>
      </c>
      <c r="I79" s="478">
        <v>226548</v>
      </c>
      <c r="J79" s="393">
        <v>133310</v>
      </c>
      <c r="K79" s="476">
        <f t="shared" si="4"/>
        <v>8123246</v>
      </c>
      <c r="L79" s="1062"/>
      <c r="M79" s="145"/>
      <c r="N79" s="470"/>
      <c r="O79" s="470"/>
      <c r="P79" s="468"/>
      <c r="Q79" s="468"/>
      <c r="R79" s="468"/>
      <c r="S79" s="485"/>
      <c r="T79" s="485"/>
      <c r="U79" s="486"/>
      <c r="V79" s="486"/>
      <c r="W79" s="487"/>
      <c r="X79" s="487"/>
    </row>
    <row r="80" spans="2:24" ht="13.5" thickBot="1" x14ac:dyDescent="0.25">
      <c r="B80" s="1059"/>
      <c r="C80" s="558" t="s">
        <v>429</v>
      </c>
      <c r="D80" s="391" t="s">
        <v>430</v>
      </c>
      <c r="E80" s="391" t="s">
        <v>416</v>
      </c>
      <c r="F80" s="391" t="s">
        <v>73</v>
      </c>
      <c r="G80" s="393">
        <f>595727*12</f>
        <v>7148724</v>
      </c>
      <c r="H80" s="475">
        <f t="shared" ref="H80:H89" si="5">+G80*(1+$L$7)</f>
        <v>7663432.1280000005</v>
      </c>
      <c r="I80" s="393">
        <v>226548</v>
      </c>
      <c r="J80" s="393">
        <v>133310</v>
      </c>
      <c r="K80" s="476">
        <f t="shared" si="4"/>
        <v>8023290.1280000005</v>
      </c>
      <c r="L80" s="1062"/>
      <c r="M80" s="145"/>
      <c r="N80" s="470"/>
      <c r="O80" s="470"/>
      <c r="P80" s="468"/>
      <c r="Q80" s="468"/>
      <c r="R80" s="468"/>
      <c r="S80" s="485"/>
      <c r="T80" s="485"/>
      <c r="U80" s="486"/>
      <c r="V80" s="486"/>
      <c r="W80" s="487"/>
      <c r="X80" s="487"/>
    </row>
    <row r="81" spans="2:24" ht="13.5" thickBot="1" x14ac:dyDescent="0.25">
      <c r="B81" s="1059"/>
      <c r="C81" s="558" t="s">
        <v>431</v>
      </c>
      <c r="D81" s="391" t="s">
        <v>432</v>
      </c>
      <c r="E81" s="391" t="s">
        <v>416</v>
      </c>
      <c r="F81" s="391" t="s">
        <v>73</v>
      </c>
      <c r="G81" s="393"/>
      <c r="H81" s="479">
        <f>23080*12</f>
        <v>276960</v>
      </c>
      <c r="I81" s="478">
        <v>226548</v>
      </c>
      <c r="J81" s="393">
        <v>133310</v>
      </c>
      <c r="K81" s="476">
        <f t="shared" si="4"/>
        <v>636818</v>
      </c>
      <c r="L81" s="1062"/>
      <c r="M81" s="145" t="s">
        <v>823</v>
      </c>
      <c r="N81" s="470"/>
      <c r="O81" s="470"/>
      <c r="P81" s="468"/>
      <c r="Q81" s="468"/>
      <c r="R81" s="468"/>
      <c r="S81" s="485"/>
      <c r="T81" s="485"/>
      <c r="U81" s="486"/>
      <c r="V81" s="486"/>
      <c r="W81" s="487"/>
      <c r="X81" s="487"/>
    </row>
    <row r="82" spans="2:24" ht="13.5" thickBot="1" x14ac:dyDescent="0.25">
      <c r="B82" s="1059"/>
      <c r="C82" s="558" t="s">
        <v>433</v>
      </c>
      <c r="D82" s="391" t="s">
        <v>434</v>
      </c>
      <c r="E82" s="391" t="s">
        <v>365</v>
      </c>
      <c r="F82" s="391" t="s">
        <v>73</v>
      </c>
      <c r="G82" s="393">
        <f>701806*12</f>
        <v>8421672</v>
      </c>
      <c r="H82" s="475">
        <f t="shared" si="5"/>
        <v>9028032.3839999996</v>
      </c>
      <c r="I82" s="393">
        <v>226548</v>
      </c>
      <c r="J82" s="393">
        <v>133310</v>
      </c>
      <c r="K82" s="476">
        <f t="shared" si="4"/>
        <v>9387890.3839999996</v>
      </c>
      <c r="L82" s="1062"/>
      <c r="M82" s="145"/>
      <c r="N82" s="470"/>
      <c r="O82" s="470"/>
      <c r="P82" s="468"/>
      <c r="Q82" s="468"/>
      <c r="R82" s="468"/>
      <c r="S82" s="485"/>
      <c r="T82" s="485"/>
      <c r="U82" s="486"/>
      <c r="V82" s="486"/>
      <c r="W82" s="487"/>
      <c r="X82" s="487"/>
    </row>
    <row r="83" spans="2:24" ht="13.5" thickBot="1" x14ac:dyDescent="0.25">
      <c r="B83" s="1059"/>
      <c r="C83" s="558" t="s">
        <v>435</v>
      </c>
      <c r="D83" s="391" t="s">
        <v>426</v>
      </c>
      <c r="E83" s="391" t="s">
        <v>370</v>
      </c>
      <c r="F83" s="391" t="s">
        <v>73</v>
      </c>
      <c r="G83" s="393">
        <f>394375*12</f>
        <v>4732500</v>
      </c>
      <c r="H83" s="475">
        <f t="shared" si="5"/>
        <v>5073240</v>
      </c>
      <c r="I83" s="393">
        <v>226548</v>
      </c>
      <c r="J83" s="393">
        <v>133310</v>
      </c>
      <c r="K83" s="476">
        <f t="shared" si="4"/>
        <v>5433098</v>
      </c>
      <c r="L83" s="1062"/>
      <c r="M83" s="145"/>
      <c r="N83" s="470"/>
      <c r="O83" s="470"/>
      <c r="P83" s="468"/>
      <c r="Q83" s="468"/>
      <c r="R83" s="468"/>
      <c r="S83" s="485"/>
      <c r="T83" s="485"/>
      <c r="U83" s="486"/>
      <c r="V83" s="486"/>
      <c r="W83" s="487"/>
      <c r="X83" s="487"/>
    </row>
    <row r="84" spans="2:24" ht="13.5" thickBot="1" x14ac:dyDescent="0.25">
      <c r="B84" s="1059"/>
      <c r="C84" s="558"/>
      <c r="D84" s="391"/>
      <c r="E84" s="391"/>
      <c r="F84" s="391"/>
      <c r="G84" s="393">
        <v>0</v>
      </c>
      <c r="H84" s="475">
        <f t="shared" si="5"/>
        <v>0</v>
      </c>
      <c r="I84" s="393">
        <v>0</v>
      </c>
      <c r="J84" s="393">
        <v>0</v>
      </c>
      <c r="K84" s="476">
        <f t="shared" si="4"/>
        <v>0</v>
      </c>
      <c r="L84" s="1062"/>
      <c r="M84" s="145"/>
      <c r="N84" s="470"/>
      <c r="O84" s="470"/>
      <c r="P84" s="468"/>
      <c r="Q84" s="468"/>
      <c r="R84" s="468"/>
      <c r="S84" s="485"/>
      <c r="T84" s="485"/>
      <c r="U84" s="486"/>
      <c r="V84" s="486"/>
      <c r="W84" s="487"/>
      <c r="X84" s="487"/>
    </row>
    <row r="85" spans="2:24" ht="13.5" thickBot="1" x14ac:dyDescent="0.25">
      <c r="B85" s="1059"/>
      <c r="C85" s="558"/>
      <c r="D85" s="391"/>
      <c r="E85" s="391"/>
      <c r="F85" s="391"/>
      <c r="G85" s="393">
        <v>0</v>
      </c>
      <c r="H85" s="475">
        <f t="shared" si="5"/>
        <v>0</v>
      </c>
      <c r="I85" s="393">
        <v>0</v>
      </c>
      <c r="J85" s="393">
        <v>0</v>
      </c>
      <c r="K85" s="476">
        <f t="shared" si="4"/>
        <v>0</v>
      </c>
      <c r="L85" s="1062"/>
      <c r="M85" s="145"/>
      <c r="N85" s="470"/>
      <c r="O85" s="470"/>
      <c r="P85" s="468"/>
      <c r="Q85" s="468"/>
      <c r="R85" s="468"/>
      <c r="S85" s="485"/>
      <c r="T85" s="485"/>
      <c r="U85" s="486"/>
      <c r="V85" s="486"/>
      <c r="W85" s="487"/>
      <c r="X85" s="487"/>
    </row>
    <row r="86" spans="2:24" ht="13.5" thickBot="1" x14ac:dyDescent="0.25">
      <c r="B86" s="1059"/>
      <c r="C86" s="558"/>
      <c r="D86" s="391"/>
      <c r="E86" s="391"/>
      <c r="F86" s="391"/>
      <c r="G86" s="393">
        <v>0</v>
      </c>
      <c r="H86" s="475">
        <f t="shared" si="5"/>
        <v>0</v>
      </c>
      <c r="I86" s="393">
        <v>0</v>
      </c>
      <c r="J86" s="393">
        <v>0</v>
      </c>
      <c r="K86" s="476">
        <f t="shared" si="4"/>
        <v>0</v>
      </c>
      <c r="L86" s="1062"/>
      <c r="M86" s="145"/>
      <c r="N86" s="470"/>
      <c r="O86" s="470"/>
      <c r="P86" s="468"/>
      <c r="Q86" s="468"/>
      <c r="R86" s="468"/>
      <c r="S86" s="485"/>
      <c r="T86" s="485"/>
      <c r="U86" s="486"/>
      <c r="V86" s="486"/>
      <c r="W86" s="487"/>
      <c r="X86" s="487"/>
    </row>
    <row r="87" spans="2:24" ht="13.5" thickBot="1" x14ac:dyDescent="0.25">
      <c r="B87" s="1059"/>
      <c r="C87" s="558" t="s">
        <v>379</v>
      </c>
      <c r="D87" s="391" t="s">
        <v>380</v>
      </c>
      <c r="E87" s="391" t="s">
        <v>378</v>
      </c>
      <c r="F87" s="391" t="s">
        <v>73</v>
      </c>
      <c r="G87" s="393">
        <v>0</v>
      </c>
      <c r="H87" s="475">
        <f t="shared" si="5"/>
        <v>0</v>
      </c>
      <c r="I87" s="393">
        <v>0</v>
      </c>
      <c r="J87" s="393">
        <v>0</v>
      </c>
      <c r="K87" s="476">
        <f t="shared" si="4"/>
        <v>0</v>
      </c>
      <c r="L87" s="1062"/>
      <c r="M87" s="145"/>
      <c r="N87" s="470"/>
      <c r="O87" s="470"/>
      <c r="P87" s="468"/>
      <c r="Q87" s="468"/>
      <c r="R87" s="468"/>
      <c r="S87" s="485"/>
      <c r="T87" s="485"/>
      <c r="U87" s="486"/>
      <c r="V87" s="486"/>
      <c r="W87" s="487"/>
      <c r="X87" s="487"/>
    </row>
    <row r="88" spans="2:24" ht="13.5" thickBot="1" x14ac:dyDescent="0.25">
      <c r="B88" s="1059"/>
      <c r="C88" s="558" t="s">
        <v>438</v>
      </c>
      <c r="D88" s="391" t="s">
        <v>439</v>
      </c>
      <c r="E88" s="391" t="s">
        <v>440</v>
      </c>
      <c r="F88" s="391" t="s">
        <v>73</v>
      </c>
      <c r="G88" s="393">
        <v>0</v>
      </c>
      <c r="H88" s="475">
        <f t="shared" si="5"/>
        <v>0</v>
      </c>
      <c r="I88" s="393">
        <v>0</v>
      </c>
      <c r="J88" s="393">
        <v>0</v>
      </c>
      <c r="K88" s="476">
        <f t="shared" si="4"/>
        <v>0</v>
      </c>
      <c r="L88" s="1062"/>
      <c r="M88" s="145"/>
      <c r="N88" s="470"/>
      <c r="O88" s="470"/>
      <c r="P88" s="468"/>
      <c r="Q88" s="468"/>
      <c r="R88" s="468"/>
      <c r="S88" s="485"/>
      <c r="T88" s="485"/>
      <c r="U88" s="486"/>
      <c r="V88" s="486"/>
      <c r="W88" s="487"/>
      <c r="X88" s="487"/>
    </row>
    <row r="89" spans="2:24" ht="13.5" thickBot="1" x14ac:dyDescent="0.25">
      <c r="B89" s="1059"/>
      <c r="C89" s="550"/>
      <c r="D89" s="480"/>
      <c r="E89" s="480"/>
      <c r="F89" s="480"/>
      <c r="G89" s="401">
        <v>0</v>
      </c>
      <c r="H89" s="171">
        <f t="shared" si="5"/>
        <v>0</v>
      </c>
      <c r="I89" s="401">
        <v>0</v>
      </c>
      <c r="J89" s="401">
        <v>0</v>
      </c>
      <c r="K89" s="481">
        <f t="shared" si="4"/>
        <v>0</v>
      </c>
      <c r="L89" s="1063"/>
      <c r="M89" s="145"/>
      <c r="N89" s="470"/>
      <c r="O89" s="470"/>
      <c r="P89" s="468"/>
      <c r="Q89" s="468"/>
      <c r="R89" s="468"/>
      <c r="S89" s="485"/>
      <c r="T89" s="485"/>
      <c r="U89" s="486"/>
      <c r="V89" s="486"/>
      <c r="W89" s="487"/>
      <c r="X89" s="487"/>
    </row>
    <row r="90" spans="2:24" ht="13.5" thickBot="1" x14ac:dyDescent="0.25">
      <c r="B90" s="1059" t="str">
        <f>+'A) Resumen Ingresos y Egresos'!A14</f>
        <v>Sala Cuna Caracolito de Mar Nocturna</v>
      </c>
      <c r="C90" s="760"/>
      <c r="D90" s="500"/>
      <c r="E90" s="500"/>
      <c r="F90" s="500"/>
      <c r="G90" s="501"/>
      <c r="H90" s="502"/>
      <c r="I90" s="501"/>
      <c r="J90" s="501"/>
      <c r="K90" s="503"/>
      <c r="L90" s="1067"/>
      <c r="M90" s="145"/>
      <c r="N90" s="470"/>
      <c r="O90" s="470"/>
      <c r="P90" s="468"/>
      <c r="Q90" s="468"/>
      <c r="R90" s="468"/>
      <c r="S90" s="485"/>
      <c r="T90" s="485"/>
      <c r="U90" s="486"/>
      <c r="V90" s="486"/>
      <c r="W90" s="487"/>
      <c r="X90" s="487"/>
    </row>
    <row r="91" spans="2:24" ht="12.75" customHeight="1" thickBot="1" x14ac:dyDescent="0.25">
      <c r="B91" s="1059"/>
      <c r="C91" s="761"/>
      <c r="D91" s="492"/>
      <c r="E91" s="492"/>
      <c r="F91" s="492"/>
      <c r="G91" s="493"/>
      <c r="H91" s="504"/>
      <c r="I91" s="493"/>
      <c r="J91" s="493"/>
      <c r="K91" s="495"/>
      <c r="L91" s="1067"/>
      <c r="M91" s="145"/>
      <c r="N91" s="470"/>
      <c r="O91" s="470"/>
      <c r="P91" s="470"/>
      <c r="Q91" s="470"/>
      <c r="R91" s="470"/>
      <c r="S91" s="485"/>
      <c r="T91" s="485"/>
      <c r="U91" s="486"/>
      <c r="V91" s="486"/>
      <c r="W91" s="487"/>
      <c r="X91" s="487"/>
    </row>
    <row r="92" spans="2:24" ht="12.75" customHeight="1" thickBot="1" x14ac:dyDescent="0.25">
      <c r="B92" s="1059"/>
      <c r="C92" s="761"/>
      <c r="D92" s="492"/>
      <c r="E92" s="492"/>
      <c r="F92" s="492"/>
      <c r="G92" s="493"/>
      <c r="H92" s="504"/>
      <c r="I92" s="493"/>
      <c r="J92" s="493"/>
      <c r="K92" s="495"/>
      <c r="L92" s="1067"/>
      <c r="M92" s="145"/>
      <c r="N92" s="470"/>
      <c r="O92" s="470"/>
      <c r="P92" s="471"/>
      <c r="Q92" s="471"/>
      <c r="R92" s="471"/>
      <c r="T92" s="795"/>
      <c r="U92" s="795"/>
      <c r="V92" s="795"/>
      <c r="W92" s="795"/>
    </row>
    <row r="93" spans="2:24" ht="12.75" customHeight="1" thickBot="1" x14ac:dyDescent="0.25">
      <c r="B93" s="1059"/>
      <c r="C93" s="761"/>
      <c r="D93" s="492"/>
      <c r="E93" s="492"/>
      <c r="F93" s="492"/>
      <c r="G93" s="493"/>
      <c r="H93" s="504"/>
      <c r="I93" s="493"/>
      <c r="J93" s="493"/>
      <c r="K93" s="495"/>
      <c r="L93" s="1067"/>
      <c r="M93" s="145"/>
      <c r="N93" s="470"/>
      <c r="O93" s="470"/>
      <c r="P93" s="468"/>
      <c r="Q93" s="468"/>
      <c r="R93" s="468"/>
      <c r="S93" s="485"/>
      <c r="T93" s="485"/>
      <c r="U93" s="486"/>
      <c r="V93" s="486"/>
      <c r="W93" s="487"/>
      <c r="X93" s="487"/>
    </row>
    <row r="94" spans="2:24" ht="12.75" customHeight="1" thickBot="1" x14ac:dyDescent="0.25">
      <c r="B94" s="1059"/>
      <c r="C94" s="761"/>
      <c r="D94" s="492"/>
      <c r="E94" s="492"/>
      <c r="F94" s="492"/>
      <c r="G94" s="493"/>
      <c r="H94" s="504"/>
      <c r="I94" s="493"/>
      <c r="J94" s="493"/>
      <c r="K94" s="495"/>
      <c r="L94" s="1067"/>
      <c r="M94" s="145"/>
      <c r="N94" s="470"/>
      <c r="O94" s="470"/>
      <c r="P94" s="468"/>
      <c r="Q94" s="468"/>
      <c r="R94" s="468"/>
      <c r="S94" s="485"/>
      <c r="T94" s="485"/>
      <c r="U94" s="486"/>
      <c r="V94" s="486"/>
      <c r="W94" s="487"/>
      <c r="X94" s="487"/>
    </row>
    <row r="95" spans="2:24" ht="12.75" customHeight="1" thickBot="1" x14ac:dyDescent="0.25">
      <c r="B95" s="1059"/>
      <c r="C95" s="761"/>
      <c r="D95" s="492"/>
      <c r="E95" s="492"/>
      <c r="F95" s="492"/>
      <c r="G95" s="493"/>
      <c r="H95" s="504"/>
      <c r="I95" s="493"/>
      <c r="J95" s="493"/>
      <c r="K95" s="495"/>
      <c r="L95" s="1067"/>
      <c r="M95" s="145"/>
      <c r="N95" s="470"/>
      <c r="O95" s="470"/>
      <c r="P95" s="468"/>
      <c r="Q95" s="468"/>
      <c r="R95" s="468"/>
      <c r="S95" s="485"/>
      <c r="T95" s="485"/>
      <c r="U95" s="486"/>
      <c r="V95" s="486"/>
      <c r="W95" s="487"/>
      <c r="X95" s="487"/>
    </row>
    <row r="96" spans="2:24" ht="12.75" customHeight="1" thickBot="1" x14ac:dyDescent="0.25">
      <c r="B96" s="1059"/>
      <c r="C96" s="761"/>
      <c r="D96" s="492"/>
      <c r="E96" s="492"/>
      <c r="F96" s="492"/>
      <c r="G96" s="493"/>
      <c r="H96" s="504"/>
      <c r="I96" s="493"/>
      <c r="J96" s="493"/>
      <c r="K96" s="495"/>
      <c r="L96" s="1067"/>
      <c r="M96" s="145"/>
      <c r="N96" s="470"/>
      <c r="O96" s="470"/>
      <c r="P96" s="468"/>
      <c r="Q96" s="468"/>
      <c r="R96" s="468"/>
      <c r="S96" s="485"/>
      <c r="T96" s="485"/>
      <c r="U96" s="486"/>
      <c r="V96" s="486"/>
      <c r="W96" s="487"/>
      <c r="X96" s="487"/>
    </row>
    <row r="97" spans="2:24" ht="12.75" customHeight="1" thickBot="1" x14ac:dyDescent="0.25">
      <c r="B97" s="1059"/>
      <c r="C97" s="761"/>
      <c r="D97" s="492"/>
      <c r="E97" s="492"/>
      <c r="F97" s="492"/>
      <c r="G97" s="493"/>
      <c r="H97" s="504"/>
      <c r="I97" s="493"/>
      <c r="J97" s="493"/>
      <c r="K97" s="495"/>
      <c r="L97" s="1067"/>
      <c r="M97" s="145"/>
      <c r="N97" s="470"/>
      <c r="O97" s="470"/>
      <c r="P97" s="468"/>
      <c r="Q97" s="468"/>
      <c r="R97" s="468"/>
      <c r="S97" s="485"/>
      <c r="T97" s="485"/>
      <c r="U97" s="486"/>
      <c r="V97" s="486"/>
      <c r="W97" s="487"/>
      <c r="X97" s="487"/>
    </row>
    <row r="98" spans="2:24" ht="13.5" thickBot="1" x14ac:dyDescent="0.25">
      <c r="B98" s="1059"/>
      <c r="C98" s="761"/>
      <c r="D98" s="492"/>
      <c r="E98" s="492"/>
      <c r="F98" s="492"/>
      <c r="G98" s="493"/>
      <c r="H98" s="504"/>
      <c r="I98" s="493"/>
      <c r="J98" s="493"/>
      <c r="K98" s="495"/>
      <c r="L98" s="1067"/>
      <c r="M98" s="145"/>
      <c r="N98" s="470"/>
      <c r="O98" s="470"/>
      <c r="P98" s="468"/>
      <c r="Q98" s="468"/>
      <c r="R98" s="468"/>
      <c r="S98" s="485"/>
      <c r="T98" s="485"/>
      <c r="U98" s="486"/>
      <c r="V98" s="486"/>
      <c r="W98" s="487"/>
      <c r="X98" s="487"/>
    </row>
    <row r="99" spans="2:24" ht="12.75" customHeight="1" thickBot="1" x14ac:dyDescent="0.25">
      <c r="B99" s="1059"/>
      <c r="C99" s="761"/>
      <c r="D99" s="492"/>
      <c r="E99" s="492"/>
      <c r="F99" s="492"/>
      <c r="G99" s="493"/>
      <c r="H99" s="504"/>
      <c r="I99" s="493"/>
      <c r="J99" s="493"/>
      <c r="K99" s="495"/>
      <c r="L99" s="1067"/>
      <c r="M99" s="145"/>
      <c r="N99" s="470"/>
      <c r="O99" s="470"/>
      <c r="P99" s="468"/>
      <c r="Q99" s="468"/>
      <c r="R99" s="468"/>
      <c r="S99" s="485"/>
      <c r="T99" s="485"/>
      <c r="U99" s="486"/>
      <c r="V99" s="486"/>
      <c r="W99" s="487"/>
      <c r="X99" s="487"/>
    </row>
    <row r="100" spans="2:24" ht="12.75" customHeight="1" thickBot="1" x14ac:dyDescent="0.25">
      <c r="B100" s="1059"/>
      <c r="C100" s="761"/>
      <c r="D100" s="492"/>
      <c r="E100" s="492"/>
      <c r="F100" s="492"/>
      <c r="G100" s="493"/>
      <c r="H100" s="504"/>
      <c r="I100" s="493"/>
      <c r="J100" s="493"/>
      <c r="K100" s="495"/>
      <c r="L100" s="1067"/>
      <c r="M100" s="145"/>
      <c r="N100" s="470"/>
      <c r="O100" s="470"/>
      <c r="P100" s="468"/>
      <c r="Q100" s="468"/>
      <c r="R100" s="468"/>
      <c r="S100" s="485"/>
      <c r="T100" s="485"/>
      <c r="U100" s="486"/>
      <c r="V100" s="486"/>
      <c r="W100" s="487"/>
      <c r="X100" s="487"/>
    </row>
    <row r="101" spans="2:24" ht="13.5" customHeight="1" thickBot="1" x14ac:dyDescent="0.25">
      <c r="B101" s="1059"/>
      <c r="C101" s="761"/>
      <c r="D101" s="492"/>
      <c r="E101" s="492"/>
      <c r="F101" s="492"/>
      <c r="G101" s="493"/>
      <c r="H101" s="504"/>
      <c r="I101" s="493"/>
      <c r="J101" s="493"/>
      <c r="K101" s="495"/>
      <c r="L101" s="1067"/>
      <c r="M101" s="145"/>
      <c r="N101" s="470"/>
      <c r="O101" s="470"/>
      <c r="P101" s="468"/>
      <c r="Q101" s="468"/>
      <c r="R101" s="468"/>
      <c r="S101" s="485"/>
      <c r="T101" s="485"/>
      <c r="U101" s="486"/>
      <c r="V101" s="486"/>
      <c r="W101" s="487"/>
      <c r="X101" s="487"/>
    </row>
    <row r="102" spans="2:24" ht="12.75" customHeight="1" thickBot="1" x14ac:dyDescent="0.25">
      <c r="B102" s="1059"/>
      <c r="C102" s="761"/>
      <c r="D102" s="492"/>
      <c r="E102" s="492"/>
      <c r="F102" s="492"/>
      <c r="G102" s="493"/>
      <c r="H102" s="504"/>
      <c r="I102" s="493"/>
      <c r="J102" s="493"/>
      <c r="K102" s="495"/>
      <c r="L102" s="1067"/>
      <c r="M102" s="145"/>
      <c r="N102" s="470"/>
      <c r="O102" s="470"/>
      <c r="P102" s="468"/>
      <c r="Q102" s="468"/>
      <c r="R102" s="468"/>
      <c r="S102" s="485"/>
      <c r="T102" s="485"/>
      <c r="U102" s="486"/>
      <c r="V102" s="486"/>
      <c r="W102" s="487"/>
      <c r="X102" s="487"/>
    </row>
    <row r="103" spans="2:24" ht="13.5" customHeight="1" thickBot="1" x14ac:dyDescent="0.25">
      <c r="B103" s="1059"/>
      <c r="C103" s="761"/>
      <c r="D103" s="492"/>
      <c r="E103" s="492"/>
      <c r="F103" s="492"/>
      <c r="G103" s="493"/>
      <c r="H103" s="504"/>
      <c r="I103" s="493"/>
      <c r="J103" s="493"/>
      <c r="K103" s="495"/>
      <c r="L103" s="1067"/>
      <c r="M103" s="145"/>
      <c r="N103" s="470"/>
      <c r="O103" s="470"/>
      <c r="P103" s="468"/>
      <c r="Q103" s="468"/>
      <c r="R103" s="468"/>
      <c r="S103" s="485"/>
      <c r="T103" s="485"/>
      <c r="U103" s="486"/>
      <c r="V103" s="486"/>
      <c r="W103" s="487"/>
      <c r="X103" s="487"/>
    </row>
    <row r="104" spans="2:24" ht="13.5" customHeight="1" thickBot="1" x14ac:dyDescent="0.25">
      <c r="B104" s="1059"/>
      <c r="C104" s="762"/>
      <c r="D104" s="496"/>
      <c r="E104" s="496"/>
      <c r="F104" s="496"/>
      <c r="G104" s="497"/>
      <c r="H104" s="505"/>
      <c r="I104" s="497"/>
      <c r="J104" s="497"/>
      <c r="K104" s="499"/>
      <c r="L104" s="1067"/>
      <c r="M104" s="145"/>
      <c r="N104" s="470"/>
      <c r="O104" s="470"/>
      <c r="P104" s="468"/>
      <c r="Q104" s="468"/>
      <c r="R104" s="468"/>
      <c r="S104" s="485"/>
      <c r="T104" s="485"/>
      <c r="U104" s="486"/>
      <c r="V104" s="486"/>
      <c r="W104" s="487"/>
      <c r="X104" s="487"/>
    </row>
    <row r="105" spans="2:24" ht="13.5" thickBot="1" x14ac:dyDescent="0.25">
      <c r="B105" s="1059" t="str">
        <f>+'A) Resumen Ingresos y Egresos'!A15</f>
        <v>Sala Cuna Mar Azul Diurna</v>
      </c>
      <c r="C105" s="777" t="s">
        <v>835</v>
      </c>
      <c r="D105" s="778"/>
      <c r="E105" s="778" t="s">
        <v>443</v>
      </c>
      <c r="F105" s="778" t="s">
        <v>77</v>
      </c>
      <c r="G105" s="773"/>
      <c r="H105" s="772">
        <f>749747*10</f>
        <v>7497470</v>
      </c>
      <c r="I105" s="478">
        <v>226548</v>
      </c>
      <c r="J105" s="773">
        <v>0</v>
      </c>
      <c r="K105" s="779">
        <f>SUM(H105:J105)</f>
        <v>7724018</v>
      </c>
      <c r="L105" s="1060">
        <f>SUM(K105:K125)</f>
        <v>116780586.78399999</v>
      </c>
      <c r="M105" s="145"/>
      <c r="N105" s="470"/>
      <c r="O105" s="470"/>
      <c r="P105" s="468"/>
      <c r="Q105" s="468"/>
      <c r="R105" s="468"/>
      <c r="S105" s="485"/>
      <c r="T105" s="485"/>
      <c r="U105" s="486"/>
      <c r="V105" s="486"/>
      <c r="W105" s="487"/>
      <c r="X105" s="487"/>
    </row>
    <row r="106" spans="2:24" ht="13.5" thickBot="1" x14ac:dyDescent="0.25">
      <c r="B106" s="1059"/>
      <c r="C106" s="558" t="s">
        <v>444</v>
      </c>
      <c r="D106" s="391" t="s">
        <v>816</v>
      </c>
      <c r="E106" s="391" t="s">
        <v>443</v>
      </c>
      <c r="F106" s="391" t="s">
        <v>77</v>
      </c>
      <c r="G106" s="393">
        <v>0</v>
      </c>
      <c r="H106" s="479">
        <f>854743*10</f>
        <v>8547430</v>
      </c>
      <c r="I106" s="393">
        <v>226548</v>
      </c>
      <c r="J106" s="393">
        <v>133310</v>
      </c>
      <c r="K106" s="476">
        <f t="shared" ref="K106:K140" si="6">SUM(H106:J106)</f>
        <v>8907288</v>
      </c>
      <c r="L106" s="1060"/>
      <c r="M106" s="145"/>
      <c r="N106" s="470"/>
      <c r="O106" s="470"/>
      <c r="P106" s="468"/>
      <c r="Q106" s="468"/>
      <c r="R106" s="468"/>
      <c r="S106" s="485"/>
      <c r="T106" s="485"/>
      <c r="U106" s="486"/>
      <c r="V106" s="486"/>
      <c r="W106" s="487"/>
      <c r="X106" s="487"/>
    </row>
    <row r="107" spans="2:24" ht="13.5" thickBot="1" x14ac:dyDescent="0.25">
      <c r="B107" s="1059"/>
      <c r="C107" s="558" t="s">
        <v>356</v>
      </c>
      <c r="D107" s="391" t="s">
        <v>445</v>
      </c>
      <c r="E107" s="391" t="s">
        <v>416</v>
      </c>
      <c r="F107" s="391" t="s">
        <v>77</v>
      </c>
      <c r="G107" s="393">
        <f>609202*12</f>
        <v>7310424</v>
      </c>
      <c r="H107" s="475">
        <f t="shared" ref="H107:H140" si="7">+G107*(1+$L$7)</f>
        <v>7836774.5280000009</v>
      </c>
      <c r="I107" s="393">
        <v>226548</v>
      </c>
      <c r="J107" s="393">
        <v>133310</v>
      </c>
      <c r="K107" s="476">
        <f t="shared" si="6"/>
        <v>8196632.5280000009</v>
      </c>
      <c r="L107" s="1060"/>
      <c r="M107" s="145"/>
      <c r="N107" s="470"/>
      <c r="O107" s="470"/>
      <c r="P107" s="468"/>
      <c r="Q107" s="468"/>
      <c r="R107" s="468"/>
      <c r="S107" s="485"/>
      <c r="T107" s="485"/>
      <c r="U107" s="486"/>
      <c r="V107" s="486"/>
      <c r="W107" s="487"/>
      <c r="X107" s="487"/>
    </row>
    <row r="108" spans="2:24" ht="13.5" thickBot="1" x14ac:dyDescent="0.25">
      <c r="B108" s="1059"/>
      <c r="C108" s="558" t="s">
        <v>446</v>
      </c>
      <c r="D108" s="391" t="s">
        <v>447</v>
      </c>
      <c r="E108" s="391" t="s">
        <v>416</v>
      </c>
      <c r="F108" s="391" t="s">
        <v>77</v>
      </c>
      <c r="G108" s="393">
        <f>595727*12</f>
        <v>7148724</v>
      </c>
      <c r="H108" s="475">
        <f t="shared" si="7"/>
        <v>7663432.1280000005</v>
      </c>
      <c r="I108" s="393">
        <v>226548</v>
      </c>
      <c r="J108" s="393">
        <v>133310</v>
      </c>
      <c r="K108" s="476">
        <f t="shared" si="6"/>
        <v>8023290.1280000005</v>
      </c>
      <c r="L108" s="1060"/>
      <c r="M108" s="145"/>
      <c r="N108" s="470"/>
      <c r="O108" s="470"/>
      <c r="P108" s="468"/>
      <c r="Q108" s="468"/>
      <c r="R108" s="468"/>
      <c r="S108" s="485"/>
      <c r="T108" s="485"/>
      <c r="U108" s="486"/>
      <c r="V108" s="486"/>
      <c r="W108" s="487"/>
      <c r="X108" s="487"/>
    </row>
    <row r="109" spans="2:24" ht="13.5" thickBot="1" x14ac:dyDescent="0.25">
      <c r="B109" s="1059"/>
      <c r="C109" s="558" t="s">
        <v>448</v>
      </c>
      <c r="D109" s="391" t="s">
        <v>449</v>
      </c>
      <c r="E109" s="391" t="s">
        <v>416</v>
      </c>
      <c r="F109" s="391" t="s">
        <v>77</v>
      </c>
      <c r="G109" s="393">
        <f>599105*12</f>
        <v>7189260</v>
      </c>
      <c r="H109" s="475">
        <f t="shared" si="7"/>
        <v>7706886.7200000007</v>
      </c>
      <c r="I109" s="393">
        <v>226548</v>
      </c>
      <c r="J109" s="393">
        <v>133310</v>
      </c>
      <c r="K109" s="476">
        <f t="shared" si="6"/>
        <v>8066744.7200000007</v>
      </c>
      <c r="L109" s="1060"/>
      <c r="M109" s="145"/>
      <c r="N109" s="470"/>
      <c r="O109" s="470"/>
      <c r="P109" s="468"/>
      <c r="Q109" s="468"/>
      <c r="R109" s="468"/>
      <c r="S109" s="485"/>
      <c r="T109" s="485"/>
      <c r="U109" s="486"/>
      <c r="V109" s="486"/>
      <c r="W109" s="487"/>
      <c r="X109" s="487"/>
    </row>
    <row r="110" spans="2:24" ht="13.5" thickBot="1" x14ac:dyDescent="0.25">
      <c r="B110" s="1059"/>
      <c r="C110" s="558" t="s">
        <v>812</v>
      </c>
      <c r="D110" s="391" t="s">
        <v>415</v>
      </c>
      <c r="E110" s="391" t="s">
        <v>349</v>
      </c>
      <c r="F110" s="391" t="s">
        <v>77</v>
      </c>
      <c r="G110" s="393">
        <f>600219*12</f>
        <v>7202628</v>
      </c>
      <c r="H110" s="475">
        <f t="shared" si="7"/>
        <v>7721217.216</v>
      </c>
      <c r="I110" s="393">
        <v>226548</v>
      </c>
      <c r="J110" s="393">
        <v>133310</v>
      </c>
      <c r="K110" s="476">
        <f t="shared" si="6"/>
        <v>8081075.216</v>
      </c>
      <c r="L110" s="1060"/>
      <c r="M110" s="145"/>
      <c r="N110" s="470"/>
      <c r="O110" s="470"/>
      <c r="P110" s="468"/>
      <c r="Q110" s="468"/>
      <c r="R110" s="468"/>
      <c r="S110" s="485"/>
      <c r="T110" s="485"/>
      <c r="U110" s="486"/>
      <c r="V110" s="486"/>
      <c r="W110" s="487"/>
      <c r="X110" s="487"/>
    </row>
    <row r="111" spans="2:24" ht="13.5" thickBot="1" x14ac:dyDescent="0.25">
      <c r="B111" s="1059"/>
      <c r="C111" s="558" t="s">
        <v>450</v>
      </c>
      <c r="D111" s="391" t="s">
        <v>451</v>
      </c>
      <c r="E111" s="391" t="s">
        <v>416</v>
      </c>
      <c r="F111" s="391" t="s">
        <v>77</v>
      </c>
      <c r="G111" s="393">
        <f>595727*12</f>
        <v>7148724</v>
      </c>
      <c r="H111" s="475">
        <f t="shared" si="7"/>
        <v>7663432.1280000005</v>
      </c>
      <c r="I111" s="393">
        <v>226548</v>
      </c>
      <c r="J111" s="393">
        <v>133310</v>
      </c>
      <c r="K111" s="476">
        <f t="shared" si="6"/>
        <v>8023290.1280000005</v>
      </c>
      <c r="L111" s="1060"/>
      <c r="M111" s="145"/>
      <c r="N111" s="470"/>
      <c r="O111" s="470"/>
      <c r="P111" s="468"/>
      <c r="Q111" s="468"/>
      <c r="R111" s="468"/>
      <c r="S111" s="485"/>
      <c r="T111" s="485"/>
      <c r="U111" s="486"/>
      <c r="V111" s="486"/>
      <c r="W111" s="487"/>
      <c r="X111" s="487"/>
    </row>
    <row r="112" spans="2:24" ht="13.5" thickBot="1" x14ac:dyDescent="0.25">
      <c r="B112" s="1059"/>
      <c r="C112" s="558" t="s">
        <v>350</v>
      </c>
      <c r="D112" s="391" t="s">
        <v>398</v>
      </c>
      <c r="E112" s="391" t="s">
        <v>416</v>
      </c>
      <c r="F112" s="391" t="s">
        <v>77</v>
      </c>
      <c r="G112" s="393"/>
      <c r="H112" s="479">
        <f>601992*12</f>
        <v>7223904</v>
      </c>
      <c r="I112" s="393">
        <v>226548</v>
      </c>
      <c r="J112" s="478">
        <v>133310</v>
      </c>
      <c r="K112" s="476">
        <f t="shared" si="6"/>
        <v>7583762</v>
      </c>
      <c r="L112" s="1060"/>
      <c r="M112" s="145"/>
      <c r="N112" s="470"/>
      <c r="O112" s="470"/>
      <c r="P112" s="468"/>
      <c r="Q112" s="468"/>
      <c r="R112" s="468"/>
      <c r="S112" s="485"/>
      <c r="T112" s="485"/>
      <c r="U112" s="486"/>
      <c r="V112" s="486"/>
      <c r="W112" s="487"/>
      <c r="X112" s="487"/>
    </row>
    <row r="113" spans="2:24" ht="13.5" thickBot="1" x14ac:dyDescent="0.25">
      <c r="B113" s="1059"/>
      <c r="C113" s="558" t="s">
        <v>452</v>
      </c>
      <c r="D113" s="391" t="s">
        <v>453</v>
      </c>
      <c r="E113" s="391" t="s">
        <v>416</v>
      </c>
      <c r="F113" s="391" t="s">
        <v>77</v>
      </c>
      <c r="G113" s="393">
        <f>600219*12</f>
        <v>7202628</v>
      </c>
      <c r="H113" s="475">
        <f t="shared" si="7"/>
        <v>7721217.216</v>
      </c>
      <c r="I113" s="393">
        <v>226548</v>
      </c>
      <c r="J113" s="393">
        <v>133310</v>
      </c>
      <c r="K113" s="476">
        <f t="shared" si="6"/>
        <v>8081075.216</v>
      </c>
      <c r="L113" s="1060"/>
      <c r="M113" s="767"/>
      <c r="N113" s="768"/>
      <c r="O113" s="470"/>
      <c r="P113" s="468"/>
      <c r="Q113" s="468"/>
      <c r="R113" s="468"/>
      <c r="S113" s="485"/>
      <c r="T113" s="485"/>
      <c r="U113" s="486"/>
      <c r="V113" s="486"/>
      <c r="W113" s="487"/>
      <c r="X113" s="487"/>
    </row>
    <row r="114" spans="2:24" ht="13.5" thickBot="1" x14ac:dyDescent="0.25">
      <c r="B114" s="1059"/>
      <c r="C114" s="558" t="s">
        <v>454</v>
      </c>
      <c r="D114" s="391" t="s">
        <v>455</v>
      </c>
      <c r="E114" s="391" t="s">
        <v>416</v>
      </c>
      <c r="F114" s="391" t="s">
        <v>77</v>
      </c>
      <c r="G114" s="393">
        <f>572176*12</f>
        <v>6866112</v>
      </c>
      <c r="H114" s="475">
        <f t="shared" si="7"/>
        <v>7360472.0640000002</v>
      </c>
      <c r="I114" s="393">
        <v>226548</v>
      </c>
      <c r="J114" s="393">
        <v>133310</v>
      </c>
      <c r="K114" s="476">
        <f t="shared" si="6"/>
        <v>7720330.0640000002</v>
      </c>
      <c r="L114" s="1060"/>
      <c r="M114" s="767"/>
      <c r="N114" s="768"/>
      <c r="O114" s="470"/>
      <c r="P114" s="468"/>
      <c r="Q114" s="468"/>
      <c r="R114" s="468"/>
      <c r="S114" s="485"/>
      <c r="T114" s="485"/>
      <c r="U114" s="486"/>
      <c r="V114" s="486"/>
      <c r="W114" s="487"/>
      <c r="X114" s="487"/>
    </row>
    <row r="115" spans="2:24" ht="13.5" thickBot="1" x14ac:dyDescent="0.25">
      <c r="B115" s="1059"/>
      <c r="C115" s="558" t="s">
        <v>818</v>
      </c>
      <c r="D115" s="391" t="s">
        <v>434</v>
      </c>
      <c r="E115" s="391" t="s">
        <v>416</v>
      </c>
      <c r="F115" s="391" t="s">
        <v>77</v>
      </c>
      <c r="G115" s="393"/>
      <c r="H115" s="479">
        <f>H112</f>
        <v>7223904</v>
      </c>
      <c r="I115" s="393">
        <v>226548</v>
      </c>
      <c r="J115" s="478">
        <v>133310</v>
      </c>
      <c r="K115" s="476">
        <f t="shared" si="6"/>
        <v>7583762</v>
      </c>
      <c r="L115" s="1060"/>
      <c r="M115" s="145"/>
      <c r="N115" s="470"/>
      <c r="O115" s="470"/>
      <c r="P115" s="468"/>
      <c r="Q115" s="468"/>
      <c r="R115" s="468"/>
      <c r="S115" s="485"/>
      <c r="T115" s="485"/>
      <c r="U115" s="486"/>
      <c r="V115" s="486"/>
      <c r="W115" s="487"/>
      <c r="X115" s="487"/>
    </row>
    <row r="116" spans="2:24" ht="13.5" thickBot="1" x14ac:dyDescent="0.25">
      <c r="B116" s="1059"/>
      <c r="C116" s="759" t="s">
        <v>824</v>
      </c>
      <c r="D116" s="477" t="s">
        <v>825</v>
      </c>
      <c r="E116" s="477" t="s">
        <v>416</v>
      </c>
      <c r="F116" s="477" t="s">
        <v>77</v>
      </c>
      <c r="G116" s="478">
        <f>80000*9</f>
        <v>720000</v>
      </c>
      <c r="H116" s="475">
        <f t="shared" si="7"/>
        <v>771840</v>
      </c>
      <c r="I116" s="393">
        <v>226548</v>
      </c>
      <c r="J116" s="393"/>
      <c r="K116" s="476">
        <f t="shared" si="6"/>
        <v>998388</v>
      </c>
      <c r="L116" s="1060"/>
      <c r="M116" s="145"/>
      <c r="N116" s="470"/>
      <c r="O116" s="470"/>
      <c r="P116" s="468"/>
      <c r="Q116" s="468"/>
      <c r="R116" s="468"/>
      <c r="S116" s="485"/>
      <c r="T116" s="485"/>
      <c r="U116" s="486"/>
      <c r="V116" s="486"/>
      <c r="W116" s="487"/>
      <c r="X116" s="487"/>
    </row>
    <row r="117" spans="2:24" ht="12.75" customHeight="1" thickBot="1" x14ac:dyDescent="0.25">
      <c r="B117" s="1059"/>
      <c r="C117" s="759" t="s">
        <v>420</v>
      </c>
      <c r="D117" s="477" t="s">
        <v>421</v>
      </c>
      <c r="E117" s="477" t="s">
        <v>422</v>
      </c>
      <c r="F117" s="477" t="s">
        <v>77</v>
      </c>
      <c r="G117" s="478">
        <f>821998*9</f>
        <v>7397982</v>
      </c>
      <c r="H117" s="479">
        <f t="shared" si="7"/>
        <v>7930636.7040000008</v>
      </c>
      <c r="I117" s="478">
        <v>226548</v>
      </c>
      <c r="J117" s="478">
        <v>133310</v>
      </c>
      <c r="K117" s="776">
        <f t="shared" si="6"/>
        <v>8290494.7040000008</v>
      </c>
      <c r="L117" s="1060"/>
      <c r="M117" s="145"/>
      <c r="N117" s="470"/>
      <c r="O117" s="470"/>
      <c r="P117" s="470"/>
      <c r="Q117" s="470"/>
      <c r="R117" s="470"/>
      <c r="S117" s="485"/>
      <c r="T117" s="485"/>
      <c r="U117" s="486"/>
      <c r="V117" s="486"/>
      <c r="W117" s="487"/>
      <c r="X117" s="487"/>
    </row>
    <row r="118" spans="2:24" ht="12.75" customHeight="1" thickBot="1" x14ac:dyDescent="0.25">
      <c r="B118" s="1059"/>
      <c r="C118" s="558" t="s">
        <v>456</v>
      </c>
      <c r="D118" s="391" t="s">
        <v>457</v>
      </c>
      <c r="E118" s="391" t="s">
        <v>365</v>
      </c>
      <c r="F118" s="391" t="s">
        <v>77</v>
      </c>
      <c r="G118" s="393">
        <f>617821*12</f>
        <v>7413852</v>
      </c>
      <c r="H118" s="475">
        <f t="shared" si="7"/>
        <v>7947649.3440000005</v>
      </c>
      <c r="I118" s="393">
        <v>226548</v>
      </c>
      <c r="J118" s="393">
        <v>133310</v>
      </c>
      <c r="K118" s="476">
        <f t="shared" si="6"/>
        <v>8307507.3440000005</v>
      </c>
      <c r="L118" s="1060"/>
      <c r="M118" s="145"/>
      <c r="N118" s="470"/>
      <c r="O118" s="470"/>
      <c r="P118" s="471"/>
      <c r="Q118" s="471"/>
      <c r="R118" s="471"/>
      <c r="T118" s="795"/>
      <c r="U118" s="795"/>
      <c r="V118" s="795"/>
      <c r="W118" s="795"/>
    </row>
    <row r="119" spans="2:24" ht="12.75" customHeight="1" thickBot="1" x14ac:dyDescent="0.25">
      <c r="B119" s="1059"/>
      <c r="C119" s="558" t="s">
        <v>458</v>
      </c>
      <c r="D119" s="391" t="s">
        <v>459</v>
      </c>
      <c r="E119" s="391" t="s">
        <v>365</v>
      </c>
      <c r="F119" s="391" t="s">
        <v>77</v>
      </c>
      <c r="G119" s="393">
        <f>425373*12</f>
        <v>5104476</v>
      </c>
      <c r="H119" s="475">
        <f t="shared" si="7"/>
        <v>5471998.2719999999</v>
      </c>
      <c r="I119" s="393">
        <v>226548</v>
      </c>
      <c r="J119" s="393">
        <v>133310</v>
      </c>
      <c r="K119" s="476">
        <f t="shared" si="6"/>
        <v>5831856.2719999999</v>
      </c>
      <c r="L119" s="1060"/>
      <c r="M119" s="145"/>
      <c r="N119" s="470"/>
      <c r="O119" s="470"/>
      <c r="P119" s="468"/>
      <c r="Q119" s="468"/>
      <c r="R119" s="468"/>
      <c r="S119" s="485"/>
      <c r="T119" s="485"/>
      <c r="U119" s="486"/>
      <c r="V119" s="486"/>
      <c r="W119" s="487"/>
      <c r="X119" s="487"/>
    </row>
    <row r="120" spans="2:24" ht="12.75" customHeight="1" thickBot="1" x14ac:dyDescent="0.25">
      <c r="B120" s="1059"/>
      <c r="C120" s="558" t="s">
        <v>460</v>
      </c>
      <c r="D120" s="391" t="s">
        <v>461</v>
      </c>
      <c r="E120" s="391" t="s">
        <v>370</v>
      </c>
      <c r="F120" s="391" t="s">
        <v>77</v>
      </c>
      <c r="G120" s="393">
        <f>388776*12</f>
        <v>4665312</v>
      </c>
      <c r="H120" s="475">
        <f t="shared" si="7"/>
        <v>5001214.4640000006</v>
      </c>
      <c r="I120" s="393">
        <v>226548</v>
      </c>
      <c r="J120" s="393">
        <v>133310</v>
      </c>
      <c r="K120" s="476">
        <f t="shared" si="6"/>
        <v>5361072.4640000006</v>
      </c>
      <c r="L120" s="1060"/>
      <c r="M120" s="145"/>
      <c r="N120" s="470"/>
      <c r="O120" s="470"/>
      <c r="P120" s="468"/>
      <c r="Q120" s="468"/>
      <c r="R120" s="468"/>
      <c r="S120" s="485"/>
      <c r="T120" s="485"/>
      <c r="U120" s="486"/>
      <c r="V120" s="486"/>
      <c r="W120" s="487"/>
      <c r="X120" s="487"/>
    </row>
    <row r="121" spans="2:24" ht="12.75" customHeight="1" thickBot="1" x14ac:dyDescent="0.25">
      <c r="B121" s="1059"/>
      <c r="C121" s="558"/>
      <c r="D121" s="391"/>
      <c r="E121" s="391"/>
      <c r="F121" s="391"/>
      <c r="G121" s="393">
        <v>0</v>
      </c>
      <c r="H121" s="475">
        <f t="shared" si="7"/>
        <v>0</v>
      </c>
      <c r="I121" s="393">
        <v>0</v>
      </c>
      <c r="J121" s="393">
        <v>0</v>
      </c>
      <c r="K121" s="476">
        <f t="shared" si="6"/>
        <v>0</v>
      </c>
      <c r="L121" s="1060"/>
      <c r="M121" s="145"/>
      <c r="N121" s="470"/>
      <c r="O121" s="470"/>
      <c r="P121" s="468"/>
      <c r="Q121" s="468"/>
      <c r="R121" s="468"/>
      <c r="S121" s="485"/>
      <c r="T121" s="485"/>
      <c r="U121" s="486"/>
      <c r="V121" s="486"/>
      <c r="W121" s="487"/>
      <c r="X121" s="487"/>
    </row>
    <row r="122" spans="2:24" ht="12.75" customHeight="1" thickBot="1" x14ac:dyDescent="0.25">
      <c r="B122" s="1059"/>
      <c r="C122" s="558"/>
      <c r="D122" s="391"/>
      <c r="E122" s="391"/>
      <c r="F122" s="391"/>
      <c r="G122" s="393">
        <v>0</v>
      </c>
      <c r="H122" s="475">
        <f t="shared" si="7"/>
        <v>0</v>
      </c>
      <c r="I122" s="393">
        <v>0</v>
      </c>
      <c r="J122" s="393">
        <v>0</v>
      </c>
      <c r="K122" s="476">
        <f t="shared" si="6"/>
        <v>0</v>
      </c>
      <c r="L122" s="1060"/>
      <c r="M122" s="145"/>
      <c r="N122" s="470"/>
      <c r="O122" s="470"/>
      <c r="P122" s="468"/>
      <c r="Q122" s="468"/>
      <c r="R122" s="468"/>
      <c r="S122" s="485"/>
      <c r="T122" s="485"/>
      <c r="U122" s="486"/>
      <c r="V122" s="486"/>
      <c r="W122" s="487"/>
      <c r="X122" s="487"/>
    </row>
    <row r="123" spans="2:24" ht="12.75" customHeight="1" thickBot="1" x14ac:dyDescent="0.25">
      <c r="B123" s="1059"/>
      <c r="C123" s="558" t="s">
        <v>436</v>
      </c>
      <c r="D123" s="391" t="s">
        <v>437</v>
      </c>
      <c r="E123" s="391" t="s">
        <v>378</v>
      </c>
      <c r="F123" s="391" t="s">
        <v>77</v>
      </c>
      <c r="G123" s="393">
        <v>0</v>
      </c>
      <c r="H123" s="475">
        <f t="shared" si="7"/>
        <v>0</v>
      </c>
      <c r="I123" s="393">
        <v>0</v>
      </c>
      <c r="J123" s="393">
        <v>0</v>
      </c>
      <c r="K123" s="476">
        <f t="shared" si="6"/>
        <v>0</v>
      </c>
      <c r="L123" s="1060"/>
      <c r="M123" s="145"/>
      <c r="N123" s="470"/>
      <c r="O123" s="470"/>
      <c r="P123" s="468"/>
      <c r="Q123" s="468"/>
      <c r="R123" s="468"/>
      <c r="S123" s="485"/>
      <c r="T123" s="485"/>
      <c r="U123" s="486"/>
      <c r="V123" s="486"/>
      <c r="W123" s="487"/>
      <c r="X123" s="487"/>
    </row>
    <row r="124" spans="2:24" ht="13.5" thickBot="1" x14ac:dyDescent="0.25">
      <c r="B124" s="1059"/>
      <c r="C124" s="558" t="s">
        <v>815</v>
      </c>
      <c r="D124" s="391" t="s">
        <v>418</v>
      </c>
      <c r="E124" s="391" t="s">
        <v>440</v>
      </c>
      <c r="F124" s="391" t="s">
        <v>77</v>
      </c>
      <c r="G124" s="393">
        <v>0</v>
      </c>
      <c r="H124" s="475">
        <f t="shared" si="7"/>
        <v>0</v>
      </c>
      <c r="I124" s="393">
        <v>0</v>
      </c>
      <c r="J124" s="393">
        <v>0</v>
      </c>
      <c r="K124" s="476">
        <f t="shared" si="6"/>
        <v>0</v>
      </c>
      <c r="L124" s="1060"/>
      <c r="M124" s="145"/>
      <c r="N124" s="470"/>
      <c r="O124" s="470"/>
      <c r="P124" s="468"/>
      <c r="Q124" s="468"/>
      <c r="R124" s="468"/>
      <c r="S124" s="485"/>
      <c r="T124" s="485"/>
      <c r="U124" s="486"/>
      <c r="V124" s="486"/>
      <c r="W124" s="487"/>
      <c r="X124" s="487"/>
    </row>
    <row r="125" spans="2:24" ht="12.75" customHeight="1" thickBot="1" x14ac:dyDescent="0.25">
      <c r="B125" s="1059"/>
      <c r="C125" s="558"/>
      <c r="D125" s="391"/>
      <c r="E125" s="391"/>
      <c r="F125" s="391"/>
      <c r="G125" s="393">
        <v>0</v>
      </c>
      <c r="H125" s="475">
        <f t="shared" si="7"/>
        <v>0</v>
      </c>
      <c r="I125" s="393">
        <v>0</v>
      </c>
      <c r="J125" s="393">
        <v>0</v>
      </c>
      <c r="K125" s="476">
        <f t="shared" si="6"/>
        <v>0</v>
      </c>
      <c r="L125" s="1060"/>
      <c r="M125" s="145"/>
      <c r="N125" s="470"/>
      <c r="O125" s="470"/>
      <c r="P125" s="468"/>
      <c r="Q125" s="468"/>
      <c r="R125" s="468"/>
      <c r="S125" s="485"/>
      <c r="T125" s="485"/>
      <c r="U125" s="486"/>
      <c r="V125" s="486"/>
      <c r="W125" s="487"/>
      <c r="X125" s="487"/>
    </row>
    <row r="126" spans="2:24" ht="13.5" thickBot="1" x14ac:dyDescent="0.25">
      <c r="B126" s="1059" t="str">
        <f>+'A) Resumen Ingresos y Egresos'!A16</f>
        <v>Sala Cuna Mar Azul Nocturna</v>
      </c>
      <c r="C126" s="544" t="s">
        <v>465</v>
      </c>
      <c r="D126" s="386" t="s">
        <v>834</v>
      </c>
      <c r="E126" s="386" t="s">
        <v>416</v>
      </c>
      <c r="F126" s="386" t="s">
        <v>77</v>
      </c>
      <c r="G126" s="388">
        <f>793125*12</f>
        <v>9517500</v>
      </c>
      <c r="H126" s="160">
        <f t="shared" si="7"/>
        <v>10202760</v>
      </c>
      <c r="I126" s="388">
        <v>226548</v>
      </c>
      <c r="J126" s="388">
        <v>133310</v>
      </c>
      <c r="K126" s="469">
        <f t="shared" si="6"/>
        <v>10562618</v>
      </c>
      <c r="L126" s="1061">
        <f>SUM(K126:K140)</f>
        <v>50442705.504000001</v>
      </c>
      <c r="M126" s="145"/>
      <c r="N126" s="470"/>
      <c r="O126" s="470"/>
      <c r="P126" s="468"/>
      <c r="Q126" s="468"/>
      <c r="R126" s="468"/>
      <c r="S126" s="485"/>
      <c r="T126" s="485"/>
      <c r="U126" s="486"/>
      <c r="V126" s="486"/>
      <c r="W126" s="487"/>
      <c r="X126" s="487"/>
    </row>
    <row r="127" spans="2:24" ht="12.75" customHeight="1" thickBot="1" x14ac:dyDescent="0.25">
      <c r="B127" s="1059"/>
      <c r="C127" s="558" t="s">
        <v>414</v>
      </c>
      <c r="D127" s="391" t="s">
        <v>466</v>
      </c>
      <c r="E127" s="391" t="s">
        <v>416</v>
      </c>
      <c r="F127" s="391" t="s">
        <v>77</v>
      </c>
      <c r="G127" s="393">
        <f>600219*12</f>
        <v>7202628</v>
      </c>
      <c r="H127" s="475">
        <f t="shared" si="7"/>
        <v>7721217.216</v>
      </c>
      <c r="I127" s="393">
        <v>226548</v>
      </c>
      <c r="J127" s="393">
        <v>133310</v>
      </c>
      <c r="K127" s="476">
        <f t="shared" si="6"/>
        <v>8081075.216</v>
      </c>
      <c r="L127" s="1062"/>
      <c r="M127" s="145"/>
      <c r="N127" s="470"/>
      <c r="O127" s="470"/>
      <c r="P127" s="470"/>
      <c r="Q127" s="470"/>
      <c r="R127" s="470"/>
      <c r="S127" s="485"/>
      <c r="T127" s="485"/>
      <c r="U127" s="486"/>
      <c r="V127" s="486"/>
      <c r="W127" s="487"/>
      <c r="X127" s="487"/>
    </row>
    <row r="128" spans="2:24" ht="12.75" customHeight="1" thickBot="1" x14ac:dyDescent="0.25">
      <c r="B128" s="1059"/>
      <c r="C128" s="558" t="s">
        <v>467</v>
      </c>
      <c r="D128" s="391" t="s">
        <v>468</v>
      </c>
      <c r="E128" s="391" t="s">
        <v>416</v>
      </c>
      <c r="F128" s="391" t="s">
        <v>77</v>
      </c>
      <c r="G128" s="393">
        <f>609203*12</f>
        <v>7310436</v>
      </c>
      <c r="H128" s="475">
        <f t="shared" si="7"/>
        <v>7836787.3920000009</v>
      </c>
      <c r="I128" s="393">
        <v>226548</v>
      </c>
      <c r="J128" s="393">
        <v>133310</v>
      </c>
      <c r="K128" s="476">
        <f t="shared" si="6"/>
        <v>8196645.3920000009</v>
      </c>
      <c r="L128" s="1062"/>
      <c r="M128" s="145"/>
      <c r="N128" s="470"/>
      <c r="O128" s="470"/>
      <c r="P128" s="471"/>
      <c r="Q128" s="471"/>
      <c r="R128" s="471"/>
      <c r="T128" s="795"/>
      <c r="U128" s="795"/>
      <c r="V128" s="795"/>
      <c r="W128" s="795"/>
    </row>
    <row r="129" spans="2:24" ht="12.75" customHeight="1" thickBot="1" x14ac:dyDescent="0.25">
      <c r="B129" s="1059"/>
      <c r="C129" s="558" t="s">
        <v>469</v>
      </c>
      <c r="D129" s="391" t="s">
        <v>470</v>
      </c>
      <c r="E129" s="391" t="s">
        <v>416</v>
      </c>
      <c r="F129" s="391" t="s">
        <v>77</v>
      </c>
      <c r="G129" s="393">
        <f>572176*12</f>
        <v>6866112</v>
      </c>
      <c r="H129" s="475">
        <f t="shared" si="7"/>
        <v>7360472.0640000002</v>
      </c>
      <c r="I129" s="393">
        <v>226548</v>
      </c>
      <c r="J129" s="393">
        <v>133310</v>
      </c>
      <c r="K129" s="476">
        <f t="shared" si="6"/>
        <v>7720330.0640000002</v>
      </c>
      <c r="L129" s="1062"/>
      <c r="M129" s="145"/>
      <c r="N129" s="470"/>
      <c r="O129" s="470"/>
      <c r="P129" s="468"/>
      <c r="Q129" s="468"/>
      <c r="R129" s="468"/>
      <c r="S129" s="485"/>
      <c r="T129" s="485"/>
      <c r="U129" s="486"/>
      <c r="V129" s="486"/>
      <c r="W129" s="487"/>
      <c r="X129" s="487"/>
    </row>
    <row r="130" spans="2:24" ht="12.75" customHeight="1" thickBot="1" x14ac:dyDescent="0.25">
      <c r="B130" s="1059"/>
      <c r="C130" s="558" t="s">
        <v>471</v>
      </c>
      <c r="D130" s="391" t="s">
        <v>472</v>
      </c>
      <c r="E130" s="391" t="s">
        <v>416</v>
      </c>
      <c r="F130" s="391" t="s">
        <v>77</v>
      </c>
      <c r="G130" s="393">
        <f>593023*12</f>
        <v>7116276</v>
      </c>
      <c r="H130" s="475">
        <f t="shared" si="7"/>
        <v>7628647.8720000004</v>
      </c>
      <c r="I130" s="393">
        <v>226548</v>
      </c>
      <c r="J130" s="393">
        <v>133310</v>
      </c>
      <c r="K130" s="476">
        <f t="shared" si="6"/>
        <v>7988505.8720000004</v>
      </c>
      <c r="L130" s="1062"/>
      <c r="M130" s="145"/>
      <c r="N130" s="470"/>
      <c r="O130" s="470"/>
      <c r="P130" s="468"/>
      <c r="Q130" s="468"/>
      <c r="R130" s="468"/>
      <c r="S130" s="485"/>
      <c r="T130" s="485"/>
      <c r="U130" s="486"/>
      <c r="V130" s="486"/>
      <c r="W130" s="487"/>
      <c r="X130" s="487"/>
    </row>
    <row r="131" spans="2:24" ht="12.75" customHeight="1" thickBot="1" x14ac:dyDescent="0.25">
      <c r="B131" s="1059"/>
      <c r="C131" s="558" t="s">
        <v>473</v>
      </c>
      <c r="D131" s="391" t="s">
        <v>474</v>
      </c>
      <c r="E131" s="391" t="s">
        <v>416</v>
      </c>
      <c r="F131" s="391" t="s">
        <v>77</v>
      </c>
      <c r="G131" s="393">
        <f>585640*12</f>
        <v>7027680</v>
      </c>
      <c r="H131" s="475">
        <f t="shared" si="7"/>
        <v>7533672.9600000009</v>
      </c>
      <c r="I131" s="393">
        <v>226548</v>
      </c>
      <c r="J131" s="393">
        <v>133310</v>
      </c>
      <c r="K131" s="476">
        <f t="shared" si="6"/>
        <v>7893530.9600000009</v>
      </c>
      <c r="L131" s="1062"/>
      <c r="M131" s="145"/>
      <c r="N131" s="470"/>
      <c r="O131" s="470"/>
      <c r="P131" s="468"/>
      <c r="Q131" s="468"/>
      <c r="R131" s="468"/>
      <c r="S131" s="485"/>
      <c r="T131" s="485"/>
      <c r="U131" s="486"/>
      <c r="V131" s="486"/>
      <c r="W131" s="487"/>
      <c r="X131" s="487"/>
    </row>
    <row r="132" spans="2:24" ht="12.75" customHeight="1" thickBot="1" x14ac:dyDescent="0.25">
      <c r="B132" s="1059"/>
      <c r="C132" s="558"/>
      <c r="D132" s="391"/>
      <c r="E132" s="391"/>
      <c r="F132" s="391"/>
      <c r="G132" s="393">
        <v>0</v>
      </c>
      <c r="H132" s="475">
        <f t="shared" si="7"/>
        <v>0</v>
      </c>
      <c r="I132" s="393">
        <v>0</v>
      </c>
      <c r="J132" s="393">
        <v>0</v>
      </c>
      <c r="K132" s="476">
        <f t="shared" si="6"/>
        <v>0</v>
      </c>
      <c r="L132" s="1062"/>
      <c r="M132" s="145"/>
      <c r="N132" s="470"/>
      <c r="O132" s="470"/>
      <c r="P132" s="468"/>
      <c r="Q132" s="468"/>
      <c r="R132" s="468"/>
      <c r="S132" s="485"/>
      <c r="T132" s="485"/>
      <c r="U132" s="486"/>
      <c r="V132" s="486"/>
      <c r="W132" s="487"/>
      <c r="X132" s="487"/>
    </row>
    <row r="133" spans="2:24" ht="12.75" customHeight="1" thickBot="1" x14ac:dyDescent="0.25">
      <c r="B133" s="1059"/>
      <c r="C133" s="558"/>
      <c r="D133" s="391"/>
      <c r="E133" s="391"/>
      <c r="F133" s="391"/>
      <c r="G133" s="393">
        <v>0</v>
      </c>
      <c r="H133" s="475">
        <f t="shared" si="7"/>
        <v>0</v>
      </c>
      <c r="I133" s="393">
        <v>0</v>
      </c>
      <c r="J133" s="393">
        <v>0</v>
      </c>
      <c r="K133" s="476">
        <f t="shared" si="6"/>
        <v>0</v>
      </c>
      <c r="L133" s="1062"/>
      <c r="M133" s="145"/>
      <c r="N133" s="470"/>
      <c r="O133" s="470"/>
      <c r="P133" s="468"/>
      <c r="Q133" s="468"/>
      <c r="R133" s="468"/>
      <c r="S133" s="485"/>
      <c r="T133" s="485"/>
      <c r="U133" s="486"/>
      <c r="V133" s="486"/>
      <c r="W133" s="487"/>
      <c r="X133" s="487"/>
    </row>
    <row r="134" spans="2:24" ht="13.5" thickBot="1" x14ac:dyDescent="0.25">
      <c r="B134" s="1059"/>
      <c r="C134" s="558"/>
      <c r="D134" s="391"/>
      <c r="E134" s="391"/>
      <c r="F134" s="391"/>
      <c r="G134" s="393">
        <v>0</v>
      </c>
      <c r="H134" s="475">
        <f t="shared" si="7"/>
        <v>0</v>
      </c>
      <c r="I134" s="393">
        <v>0</v>
      </c>
      <c r="J134" s="393">
        <v>0</v>
      </c>
      <c r="K134" s="476">
        <f t="shared" si="6"/>
        <v>0</v>
      </c>
      <c r="L134" s="1062"/>
      <c r="M134" s="145"/>
      <c r="N134" s="470"/>
      <c r="O134" s="470"/>
      <c r="P134" s="468"/>
      <c r="Q134" s="468"/>
      <c r="R134" s="468"/>
      <c r="S134" s="485"/>
      <c r="T134" s="485"/>
      <c r="U134" s="486"/>
      <c r="V134" s="486"/>
      <c r="W134" s="487"/>
      <c r="X134" s="487"/>
    </row>
    <row r="135" spans="2:24" ht="12.75" customHeight="1" thickBot="1" x14ac:dyDescent="0.25">
      <c r="B135" s="1059"/>
      <c r="C135" s="558"/>
      <c r="D135" s="391"/>
      <c r="E135" s="391"/>
      <c r="F135" s="391"/>
      <c r="G135" s="393">
        <v>0</v>
      </c>
      <c r="H135" s="475">
        <f t="shared" si="7"/>
        <v>0</v>
      </c>
      <c r="I135" s="393">
        <v>0</v>
      </c>
      <c r="J135" s="393">
        <v>0</v>
      </c>
      <c r="K135" s="476">
        <f t="shared" si="6"/>
        <v>0</v>
      </c>
      <c r="L135" s="1062"/>
      <c r="M135" s="145"/>
      <c r="N135" s="470"/>
      <c r="O135" s="470"/>
      <c r="P135" s="468"/>
      <c r="Q135" s="468"/>
      <c r="R135" s="468"/>
      <c r="S135" s="485"/>
      <c r="T135" s="485"/>
      <c r="U135" s="486"/>
      <c r="V135" s="486"/>
      <c r="W135" s="487"/>
      <c r="X135" s="487"/>
    </row>
    <row r="136" spans="2:24" ht="12.75" customHeight="1" thickBot="1" x14ac:dyDescent="0.25">
      <c r="B136" s="1059"/>
      <c r="C136" s="558"/>
      <c r="D136" s="391"/>
      <c r="E136" s="391"/>
      <c r="F136" s="391"/>
      <c r="G136" s="393">
        <v>0</v>
      </c>
      <c r="H136" s="475">
        <f t="shared" si="7"/>
        <v>0</v>
      </c>
      <c r="I136" s="393">
        <v>0</v>
      </c>
      <c r="J136" s="393">
        <v>0</v>
      </c>
      <c r="K136" s="476">
        <f t="shared" si="6"/>
        <v>0</v>
      </c>
      <c r="L136" s="1062"/>
      <c r="M136" s="145"/>
      <c r="N136" s="470"/>
      <c r="O136" s="470"/>
      <c r="P136" s="468"/>
      <c r="Q136" s="468"/>
      <c r="R136" s="468"/>
      <c r="S136" s="485"/>
      <c r="T136" s="485"/>
      <c r="U136" s="486"/>
      <c r="V136" s="486"/>
      <c r="W136" s="487"/>
      <c r="X136" s="487"/>
    </row>
    <row r="137" spans="2:24" ht="13.5" customHeight="1" thickBot="1" x14ac:dyDescent="0.25">
      <c r="B137" s="1059"/>
      <c r="C137" s="558"/>
      <c r="D137" s="391"/>
      <c r="E137" s="391"/>
      <c r="F137" s="391"/>
      <c r="G137" s="393">
        <v>0</v>
      </c>
      <c r="H137" s="475">
        <f t="shared" si="7"/>
        <v>0</v>
      </c>
      <c r="I137" s="393">
        <v>0</v>
      </c>
      <c r="J137" s="393">
        <v>0</v>
      </c>
      <c r="K137" s="476">
        <f t="shared" si="6"/>
        <v>0</v>
      </c>
      <c r="L137" s="1062"/>
      <c r="M137" s="145"/>
      <c r="N137" s="470"/>
      <c r="O137" s="470"/>
      <c r="P137" s="468"/>
      <c r="Q137" s="468"/>
      <c r="R137" s="468"/>
      <c r="S137" s="485"/>
      <c r="T137" s="485"/>
      <c r="U137" s="486"/>
      <c r="V137" s="486"/>
      <c r="W137" s="487"/>
      <c r="X137" s="487"/>
    </row>
    <row r="138" spans="2:24" ht="12.75" customHeight="1" thickBot="1" x14ac:dyDescent="0.25">
      <c r="B138" s="1059"/>
      <c r="C138" s="558"/>
      <c r="D138" s="391"/>
      <c r="E138" s="391"/>
      <c r="F138" s="391"/>
      <c r="G138" s="393">
        <v>0</v>
      </c>
      <c r="H138" s="475">
        <f t="shared" si="7"/>
        <v>0</v>
      </c>
      <c r="I138" s="393">
        <v>0</v>
      </c>
      <c r="J138" s="393">
        <v>0</v>
      </c>
      <c r="K138" s="476">
        <f t="shared" si="6"/>
        <v>0</v>
      </c>
      <c r="L138" s="1062"/>
      <c r="M138" s="145"/>
      <c r="N138" s="470"/>
      <c r="O138" s="470"/>
      <c r="P138" s="468"/>
      <c r="Q138" s="468"/>
      <c r="R138" s="468"/>
      <c r="S138" s="485"/>
      <c r="T138" s="485"/>
      <c r="U138" s="486"/>
      <c r="V138" s="486"/>
      <c r="W138" s="487"/>
      <c r="X138" s="487"/>
    </row>
    <row r="139" spans="2:24" ht="13.5" customHeight="1" thickBot="1" x14ac:dyDescent="0.25">
      <c r="B139" s="1059"/>
      <c r="C139" s="558"/>
      <c r="D139" s="391"/>
      <c r="E139" s="391"/>
      <c r="F139" s="391"/>
      <c r="G139" s="393">
        <v>0</v>
      </c>
      <c r="H139" s="475">
        <f t="shared" si="7"/>
        <v>0</v>
      </c>
      <c r="I139" s="393">
        <v>0</v>
      </c>
      <c r="J139" s="393">
        <v>0</v>
      </c>
      <c r="K139" s="476">
        <f t="shared" si="6"/>
        <v>0</v>
      </c>
      <c r="L139" s="1062"/>
      <c r="M139" s="145"/>
      <c r="N139" s="470"/>
      <c r="O139" s="470"/>
      <c r="P139" s="468"/>
      <c r="Q139" s="468"/>
      <c r="R139" s="468"/>
      <c r="S139" s="485"/>
      <c r="T139" s="485"/>
      <c r="U139" s="486"/>
      <c r="V139" s="486"/>
      <c r="W139" s="487"/>
      <c r="X139" s="487"/>
    </row>
    <row r="140" spans="2:24" ht="13.5" customHeight="1" thickBot="1" x14ac:dyDescent="0.25">
      <c r="B140" s="1059"/>
      <c r="C140" s="550"/>
      <c r="D140" s="480"/>
      <c r="E140" s="480"/>
      <c r="F140" s="480"/>
      <c r="G140" s="401">
        <v>0</v>
      </c>
      <c r="H140" s="171">
        <f t="shared" si="7"/>
        <v>0</v>
      </c>
      <c r="I140" s="401">
        <v>0</v>
      </c>
      <c r="J140" s="401">
        <v>0</v>
      </c>
      <c r="K140" s="481">
        <f t="shared" si="6"/>
        <v>0</v>
      </c>
      <c r="L140" s="1063"/>
      <c r="M140" s="145"/>
      <c r="N140" s="470"/>
      <c r="O140" s="470"/>
      <c r="P140" s="468"/>
      <c r="Q140" s="468"/>
      <c r="R140" s="468"/>
      <c r="S140" s="485"/>
      <c r="T140" s="485"/>
      <c r="U140" s="486"/>
      <c r="V140" s="486"/>
      <c r="W140" s="487"/>
      <c r="X140" s="487"/>
    </row>
    <row r="141" spans="2:24" ht="16.5" thickBot="1" x14ac:dyDescent="0.25">
      <c r="B141" s="506"/>
      <c r="C141" s="145"/>
      <c r="D141" s="145"/>
      <c r="E141" s="507"/>
      <c r="F141" s="507"/>
      <c r="G141" s="507"/>
      <c r="H141" s="507"/>
      <c r="I141" s="507"/>
      <c r="J141" s="507"/>
      <c r="K141" s="508" t="s">
        <v>475</v>
      </c>
      <c r="L141" s="509">
        <f>+L11+L34+L75+L105+L126</f>
        <v>468843297.56</v>
      </c>
      <c r="M141" s="466"/>
      <c r="N141" s="466"/>
      <c r="O141" s="466"/>
      <c r="P141" s="470"/>
      <c r="Q141" s="470"/>
      <c r="R141" s="470"/>
      <c r="S141" s="485"/>
      <c r="T141" s="485"/>
      <c r="U141" s="486"/>
      <c r="V141" s="486"/>
      <c r="W141" s="487"/>
      <c r="X141" s="487"/>
    </row>
  </sheetData>
  <sheetProtection algorithmName="SHA-512" hashValue="Lnd9exl+zXT0X2at7qcmg7AJOqYji25jPvO2bGmCov5sI6JDVd8nX/q7p6HFOAgaUMtzUjPA4y8Uken1/HTbSQ==" saltValue="7OjgzpNpkH6L7zCWFRUkaw==" spinCount="100000" sheet="1" objects="1" scenarios="1"/>
  <mergeCells count="42">
    <mergeCell ref="B7:E7"/>
    <mergeCell ref="B9:B10"/>
    <mergeCell ref="C9:C10"/>
    <mergeCell ref="D9:D10"/>
    <mergeCell ref="E9:E10"/>
    <mergeCell ref="K9:K10"/>
    <mergeCell ref="L9:L10"/>
    <mergeCell ref="T10:W10"/>
    <mergeCell ref="B11:B33"/>
    <mergeCell ref="L11:L33"/>
    <mergeCell ref="F9:F10"/>
    <mergeCell ref="G9:G10"/>
    <mergeCell ref="H9:H10"/>
    <mergeCell ref="I9:I10"/>
    <mergeCell ref="J9:J10"/>
    <mergeCell ref="P21:S21"/>
    <mergeCell ref="B34:B54"/>
    <mergeCell ref="L34:L54"/>
    <mergeCell ref="B55:B60"/>
    <mergeCell ref="L55:L60"/>
    <mergeCell ref="B61:B72"/>
    <mergeCell ref="L61:L72"/>
    <mergeCell ref="T74:W74"/>
    <mergeCell ref="B75:B89"/>
    <mergeCell ref="L75:L89"/>
    <mergeCell ref="B90:B104"/>
    <mergeCell ref="L90:L104"/>
    <mergeCell ref="G73:G74"/>
    <mergeCell ref="H73:H74"/>
    <mergeCell ref="I73:I74"/>
    <mergeCell ref="J73:J74"/>
    <mergeCell ref="K73:K74"/>
    <mergeCell ref="B73:B74"/>
    <mergeCell ref="C73:C74"/>
    <mergeCell ref="D73:D74"/>
    <mergeCell ref="E73:E74"/>
    <mergeCell ref="F73:F74"/>
    <mergeCell ref="B105:B125"/>
    <mergeCell ref="L105:L125"/>
    <mergeCell ref="B126:B140"/>
    <mergeCell ref="L126:L140"/>
    <mergeCell ref="L73:L74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K31"/>
  <sheetViews>
    <sheetView showGridLines="0" topLeftCell="B1" zoomScale="80" zoomScaleNormal="80" workbookViewId="0">
      <selection activeCell="M39" sqref="M39"/>
    </sheetView>
  </sheetViews>
  <sheetFormatPr baseColWidth="10" defaultColWidth="9.140625" defaultRowHeight="12.75" x14ac:dyDescent="0.2"/>
  <cols>
    <col min="1" max="2" width="34" style="19"/>
    <col min="3" max="12" width="15.140625" style="19"/>
    <col min="13" max="13" width="34.7109375" style="19"/>
    <col min="14" max="14" width="15.140625" style="19"/>
    <col min="15" max="15" width="34.7109375" style="19"/>
    <col min="16" max="16" width="15.140625" style="19"/>
    <col min="17" max="17" width="14.85546875" style="19"/>
    <col min="18" max="1025" width="10.85546875" style="19"/>
  </cols>
  <sheetData>
    <row r="1" spans="1:19" x14ac:dyDescent="0.2">
      <c r="B1" s="4"/>
      <c r="C1" s="4"/>
      <c r="D1" s="4" t="s">
        <v>476</v>
      </c>
      <c r="E1" s="4"/>
      <c r="F1" s="4"/>
      <c r="G1" s="4"/>
      <c r="H1" s="4"/>
      <c r="I1" s="4"/>
      <c r="J1" s="4"/>
      <c r="K1" s="4"/>
      <c r="L1" s="4"/>
      <c r="M1" s="4"/>
      <c r="N1" s="4"/>
      <c r="P1" s="4"/>
    </row>
    <row r="2" spans="1:19" x14ac:dyDescent="0.2">
      <c r="B2" s="4"/>
      <c r="C2" s="4"/>
      <c r="D2" s="4" t="s">
        <v>477</v>
      </c>
      <c r="E2" s="4"/>
      <c r="F2" s="4"/>
      <c r="G2" s="4"/>
      <c r="H2" s="4"/>
      <c r="I2" s="4"/>
      <c r="J2" s="4"/>
      <c r="K2" s="4"/>
      <c r="L2" s="4"/>
      <c r="M2" s="4"/>
      <c r="N2" s="4"/>
      <c r="P2" s="4"/>
    </row>
    <row r="3" spans="1:19" x14ac:dyDescent="0.2">
      <c r="C3" s="21"/>
      <c r="D3" s="21"/>
      <c r="E3" s="21"/>
      <c r="F3" s="21"/>
      <c r="G3" s="21"/>
      <c r="H3" s="21"/>
      <c r="I3" s="21"/>
      <c r="J3" s="21"/>
      <c r="K3" s="21"/>
      <c r="L3" s="21"/>
      <c r="N3" s="21"/>
      <c r="P3" s="21"/>
    </row>
    <row r="4" spans="1:19" ht="18.75" customHeight="1" x14ac:dyDescent="0.2">
      <c r="C4" s="510" t="s">
        <v>27</v>
      </c>
      <c r="D4" s="1055" t="str">
        <f>+'B) Reajuste Tarifas y Ocupación'!F5</f>
        <v>BIENVALP</v>
      </c>
      <c r="E4" s="1055"/>
      <c r="F4" s="1055"/>
      <c r="G4" s="4"/>
      <c r="H4" s="4"/>
      <c r="I4" s="4"/>
      <c r="J4" s="4"/>
      <c r="K4" s="4"/>
      <c r="L4" s="4"/>
      <c r="N4" s="4"/>
      <c r="P4" s="4"/>
    </row>
    <row r="5" spans="1:19" x14ac:dyDescent="0.2">
      <c r="A5" s="27"/>
      <c r="B5" s="28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P5" s="4"/>
    </row>
    <row r="6" spans="1:19" x14ac:dyDescent="0.2">
      <c r="A6" s="27"/>
      <c r="B6" s="28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4"/>
    </row>
    <row r="7" spans="1:19" ht="12.75" customHeight="1" x14ac:dyDescent="0.2">
      <c r="A7" s="1107" t="s">
        <v>478</v>
      </c>
      <c r="B7" s="1107"/>
      <c r="C7" s="1107"/>
      <c r="D7" s="1107"/>
      <c r="E7" s="1107"/>
      <c r="F7" s="1107"/>
      <c r="G7" s="1107"/>
      <c r="H7" s="1107"/>
      <c r="I7" s="1107"/>
      <c r="J7" s="1107"/>
      <c r="K7" s="1107"/>
      <c r="L7" s="1107"/>
      <c r="M7" s="1107"/>
      <c r="N7" s="1107"/>
      <c r="O7" s="1107"/>
      <c r="P7" s="511"/>
    </row>
    <row r="8" spans="1:19" x14ac:dyDescent="0.2">
      <c r="A8" s="1107"/>
      <c r="B8" s="1107"/>
      <c r="C8" s="1107"/>
      <c r="D8" s="1107"/>
      <c r="E8" s="1107"/>
      <c r="F8" s="1107"/>
      <c r="G8" s="1107"/>
      <c r="H8" s="1107"/>
      <c r="I8" s="1107"/>
      <c r="J8" s="1107"/>
      <c r="K8" s="1107"/>
      <c r="L8" s="1107"/>
      <c r="M8" s="1107"/>
      <c r="N8" s="1107"/>
      <c r="O8" s="1107"/>
      <c r="P8" s="511"/>
    </row>
    <row r="9" spans="1:19" x14ac:dyDescent="0.2">
      <c r="A9" s="1107"/>
      <c r="B9" s="1107"/>
      <c r="C9" s="1107"/>
      <c r="D9" s="1107"/>
      <c r="E9" s="1107"/>
      <c r="F9" s="1107"/>
      <c r="G9" s="1107"/>
      <c r="H9" s="1107"/>
      <c r="I9" s="1107"/>
      <c r="J9" s="1107"/>
      <c r="K9" s="1107"/>
      <c r="L9" s="1107"/>
      <c r="M9" s="1107"/>
      <c r="N9" s="1107"/>
      <c r="O9" s="1107"/>
      <c r="P9" s="511"/>
    </row>
    <row r="10" spans="1:19" x14ac:dyDescent="0.2">
      <c r="A10" s="511"/>
      <c r="B10" s="511"/>
      <c r="C10" s="511"/>
      <c r="D10" s="511"/>
      <c r="E10" s="511"/>
      <c r="F10" s="511"/>
      <c r="G10" s="511"/>
      <c r="H10" s="511"/>
      <c r="I10" s="511"/>
      <c r="J10" s="511"/>
      <c r="K10" s="511"/>
      <c r="L10" s="511"/>
      <c r="M10" s="511"/>
      <c r="N10" s="511"/>
      <c r="O10" s="511"/>
      <c r="P10" s="511"/>
    </row>
    <row r="11" spans="1:19" x14ac:dyDescent="0.2">
      <c r="A11" s="512"/>
      <c r="B11" s="512"/>
      <c r="C11" s="512"/>
      <c r="D11" s="512"/>
      <c r="E11" s="512"/>
      <c r="F11" s="512"/>
      <c r="G11" s="512"/>
      <c r="H11" s="512"/>
      <c r="I11" s="512"/>
      <c r="J11" s="512"/>
      <c r="K11" s="512"/>
      <c r="L11" s="512"/>
      <c r="M11" s="512"/>
      <c r="N11" s="512"/>
      <c r="O11" s="512"/>
      <c r="P11" s="512"/>
    </row>
    <row r="12" spans="1:19" ht="15.75" x14ac:dyDescent="0.2">
      <c r="A12" s="959" t="s">
        <v>22</v>
      </c>
      <c r="B12" s="959"/>
      <c r="C12" s="959"/>
      <c r="D12" s="959"/>
      <c r="E12" s="29"/>
      <c r="F12" s="512"/>
      <c r="G12" s="512"/>
      <c r="H12" s="512"/>
      <c r="I12" s="513"/>
      <c r="J12" s="513"/>
      <c r="K12" s="512"/>
      <c r="L12" s="512"/>
      <c r="M12" s="512"/>
      <c r="N12" s="512"/>
      <c r="O12" s="512"/>
      <c r="P12" s="512"/>
    </row>
    <row r="13" spans="1:19" x14ac:dyDescent="0.2">
      <c r="A13" s="27"/>
      <c r="B13" s="28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P13" s="4"/>
    </row>
    <row r="14" spans="1:19" ht="20.25" customHeight="1" x14ac:dyDescent="0.2">
      <c r="A14" s="1098" t="s">
        <v>62</v>
      </c>
      <c r="B14" s="1099" t="s">
        <v>42</v>
      </c>
      <c r="C14" s="952" t="s">
        <v>65</v>
      </c>
      <c r="D14" s="952"/>
      <c r="E14" s="952"/>
      <c r="F14" s="952"/>
      <c r="G14" s="952"/>
      <c r="H14" s="1100" t="s">
        <v>479</v>
      </c>
      <c r="I14" s="1100"/>
      <c r="J14" s="1100"/>
      <c r="K14" s="1100"/>
      <c r="L14" s="1100"/>
      <c r="M14" s="1101" t="s">
        <v>480</v>
      </c>
      <c r="N14" s="1101"/>
      <c r="O14" s="1102" t="s">
        <v>481</v>
      </c>
      <c r="P14" s="1102"/>
      <c r="Q14" s="1056" t="s">
        <v>482</v>
      </c>
    </row>
    <row r="15" spans="1:19" ht="72.75" customHeight="1" x14ac:dyDescent="0.2">
      <c r="A15" s="1098"/>
      <c r="B15" s="1099"/>
      <c r="C15" s="74" t="s">
        <v>49</v>
      </c>
      <c r="D15" s="75" t="s">
        <v>50</v>
      </c>
      <c r="E15" s="75" t="s">
        <v>51</v>
      </c>
      <c r="F15" s="75" t="s">
        <v>52</v>
      </c>
      <c r="G15" s="77" t="s">
        <v>53</v>
      </c>
      <c r="H15" s="195" t="s">
        <v>49</v>
      </c>
      <c r="I15" s="196" t="s">
        <v>50</v>
      </c>
      <c r="J15" s="196" t="s">
        <v>51</v>
      </c>
      <c r="K15" s="196" t="s">
        <v>52</v>
      </c>
      <c r="L15" s="197" t="s">
        <v>53</v>
      </c>
      <c r="M15" s="514" t="s">
        <v>483</v>
      </c>
      <c r="N15" s="515" t="s">
        <v>484</v>
      </c>
      <c r="O15" s="516" t="s">
        <v>483</v>
      </c>
      <c r="P15" s="515" t="s">
        <v>484</v>
      </c>
      <c r="Q15" s="1056"/>
    </row>
    <row r="16" spans="1:19" ht="12.75" customHeight="1" x14ac:dyDescent="0.2">
      <c r="A16" s="1105" t="str">
        <f>'B) Reajuste Tarifas y Ocupación'!A12</f>
        <v>Jardín Infantil Lobito Marino</v>
      </c>
      <c r="B16" s="517" t="str">
        <f>+'B) Reajuste Tarifas y Ocupación'!B12</f>
        <v>Media jornada</v>
      </c>
      <c r="C16" s="416">
        <f>+'B) Reajuste Tarifas y Ocupación'!M12</f>
        <v>83800</v>
      </c>
      <c r="D16" s="417">
        <f>+'B) Reajuste Tarifas y Ocupación'!N12</f>
        <v>100500</v>
      </c>
      <c r="E16" s="417">
        <f>+'B) Reajuste Tarifas y Ocupación'!O12</f>
        <v>100500</v>
      </c>
      <c r="F16" s="417">
        <f>+'B) Reajuste Tarifas y Ocupación'!P12</f>
        <v>112300</v>
      </c>
      <c r="G16" s="518">
        <f>+'B) Reajuste Tarifas y Ocupación'!Q12</f>
        <v>165200</v>
      </c>
      <c r="H16" s="519">
        <f t="shared" ref="H16:L19" si="0">IFERROR(C16/$Q16,0)</f>
        <v>0.59857142857142853</v>
      </c>
      <c r="I16" s="520">
        <f t="shared" si="0"/>
        <v>0.71785714285714286</v>
      </c>
      <c r="J16" s="520">
        <f t="shared" si="0"/>
        <v>0.71785714285714286</v>
      </c>
      <c r="K16" s="520">
        <f t="shared" si="0"/>
        <v>0.80214285714285716</v>
      </c>
      <c r="L16" s="521">
        <f t="shared" si="0"/>
        <v>1.18</v>
      </c>
      <c r="M16" s="522" t="s">
        <v>485</v>
      </c>
      <c r="N16" s="523">
        <v>150000</v>
      </c>
      <c r="O16" s="522" t="s">
        <v>486</v>
      </c>
      <c r="P16" s="523">
        <v>130000</v>
      </c>
      <c r="Q16" s="524">
        <f>AVERAGE(N16,P16)</f>
        <v>140000</v>
      </c>
      <c r="R16" s="468"/>
      <c r="S16" s="525"/>
    </row>
    <row r="17" spans="1:19" x14ac:dyDescent="0.2">
      <c r="A17" s="1105"/>
      <c r="B17" s="517" t="str">
        <f>+'B) Reajuste Tarifas y Ocupación'!B13</f>
        <v>Jornada completa</v>
      </c>
      <c r="C17" s="426">
        <f>+'B) Reajuste Tarifas y Ocupación'!M13</f>
        <v>136800</v>
      </c>
      <c r="D17" s="427">
        <f>+'B) Reajuste Tarifas y Ocupación'!N13</f>
        <v>164200</v>
      </c>
      <c r="E17" s="427">
        <f>+'B) Reajuste Tarifas y Ocupación'!O13</f>
        <v>164200</v>
      </c>
      <c r="F17" s="427">
        <f>+'B) Reajuste Tarifas y Ocupación'!P13</f>
        <v>230900</v>
      </c>
      <c r="G17" s="526">
        <f>+'B) Reajuste Tarifas y Ocupación'!Q13</f>
        <v>344400</v>
      </c>
      <c r="H17" s="527">
        <f t="shared" si="0"/>
        <v>0.4522314049586777</v>
      </c>
      <c r="I17" s="528">
        <f t="shared" si="0"/>
        <v>0.54280991735537187</v>
      </c>
      <c r="J17" s="528">
        <f t="shared" si="0"/>
        <v>0.54280991735537187</v>
      </c>
      <c r="K17" s="528">
        <f t="shared" si="0"/>
        <v>0.76330578512396696</v>
      </c>
      <c r="L17" s="529">
        <f t="shared" si="0"/>
        <v>1.1385123966942148</v>
      </c>
      <c r="M17" s="530" t="s">
        <v>485</v>
      </c>
      <c r="N17" s="531">
        <v>325000</v>
      </c>
      <c r="O17" s="530" t="s">
        <v>486</v>
      </c>
      <c r="P17" s="531">
        <v>280000</v>
      </c>
      <c r="Q17" s="532">
        <f>AVERAGE(N17,P17)</f>
        <v>302500</v>
      </c>
      <c r="R17" s="468"/>
      <c r="S17" s="525"/>
    </row>
    <row r="18" spans="1:19" ht="12.75" customHeight="1" x14ac:dyDescent="0.2">
      <c r="A18" s="1106" t="str">
        <f>'B) Reajuste Tarifas y Ocupación'!A14</f>
        <v>Jardín Infantil Los Delfines</v>
      </c>
      <c r="B18" s="534" t="str">
        <f>+'B) Reajuste Tarifas y Ocupación'!B14</f>
        <v>Media jornada</v>
      </c>
      <c r="C18" s="416">
        <f>+'B) Reajuste Tarifas y Ocupación'!M14</f>
        <v>83800</v>
      </c>
      <c r="D18" s="417">
        <f>+'B) Reajuste Tarifas y Ocupación'!N14</f>
        <v>100500</v>
      </c>
      <c r="E18" s="417">
        <f>+'B) Reajuste Tarifas y Ocupación'!O14</f>
        <v>100500</v>
      </c>
      <c r="F18" s="417">
        <f>+'B) Reajuste Tarifas y Ocupación'!P14</f>
        <v>112300</v>
      </c>
      <c r="G18" s="518">
        <f>+'B) Reajuste Tarifas y Ocupación'!Q14</f>
        <v>165200</v>
      </c>
      <c r="H18" s="519">
        <f t="shared" si="0"/>
        <v>0.59857142857142853</v>
      </c>
      <c r="I18" s="520">
        <f t="shared" si="0"/>
        <v>0.71785714285714286</v>
      </c>
      <c r="J18" s="520">
        <f t="shared" si="0"/>
        <v>0.71785714285714286</v>
      </c>
      <c r="K18" s="520">
        <f t="shared" si="0"/>
        <v>0.80214285714285716</v>
      </c>
      <c r="L18" s="521">
        <f t="shared" si="0"/>
        <v>1.18</v>
      </c>
      <c r="M18" s="522" t="s">
        <v>485</v>
      </c>
      <c r="N18" s="523">
        <v>150000</v>
      </c>
      <c r="O18" s="522" t="s">
        <v>486</v>
      </c>
      <c r="P18" s="523">
        <v>130000</v>
      </c>
      <c r="Q18" s="535">
        <f>AVERAGE(N18,P18)</f>
        <v>140000</v>
      </c>
    </row>
    <row r="19" spans="1:19" ht="12.75" customHeight="1" x14ac:dyDescent="0.2">
      <c r="A19" s="1106"/>
      <c r="B19" s="517" t="str">
        <f>+'B) Reajuste Tarifas y Ocupación'!B15</f>
        <v>Jornada completa</v>
      </c>
      <c r="C19" s="426">
        <f>+'B) Reajuste Tarifas y Ocupación'!M15</f>
        <v>136800</v>
      </c>
      <c r="D19" s="427">
        <f>+'B) Reajuste Tarifas y Ocupación'!N15</f>
        <v>164200</v>
      </c>
      <c r="E19" s="427">
        <f>+'B) Reajuste Tarifas y Ocupación'!O15</f>
        <v>164200</v>
      </c>
      <c r="F19" s="427">
        <f>+'B) Reajuste Tarifas y Ocupación'!P15</f>
        <v>230900</v>
      </c>
      <c r="G19" s="526">
        <f>+'B) Reajuste Tarifas y Ocupación'!Q15</f>
        <v>344400</v>
      </c>
      <c r="H19" s="527">
        <f t="shared" si="0"/>
        <v>0.4522314049586777</v>
      </c>
      <c r="I19" s="528">
        <f t="shared" si="0"/>
        <v>0.54280991735537187</v>
      </c>
      <c r="J19" s="528">
        <f t="shared" si="0"/>
        <v>0.54280991735537187</v>
      </c>
      <c r="K19" s="528">
        <f t="shared" si="0"/>
        <v>0.76330578512396696</v>
      </c>
      <c r="L19" s="529">
        <f t="shared" si="0"/>
        <v>1.1385123966942148</v>
      </c>
      <c r="M19" s="530" t="s">
        <v>485</v>
      </c>
      <c r="N19" s="531">
        <v>325000</v>
      </c>
      <c r="O19" s="530" t="s">
        <v>486</v>
      </c>
      <c r="P19" s="531">
        <v>280000</v>
      </c>
      <c r="Q19" s="536">
        <f>AVERAGE(N19,P19)</f>
        <v>302500</v>
      </c>
    </row>
    <row r="20" spans="1:19" ht="27" customHeight="1" x14ac:dyDescent="0.2">
      <c r="A20" s="533" t="str">
        <f>'B) Reajuste Tarifas y Ocupación'!A16</f>
        <v>Jardín Infantil Pecesitos de Colores</v>
      </c>
      <c r="B20" s="534" t="str">
        <f>+'B) Reajuste Tarifas y Ocupación'!B16</f>
        <v>Media jornada</v>
      </c>
      <c r="C20" s="1097"/>
      <c r="D20" s="1097"/>
      <c r="E20" s="1097"/>
      <c r="F20" s="1097"/>
      <c r="G20" s="1097"/>
      <c r="H20" s="1103"/>
      <c r="I20" s="1103"/>
      <c r="J20" s="1103"/>
      <c r="K20" s="1103"/>
      <c r="L20" s="1103"/>
      <c r="M20" s="1104"/>
      <c r="N20" s="1104"/>
      <c r="O20" s="1104"/>
      <c r="P20" s="1104"/>
      <c r="Q20" s="537"/>
    </row>
    <row r="21" spans="1:19" ht="12.75" customHeight="1" x14ac:dyDescent="0.2">
      <c r="A21" s="1091" t="str">
        <f>'B) Reajuste Tarifas y Ocupación'!A17</f>
        <v>Jardín Infantil Caracolito de Mar</v>
      </c>
      <c r="B21" s="534" t="str">
        <f>+'B) Reajuste Tarifas y Ocupación'!B17</f>
        <v>Media jornada</v>
      </c>
      <c r="C21" s="1097"/>
      <c r="D21" s="1097"/>
      <c r="E21" s="1097"/>
      <c r="F21" s="1097"/>
      <c r="G21" s="1097"/>
      <c r="H21" s="1103"/>
      <c r="I21" s="1103"/>
      <c r="J21" s="1103"/>
      <c r="K21" s="1103"/>
      <c r="L21" s="1103"/>
      <c r="M21" s="1104"/>
      <c r="N21" s="1104"/>
      <c r="O21" s="1104"/>
      <c r="P21" s="1104"/>
      <c r="Q21" s="1097"/>
    </row>
    <row r="22" spans="1:19" ht="12.75" customHeight="1" x14ac:dyDescent="0.2">
      <c r="A22" s="1091"/>
      <c r="B22" s="538" t="str">
        <f>+'B) Reajuste Tarifas y Ocupación'!B18</f>
        <v>Jornada completa</v>
      </c>
      <c r="C22" s="1097"/>
      <c r="D22" s="1097"/>
      <c r="E22" s="1097"/>
      <c r="F22" s="1097"/>
      <c r="G22" s="1097"/>
      <c r="H22" s="1103"/>
      <c r="I22" s="1103"/>
      <c r="J22" s="1103"/>
      <c r="K22" s="1103"/>
      <c r="L22" s="1103"/>
      <c r="M22" s="1104"/>
      <c r="N22" s="1104"/>
      <c r="O22" s="1104"/>
      <c r="P22" s="1104"/>
      <c r="Q22" s="1097"/>
    </row>
    <row r="24" spans="1:19" ht="20.25" customHeight="1" x14ac:dyDescent="0.2">
      <c r="A24" s="1098" t="s">
        <v>72</v>
      </c>
      <c r="B24" s="1099" t="s">
        <v>42</v>
      </c>
      <c r="C24" s="952" t="s">
        <v>65</v>
      </c>
      <c r="D24" s="952"/>
      <c r="E24" s="952"/>
      <c r="F24" s="952"/>
      <c r="G24" s="952"/>
      <c r="H24" s="1100" t="s">
        <v>479</v>
      </c>
      <c r="I24" s="1100"/>
      <c r="J24" s="1100"/>
      <c r="K24" s="1100"/>
      <c r="L24" s="1100"/>
      <c r="M24" s="1101" t="s">
        <v>480</v>
      </c>
      <c r="N24" s="1101"/>
      <c r="O24" s="1102" t="s">
        <v>481</v>
      </c>
      <c r="P24" s="1102"/>
      <c r="Q24" s="1057" t="s">
        <v>482</v>
      </c>
    </row>
    <row r="25" spans="1:19" ht="84" customHeight="1" x14ac:dyDescent="0.2">
      <c r="A25" s="1098"/>
      <c r="B25" s="1099"/>
      <c r="C25" s="74" t="s">
        <v>49</v>
      </c>
      <c r="D25" s="75" t="s">
        <v>50</v>
      </c>
      <c r="E25" s="75" t="s">
        <v>51</v>
      </c>
      <c r="F25" s="75" t="s">
        <v>52</v>
      </c>
      <c r="G25" s="77" t="s">
        <v>53</v>
      </c>
      <c r="H25" s="539" t="s">
        <v>49</v>
      </c>
      <c r="I25" s="540" t="s">
        <v>50</v>
      </c>
      <c r="J25" s="196" t="s">
        <v>51</v>
      </c>
      <c r="K25" s="540" t="s">
        <v>52</v>
      </c>
      <c r="L25" s="541" t="s">
        <v>53</v>
      </c>
      <c r="M25" s="514" t="s">
        <v>483</v>
      </c>
      <c r="N25" s="542" t="s">
        <v>484</v>
      </c>
      <c r="O25" s="516" t="s">
        <v>483</v>
      </c>
      <c r="P25" s="542" t="s">
        <v>484</v>
      </c>
      <c r="Q25" s="1057"/>
    </row>
    <row r="26" spans="1:19" ht="12.75" customHeight="1" x14ac:dyDescent="0.2">
      <c r="A26" s="1093" t="str">
        <f>'B) Reajuste Tarifas y Ocupación'!A22</f>
        <v>Sala Cuna Caracolito de Mar</v>
      </c>
      <c r="B26" s="534" t="str">
        <f>+'B) Reajuste Tarifas y Ocupación'!B22</f>
        <v>Diurna</v>
      </c>
      <c r="C26" s="416">
        <f>+'B) Reajuste Tarifas y Ocupación'!M22</f>
        <v>327700</v>
      </c>
      <c r="D26" s="417">
        <f>+'B) Reajuste Tarifas y Ocupación'!N22</f>
        <v>393300</v>
      </c>
      <c r="E26" s="417">
        <f>+'B) Reajuste Tarifas y Ocupación'!O22</f>
        <v>393300</v>
      </c>
      <c r="F26" s="417">
        <f>+'B) Reajuste Tarifas y Ocupación'!P22</f>
        <v>409600</v>
      </c>
      <c r="G26" s="518">
        <f>+'B) Reajuste Tarifas y Ocupación'!Q22</f>
        <v>491600</v>
      </c>
      <c r="H26" s="519">
        <f>IFERROR(C26/$Q26,0)</f>
        <v>0.79926829268292687</v>
      </c>
      <c r="I26" s="520">
        <f>IFERROR(D26/$Q26,0)</f>
        <v>0.95926829268292679</v>
      </c>
      <c r="J26" s="520">
        <f>IFERROR(E26/$Q26,0)</f>
        <v>0.95926829268292679</v>
      </c>
      <c r="K26" s="520">
        <f>IFERROR(F26/$Q26,0)</f>
        <v>0.99902439024390244</v>
      </c>
      <c r="L26" s="543">
        <f>IFERROR(G26/$Q26,0)</f>
        <v>1.1990243902439024</v>
      </c>
      <c r="M26" s="544" t="s">
        <v>487</v>
      </c>
      <c r="N26" s="523">
        <v>400000</v>
      </c>
      <c r="O26" s="522" t="s">
        <v>488</v>
      </c>
      <c r="P26" s="523">
        <v>420000</v>
      </c>
      <c r="Q26" s="535">
        <f>AVERAGE(N26,P26)</f>
        <v>410000</v>
      </c>
    </row>
    <row r="27" spans="1:19" ht="12.75" customHeight="1" x14ac:dyDescent="0.2">
      <c r="A27" s="1093"/>
      <c r="B27" s="517" t="str">
        <f>+'B) Reajuste Tarifas y Ocupación'!B23</f>
        <v>Nocturna</v>
      </c>
      <c r="C27" s="1094"/>
      <c r="D27" s="1094"/>
      <c r="E27" s="1094"/>
      <c r="F27" s="1094"/>
      <c r="G27" s="1094"/>
      <c r="H27" s="1095"/>
      <c r="I27" s="1095"/>
      <c r="J27" s="1095"/>
      <c r="K27" s="1095"/>
      <c r="L27" s="1095"/>
      <c r="M27" s="1096"/>
      <c r="N27" s="1096"/>
      <c r="O27" s="1096"/>
      <c r="P27" s="1096"/>
      <c r="Q27" s="545"/>
    </row>
    <row r="28" spans="1:19" ht="12.75" customHeight="1" x14ac:dyDescent="0.2">
      <c r="A28" s="1093"/>
      <c r="B28" s="546" t="str">
        <f>+'B) Reajuste Tarifas y Ocupación'!B24</f>
        <v>Media Jornada</v>
      </c>
      <c r="C28" s="547">
        <f>+'B) Reajuste Tarifas y Ocupación'!M24</f>
        <v>196700</v>
      </c>
      <c r="D28" s="60">
        <f>+'B) Reajuste Tarifas y Ocupación'!N24</f>
        <v>236000</v>
      </c>
      <c r="E28" s="60">
        <f>+'B) Reajuste Tarifas y Ocupación'!O24</f>
        <v>236000</v>
      </c>
      <c r="F28" s="60">
        <f>+'B) Reajuste Tarifas y Ocupación'!P24</f>
        <v>295000</v>
      </c>
      <c r="G28" s="548">
        <f>+'B) Reajuste Tarifas y Ocupación'!Q24</f>
        <v>393300</v>
      </c>
      <c r="H28" s="527">
        <f t="shared" ref="H28:L29" si="1">IFERROR(C28/$Q28,0)</f>
        <v>1.0352631578947369</v>
      </c>
      <c r="I28" s="528">
        <f t="shared" si="1"/>
        <v>1.2421052631578948</v>
      </c>
      <c r="J28" s="528">
        <f t="shared" si="1"/>
        <v>1.2421052631578948</v>
      </c>
      <c r="K28" s="528">
        <f t="shared" si="1"/>
        <v>1.5526315789473684</v>
      </c>
      <c r="L28" s="549">
        <f t="shared" si="1"/>
        <v>2.0699999999999998</v>
      </c>
      <c r="M28" s="550" t="s">
        <v>489</v>
      </c>
      <c r="N28" s="551">
        <v>185000</v>
      </c>
      <c r="O28" s="552" t="s">
        <v>490</v>
      </c>
      <c r="P28" s="551">
        <v>195000</v>
      </c>
      <c r="Q28" s="536">
        <f>AVERAGE(N28,P28)</f>
        <v>190000</v>
      </c>
    </row>
    <row r="29" spans="1:19" ht="12.75" customHeight="1" x14ac:dyDescent="0.2">
      <c r="A29" s="1091" t="str">
        <f>'B) Reajuste Tarifas y Ocupación'!A25</f>
        <v>Sala Cuna Mar Azul</v>
      </c>
      <c r="B29" s="534" t="str">
        <f>+'B) Reajuste Tarifas y Ocupación'!B25</f>
        <v>Diurna</v>
      </c>
      <c r="C29" s="416">
        <f>+'B) Reajuste Tarifas y Ocupación'!M25</f>
        <v>327700</v>
      </c>
      <c r="D29" s="417">
        <f>+'B) Reajuste Tarifas y Ocupación'!N25</f>
        <v>393300</v>
      </c>
      <c r="E29" s="417">
        <f>+'B) Reajuste Tarifas y Ocupación'!O25</f>
        <v>393300</v>
      </c>
      <c r="F29" s="417">
        <f>+'B) Reajuste Tarifas y Ocupación'!P25</f>
        <v>409600</v>
      </c>
      <c r="G29" s="518">
        <f>+'B) Reajuste Tarifas y Ocupación'!Q25</f>
        <v>491600</v>
      </c>
      <c r="H29" s="519">
        <f t="shared" si="1"/>
        <v>0.82962025316455701</v>
      </c>
      <c r="I29" s="520">
        <f t="shared" si="1"/>
        <v>0.99569620253164559</v>
      </c>
      <c r="J29" s="520">
        <f t="shared" si="1"/>
        <v>0.99569620253164559</v>
      </c>
      <c r="K29" s="520">
        <f t="shared" si="1"/>
        <v>1.0369620253164558</v>
      </c>
      <c r="L29" s="543">
        <f t="shared" si="1"/>
        <v>1.2445569620253165</v>
      </c>
      <c r="M29" s="553" t="s">
        <v>491</v>
      </c>
      <c r="N29" s="554">
        <v>410000</v>
      </c>
      <c r="O29" s="555" t="s">
        <v>492</v>
      </c>
      <c r="P29" s="554">
        <v>380000</v>
      </c>
      <c r="Q29" s="556">
        <f>AVERAGE(N29,P29)</f>
        <v>395000</v>
      </c>
    </row>
    <row r="30" spans="1:19" ht="12.75" customHeight="1" x14ac:dyDescent="0.2">
      <c r="A30" s="1091"/>
      <c r="B30" s="517" t="str">
        <f>+'B) Reajuste Tarifas y Ocupación'!B26</f>
        <v>Nocturna</v>
      </c>
      <c r="C30" s="456">
        <f>+'B) Reajuste Tarifas y Ocupación'!M26</f>
        <v>264300</v>
      </c>
      <c r="D30" s="1041"/>
      <c r="E30" s="1041"/>
      <c r="F30" s="1041"/>
      <c r="G30" s="1041"/>
      <c r="H30" s="557">
        <f>IFERROR(C30/$Q30,0)</f>
        <v>0</v>
      </c>
      <c r="I30" s="1092"/>
      <c r="J30" s="1092"/>
      <c r="K30" s="1092"/>
      <c r="L30" s="1092"/>
      <c r="M30" s="558" t="s">
        <v>493</v>
      </c>
      <c r="N30" s="559">
        <v>0</v>
      </c>
      <c r="O30" s="560" t="s">
        <v>493</v>
      </c>
      <c r="P30" s="559">
        <v>0</v>
      </c>
      <c r="Q30" s="524">
        <f>AVERAGE(N30,P30)</f>
        <v>0</v>
      </c>
    </row>
    <row r="31" spans="1:19" ht="12.75" customHeight="1" x14ac:dyDescent="0.2">
      <c r="A31" s="1091"/>
      <c r="B31" s="538" t="str">
        <f>+'B) Reajuste Tarifas y Ocupación'!B27</f>
        <v>Media Jornada</v>
      </c>
      <c r="C31" s="426">
        <f>+'B) Reajuste Tarifas y Ocupación'!M27</f>
        <v>196700</v>
      </c>
      <c r="D31" s="427">
        <f>+'B) Reajuste Tarifas y Ocupación'!N27</f>
        <v>236000</v>
      </c>
      <c r="E31" s="427">
        <f>+'B) Reajuste Tarifas y Ocupación'!O27</f>
        <v>236000</v>
      </c>
      <c r="F31" s="427">
        <f>+'B) Reajuste Tarifas y Ocupación'!P27</f>
        <v>295000</v>
      </c>
      <c r="G31" s="526">
        <f>+'B) Reajuste Tarifas y Ocupación'!Q27</f>
        <v>393300</v>
      </c>
      <c r="H31" s="527">
        <f>IFERROR(C31/$Q31,0)</f>
        <v>0</v>
      </c>
      <c r="I31" s="528">
        <f>IFERROR(D31/$Q31,0)</f>
        <v>0</v>
      </c>
      <c r="J31" s="528">
        <f>IFERROR(E31/$Q31,0)</f>
        <v>0</v>
      </c>
      <c r="K31" s="528">
        <f>IFERROR(F31/$Q31,0)</f>
        <v>0</v>
      </c>
      <c r="L31" s="549">
        <f>IFERROR(G31/$Q31,0)</f>
        <v>0</v>
      </c>
      <c r="M31" s="550" t="s">
        <v>493</v>
      </c>
      <c r="N31" s="551">
        <v>0</v>
      </c>
      <c r="O31" s="552" t="s">
        <v>493</v>
      </c>
      <c r="P31" s="551">
        <v>0</v>
      </c>
      <c r="Q31" s="536">
        <f>AVERAGE(N31,P31)</f>
        <v>0</v>
      </c>
    </row>
  </sheetData>
  <sheetProtection sheet="1" objects="1" scenarios="1"/>
  <mergeCells count="37">
    <mergeCell ref="D4:F4"/>
    <mergeCell ref="A7:O9"/>
    <mergeCell ref="A12:D12"/>
    <mergeCell ref="A14:A15"/>
    <mergeCell ref="B14:B15"/>
    <mergeCell ref="C14:G14"/>
    <mergeCell ref="H14:L14"/>
    <mergeCell ref="M14:N14"/>
    <mergeCell ref="O14:P14"/>
    <mergeCell ref="Q14:Q15"/>
    <mergeCell ref="A16:A17"/>
    <mergeCell ref="A18:A19"/>
    <mergeCell ref="C20:G20"/>
    <mergeCell ref="H20:L20"/>
    <mergeCell ref="M20:N20"/>
    <mergeCell ref="O20:P20"/>
    <mergeCell ref="M27:N27"/>
    <mergeCell ref="O27:P27"/>
    <mergeCell ref="Q21:Q22"/>
    <mergeCell ref="A24:A25"/>
    <mergeCell ref="B24:B25"/>
    <mergeCell ref="C24:G24"/>
    <mergeCell ref="H24:L24"/>
    <mergeCell ref="M24:N24"/>
    <mergeCell ref="O24:P24"/>
    <mergeCell ref="Q24:Q25"/>
    <mergeCell ref="A21:A22"/>
    <mergeCell ref="C21:G22"/>
    <mergeCell ref="H21:L22"/>
    <mergeCell ref="M21:N22"/>
    <mergeCell ref="O21:P22"/>
    <mergeCell ref="A29:A31"/>
    <mergeCell ref="D30:G30"/>
    <mergeCell ref="I30:L30"/>
    <mergeCell ref="A26:A28"/>
    <mergeCell ref="C27:G27"/>
    <mergeCell ref="H27:L27"/>
  </mergeCell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17</vt:i4>
      </vt:variant>
    </vt:vector>
  </HeadingPairs>
  <TitlesOfParts>
    <vt:vector size="28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Egresos'!Print_Area_0</vt:lpstr>
      <vt:lpstr>'C) Costos Directos'!Print_Area_0</vt:lpstr>
      <vt:lpstr>'E) Resumen Tarifado '!Print_Area_0</vt:lpstr>
      <vt:lpstr>'A) Resumen Ingresos y Egresos'!Print_Titles_0</vt:lpstr>
      <vt:lpstr>'C) Costos Directos'!Print_Titles_0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revision>17</cp:revision>
  <cp:lastPrinted>2021-09-13T14:05:56Z</cp:lastPrinted>
  <dcterms:created xsi:type="dcterms:W3CDTF">2017-05-11T00:45:10Z</dcterms:created>
  <dcterms:modified xsi:type="dcterms:W3CDTF">2022-04-04T16:36:18Z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