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2\TRABAJADAS POR DEPTOS 2022\marzo 2022\FINALES MAR 2022\"/>
    </mc:Choice>
  </mc:AlternateContent>
  <bookViews>
    <workbookView xWindow="0" yWindow="0" windowWidth="27570" windowHeight="11880" tabRatio="929" firstSheet="1" activeTab="10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5">'D) Costos Indirectos'!$Y$7:$AL$18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62913"/>
</workbook>
</file>

<file path=xl/calcChain.xml><?xml version="1.0" encoding="utf-8"?>
<calcChain xmlns="http://schemas.openxmlformats.org/spreadsheetml/2006/main">
  <c r="F17" i="3" l="1"/>
  <c r="H23" i="7"/>
  <c r="G12" i="12"/>
  <c r="H12" i="12" s="1"/>
  <c r="F19" i="3"/>
  <c r="K30" i="12"/>
  <c r="H30" i="12"/>
  <c r="G20" i="3"/>
  <c r="H20" i="3" s="1"/>
  <c r="F20" i="3"/>
  <c r="H11" i="12"/>
  <c r="H28" i="12"/>
  <c r="H29" i="12"/>
  <c r="H31" i="12"/>
  <c r="H32" i="12"/>
  <c r="H33" i="12"/>
  <c r="H20" i="12"/>
  <c r="H21" i="12"/>
  <c r="H22" i="12"/>
  <c r="H23" i="12"/>
  <c r="H24" i="12"/>
  <c r="H16" i="12"/>
  <c r="H17" i="12"/>
  <c r="H18" i="12"/>
  <c r="H19" i="12"/>
  <c r="H13" i="12"/>
  <c r="H14" i="12"/>
  <c r="H15" i="12"/>
  <c r="O35" i="12"/>
  <c r="O34" i="12"/>
  <c r="O33" i="12"/>
  <c r="O27" i="12"/>
  <c r="O12" i="12"/>
  <c r="H27" i="12"/>
  <c r="F84" i="3" l="1"/>
  <c r="F83" i="3"/>
  <c r="D41" i="3"/>
  <c r="M55" i="3"/>
  <c r="M31" i="3" l="1"/>
  <c r="M29" i="3"/>
  <c r="P29" i="3"/>
  <c r="M28" i="3"/>
  <c r="I12" i="7"/>
  <c r="J12" i="7"/>
  <c r="K12" i="7"/>
  <c r="L12" i="7"/>
  <c r="I13" i="7"/>
  <c r="J13" i="7"/>
  <c r="K13" i="7"/>
  <c r="L13" i="7"/>
  <c r="I14" i="7"/>
  <c r="J14" i="7"/>
  <c r="K14" i="7"/>
  <c r="L14" i="7"/>
  <c r="I15" i="7"/>
  <c r="J15" i="7"/>
  <c r="K15" i="7"/>
  <c r="L15" i="7"/>
  <c r="I17" i="7"/>
  <c r="J17" i="7"/>
  <c r="K17" i="7"/>
  <c r="L17" i="7"/>
  <c r="M14" i="7"/>
  <c r="H24" i="7" l="1"/>
  <c r="M48" i="3" l="1"/>
  <c r="L117" i="3"/>
  <c r="H67" i="9"/>
  <c r="N60" i="9"/>
  <c r="C64" i="9"/>
  <c r="C69" i="9" s="1"/>
  <c r="C72" i="9" s="1"/>
  <c r="D64" i="9"/>
  <c r="D69" i="9" s="1"/>
  <c r="D72" i="9" s="1"/>
  <c r="B64" i="9"/>
  <c r="W21" i="13" l="1"/>
  <c r="W67" i="13"/>
  <c r="W38" i="13"/>
  <c r="W32" i="13"/>
  <c r="W23" i="13"/>
  <c r="M51" i="3" l="1"/>
  <c r="J23" i="16" l="1"/>
  <c r="B23" i="16"/>
  <c r="C18" i="16"/>
  <c r="D18" i="16"/>
  <c r="E18" i="16"/>
  <c r="F18" i="16"/>
  <c r="G18" i="16"/>
  <c r="H18" i="16"/>
  <c r="I18" i="16"/>
  <c r="J18" i="16"/>
  <c r="K18" i="16"/>
  <c r="L18" i="16"/>
  <c r="M18" i="16"/>
  <c r="B18" i="16"/>
  <c r="J11" i="16"/>
  <c r="B11" i="16"/>
  <c r="C6" i="16"/>
  <c r="D6" i="16"/>
  <c r="E6" i="16"/>
  <c r="F6" i="16"/>
  <c r="G6" i="16"/>
  <c r="H6" i="16"/>
  <c r="I6" i="16"/>
  <c r="J6" i="16"/>
  <c r="K6" i="16"/>
  <c r="L6" i="16"/>
  <c r="M6" i="16"/>
  <c r="B6" i="16"/>
  <c r="K12" i="12"/>
  <c r="K13" i="12"/>
  <c r="K14" i="12"/>
  <c r="K15" i="12"/>
  <c r="K16" i="12"/>
  <c r="K17" i="12"/>
  <c r="K18" i="12"/>
  <c r="K19" i="12"/>
  <c r="K22" i="12"/>
  <c r="K23" i="12"/>
  <c r="K27" i="12"/>
  <c r="K29" i="12"/>
  <c r="K31" i="12"/>
  <c r="K32" i="12"/>
  <c r="K33" i="12"/>
  <c r="H34" i="12"/>
  <c r="K34" i="12" s="1"/>
  <c r="H35" i="12"/>
  <c r="K35" i="12" s="1"/>
  <c r="R15" i="5"/>
  <c r="R13" i="5"/>
  <c r="H28" i="7"/>
  <c r="H26" i="7"/>
  <c r="H25" i="7"/>
  <c r="B27" i="7"/>
  <c r="M23" i="16" l="1"/>
  <c r="N23" i="16" s="1"/>
  <c r="D22" i="16"/>
  <c r="E10" i="16"/>
  <c r="F10" i="16"/>
  <c r="B22" i="16"/>
  <c r="J22" i="16"/>
  <c r="F22" i="16"/>
  <c r="G22" i="16"/>
  <c r="M22" i="16"/>
  <c r="I22" i="16"/>
  <c r="E22" i="16"/>
  <c r="K28" i="12"/>
  <c r="K22" i="16"/>
  <c r="C22" i="16"/>
  <c r="L22" i="16"/>
  <c r="H22" i="16"/>
  <c r="G10" i="16"/>
  <c r="K10" i="16"/>
  <c r="C10" i="16"/>
  <c r="B10" i="16"/>
  <c r="J10" i="16"/>
  <c r="K11" i="12"/>
  <c r="L11" i="12" s="1"/>
  <c r="I10" i="16"/>
  <c r="L10" i="16"/>
  <c r="H10" i="16"/>
  <c r="D10" i="16"/>
  <c r="M10" i="16"/>
  <c r="M11" i="16"/>
  <c r="N11" i="16" s="1"/>
  <c r="I28" i="7"/>
  <c r="I25" i="7"/>
  <c r="N22" i="16" l="1"/>
  <c r="N10" i="16"/>
  <c r="F125" i="3"/>
  <c r="H17" i="16"/>
  <c r="L17" i="16"/>
  <c r="E17" i="16"/>
  <c r="I17" i="16"/>
  <c r="M17" i="16"/>
  <c r="F17" i="16"/>
  <c r="J17" i="16"/>
  <c r="D17" i="16"/>
  <c r="G17" i="16"/>
  <c r="K17" i="16"/>
  <c r="F61" i="3"/>
  <c r="E5" i="16"/>
  <c r="I5" i="16"/>
  <c r="M5" i="16"/>
  <c r="H5" i="16"/>
  <c r="F5" i="16"/>
  <c r="J5" i="16"/>
  <c r="D5" i="16"/>
  <c r="G5" i="16"/>
  <c r="K5" i="16"/>
  <c r="L5" i="16"/>
  <c r="M17" i="7"/>
  <c r="T15" i="5"/>
  <c r="M15" i="7"/>
  <c r="T13" i="5"/>
  <c r="O15" i="7" l="1"/>
  <c r="N17" i="7"/>
  <c r="S15" i="5"/>
  <c r="Q17" i="7"/>
  <c r="V15" i="5"/>
  <c r="P17" i="7"/>
  <c r="U15" i="5"/>
  <c r="N15" i="7"/>
  <c r="S13" i="5"/>
  <c r="Q15" i="7"/>
  <c r="V13" i="5"/>
  <c r="P15" i="7"/>
  <c r="U13" i="5"/>
  <c r="O17" i="7"/>
  <c r="L15" i="5" l="1"/>
  <c r="K15" i="5"/>
  <c r="J15" i="5"/>
  <c r="I15" i="5"/>
  <c r="H15" i="5"/>
  <c r="L13" i="5"/>
  <c r="K13" i="5"/>
  <c r="J13" i="5"/>
  <c r="I13" i="5"/>
  <c r="H13" i="5"/>
  <c r="J38" i="2" l="1"/>
  <c r="E38" i="2" s="1"/>
  <c r="K38" i="2"/>
  <c r="F38" i="2" s="1"/>
  <c r="L38" i="2"/>
  <c r="G38" i="2" s="1"/>
  <c r="M38" i="2"/>
  <c r="H38" i="2" s="1"/>
  <c r="I38" i="2"/>
  <c r="J35" i="2"/>
  <c r="K35" i="2"/>
  <c r="L35" i="2"/>
  <c r="M35" i="2"/>
  <c r="I35" i="2"/>
  <c r="J32" i="2"/>
  <c r="K32" i="2"/>
  <c r="L32" i="2"/>
  <c r="M32" i="2"/>
  <c r="S15" i="13" l="1"/>
  <c r="S16" i="13"/>
  <c r="B36" i="12"/>
  <c r="B28" i="12"/>
  <c r="G138" i="3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5" i="3"/>
  <c r="H125" i="3" s="1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G105" i="3"/>
  <c r="H105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G129" i="3" l="1"/>
  <c r="G77" i="3"/>
  <c r="G111" i="3"/>
  <c r="H138" i="3"/>
  <c r="H137" i="3" s="1"/>
  <c r="G104" i="3"/>
  <c r="G120" i="3"/>
  <c r="H106" i="3"/>
  <c r="G82" i="3"/>
  <c r="G76" i="3" s="1"/>
  <c r="G139" i="3" s="1"/>
  <c r="D39" i="2" l="1"/>
  <c r="J36" i="2"/>
  <c r="D36" i="2"/>
  <c r="M36" i="2"/>
  <c r="G35" i="2"/>
  <c r="G36" i="2" s="1"/>
  <c r="K36" i="2"/>
  <c r="F35" i="2"/>
  <c r="F36" i="2" s="1"/>
  <c r="E35" i="2"/>
  <c r="E36" i="2" s="1"/>
  <c r="D33" i="2"/>
  <c r="H35" i="2" l="1"/>
  <c r="H36" i="2" s="1"/>
  <c r="L36" i="2"/>
  <c r="N21" i="3"/>
  <c r="O21" i="3"/>
  <c r="D86" i="3" s="1"/>
  <c r="N22" i="3"/>
  <c r="D23" i="3" s="1"/>
  <c r="O22" i="3"/>
  <c r="D87" i="3" s="1"/>
  <c r="H87" i="3" s="1"/>
  <c r="N23" i="3"/>
  <c r="O23" i="3"/>
  <c r="D88" i="3" s="1"/>
  <c r="H88" i="3" s="1"/>
  <c r="N24" i="3"/>
  <c r="D25" i="3" s="1"/>
  <c r="O24" i="3"/>
  <c r="D89" i="3" s="1"/>
  <c r="H89" i="3" s="1"/>
  <c r="N25" i="3"/>
  <c r="O25" i="3"/>
  <c r="D90" i="3" s="1"/>
  <c r="H90" i="3" s="1"/>
  <c r="N26" i="3"/>
  <c r="O26" i="3"/>
  <c r="D91" i="3" s="1"/>
  <c r="H91" i="3" s="1"/>
  <c r="N27" i="3"/>
  <c r="O27" i="3"/>
  <c r="D92" i="3" s="1"/>
  <c r="H92" i="3" s="1"/>
  <c r="N28" i="3"/>
  <c r="O28" i="3"/>
  <c r="D93" i="3" s="1"/>
  <c r="H93" i="3" s="1"/>
  <c r="N29" i="3"/>
  <c r="O29" i="3"/>
  <c r="D94" i="3" s="1"/>
  <c r="H94" i="3" s="1"/>
  <c r="N30" i="3"/>
  <c r="O30" i="3"/>
  <c r="D95" i="3" s="1"/>
  <c r="H95" i="3" s="1"/>
  <c r="N31" i="3"/>
  <c r="O31" i="3"/>
  <c r="D96" i="3" s="1"/>
  <c r="H96" i="3" s="1"/>
  <c r="N32" i="3"/>
  <c r="O32" i="3"/>
  <c r="N33" i="3"/>
  <c r="D34" i="3" s="1"/>
  <c r="O33" i="3"/>
  <c r="D98" i="3" s="1"/>
  <c r="H98" i="3" s="1"/>
  <c r="N34" i="3"/>
  <c r="O34" i="3"/>
  <c r="D99" i="3" s="1"/>
  <c r="H99" i="3" s="1"/>
  <c r="N35" i="3"/>
  <c r="O35" i="3"/>
  <c r="D100" i="3" s="1"/>
  <c r="H100" i="3" s="1"/>
  <c r="H101" i="3"/>
  <c r="N37" i="3"/>
  <c r="O37" i="3"/>
  <c r="D102" i="3" s="1"/>
  <c r="H102" i="3" s="1"/>
  <c r="N40" i="3"/>
  <c r="O40" i="3"/>
  <c r="D107" i="3" s="1"/>
  <c r="N41" i="3"/>
  <c r="O41" i="3"/>
  <c r="D108" i="3" s="1"/>
  <c r="H108" i="3" s="1"/>
  <c r="N43" i="3"/>
  <c r="D46" i="3" s="1"/>
  <c r="O43" i="3"/>
  <c r="D110" i="3" s="1"/>
  <c r="N45" i="3"/>
  <c r="D48" i="3" s="1"/>
  <c r="O45" i="3"/>
  <c r="D112" i="3" s="1"/>
  <c r="N46" i="3"/>
  <c r="O46" i="3"/>
  <c r="D113" i="3" s="1"/>
  <c r="H113" i="3" s="1"/>
  <c r="N47" i="3"/>
  <c r="O47" i="3"/>
  <c r="D114" i="3" s="1"/>
  <c r="H114" i="3" s="1"/>
  <c r="N48" i="3"/>
  <c r="O48" i="3"/>
  <c r="D115" i="3" s="1"/>
  <c r="H115" i="3" s="1"/>
  <c r="N49" i="3"/>
  <c r="O49" i="3"/>
  <c r="D116" i="3" s="1"/>
  <c r="H116" i="3" s="1"/>
  <c r="N50" i="3"/>
  <c r="O50" i="3"/>
  <c r="D117" i="3" s="1"/>
  <c r="H117" i="3" s="1"/>
  <c r="N51" i="3"/>
  <c r="O51" i="3"/>
  <c r="D118" i="3" s="1"/>
  <c r="H118" i="3" s="1"/>
  <c r="N52" i="3"/>
  <c r="O52" i="3"/>
  <c r="D119" i="3" s="1"/>
  <c r="H119" i="3" s="1"/>
  <c r="N54" i="3"/>
  <c r="O54" i="3"/>
  <c r="D121" i="3" s="1"/>
  <c r="H121" i="3" s="1"/>
  <c r="N55" i="3"/>
  <c r="O55" i="3"/>
  <c r="D122" i="3" s="1"/>
  <c r="N56" i="3"/>
  <c r="O56" i="3"/>
  <c r="N57" i="3"/>
  <c r="O57" i="3"/>
  <c r="D124" i="3" s="1"/>
  <c r="H124" i="3" s="1"/>
  <c r="N58" i="3"/>
  <c r="O58" i="3"/>
  <c r="D126" i="3" s="1"/>
  <c r="H126" i="3" s="1"/>
  <c r="N59" i="3"/>
  <c r="O59" i="3"/>
  <c r="D127" i="3" s="1"/>
  <c r="H127" i="3" s="1"/>
  <c r="N60" i="3"/>
  <c r="O60" i="3"/>
  <c r="D128" i="3" s="1"/>
  <c r="H128" i="3" s="1"/>
  <c r="N62" i="3"/>
  <c r="O62" i="3"/>
  <c r="D130" i="3" s="1"/>
  <c r="N63" i="3"/>
  <c r="O63" i="3"/>
  <c r="D131" i="3" s="1"/>
  <c r="H131" i="3" s="1"/>
  <c r="N64" i="3"/>
  <c r="O64" i="3"/>
  <c r="D132" i="3" s="1"/>
  <c r="H132" i="3" s="1"/>
  <c r="N65" i="3"/>
  <c r="O65" i="3"/>
  <c r="D133" i="3" s="1"/>
  <c r="H133" i="3" s="1"/>
  <c r="N66" i="3"/>
  <c r="O66" i="3"/>
  <c r="D134" i="3" s="1"/>
  <c r="H134" i="3" s="1"/>
  <c r="N67" i="3"/>
  <c r="O67" i="3"/>
  <c r="D135" i="3" s="1"/>
  <c r="H135" i="3" s="1"/>
  <c r="N68" i="3"/>
  <c r="O68" i="3"/>
  <c r="D136" i="3" s="1"/>
  <c r="H136" i="3" s="1"/>
  <c r="D123" i="3" l="1"/>
  <c r="H123" i="3" s="1"/>
  <c r="D97" i="3"/>
  <c r="H97" i="3" s="1"/>
  <c r="H112" i="3"/>
  <c r="H111" i="3" s="1"/>
  <c r="D111" i="3"/>
  <c r="H86" i="3"/>
  <c r="D82" i="3"/>
  <c r="H130" i="3"/>
  <c r="H129" i="3" s="1"/>
  <c r="D129" i="3"/>
  <c r="D120" i="3"/>
  <c r="H122" i="3"/>
  <c r="D109" i="3"/>
  <c r="H110" i="3"/>
  <c r="H109" i="3" s="1"/>
  <c r="H107" i="3"/>
  <c r="H104" i="3" s="1"/>
  <c r="D104" i="3"/>
  <c r="G21" i="1"/>
  <c r="G19" i="1"/>
  <c r="D201" i="3"/>
  <c r="D193" i="3"/>
  <c r="D184" i="3"/>
  <c r="D175" i="3"/>
  <c r="D173" i="3"/>
  <c r="D172" i="3"/>
  <c r="D171" i="3"/>
  <c r="A19" i="1"/>
  <c r="B19" i="1"/>
  <c r="Q19" i="1"/>
  <c r="B20" i="1"/>
  <c r="Q20" i="1"/>
  <c r="B21" i="1"/>
  <c r="C21" i="1"/>
  <c r="Q21" i="1"/>
  <c r="A13" i="5"/>
  <c r="B13" i="5"/>
  <c r="C13" i="5"/>
  <c r="M13" i="5" s="1"/>
  <c r="B14" i="5"/>
  <c r="B15" i="5"/>
  <c r="C15" i="5"/>
  <c r="M15" i="5" s="1"/>
  <c r="D67" i="3"/>
  <c r="D68" i="3"/>
  <c r="D69" i="3"/>
  <c r="D70" i="3"/>
  <c r="D72" i="3"/>
  <c r="D66" i="3"/>
  <c r="D64" i="3"/>
  <c r="D62" i="3"/>
  <c r="D58" i="3"/>
  <c r="D59" i="3"/>
  <c r="D60" i="3"/>
  <c r="D57" i="3"/>
  <c r="D55" i="3"/>
  <c r="D54" i="3"/>
  <c r="D49" i="3"/>
  <c r="D50" i="3"/>
  <c r="D51" i="3"/>
  <c r="D52" i="3"/>
  <c r="D44" i="3"/>
  <c r="D43" i="3"/>
  <c r="D38" i="3"/>
  <c r="D36" i="3"/>
  <c r="D35" i="3"/>
  <c r="D26" i="3"/>
  <c r="D27" i="3"/>
  <c r="D28" i="3"/>
  <c r="D29" i="3"/>
  <c r="D32" i="3"/>
  <c r="D33" i="3"/>
  <c r="D24" i="3"/>
  <c r="D22" i="3"/>
  <c r="D30" i="3"/>
  <c r="D31" i="3"/>
  <c r="D53" i="3"/>
  <c r="D71" i="3"/>
  <c r="F21" i="1"/>
  <c r="E21" i="1"/>
  <c r="D15" i="5"/>
  <c r="N15" i="5" s="1"/>
  <c r="F19" i="1"/>
  <c r="E13" i="5"/>
  <c r="O13" i="5" s="1"/>
  <c r="D13" i="5"/>
  <c r="N13" i="5" s="1"/>
  <c r="B34" i="2"/>
  <c r="B31" i="2"/>
  <c r="E32" i="2"/>
  <c r="F32" i="2"/>
  <c r="G32" i="2"/>
  <c r="H32" i="2"/>
  <c r="I32" i="2"/>
  <c r="B37" i="2"/>
  <c r="A31" i="2"/>
  <c r="A20" i="16" s="1"/>
  <c r="B26" i="7"/>
  <c r="B28" i="7"/>
  <c r="B23" i="7"/>
  <c r="A26" i="7"/>
  <c r="H120" i="3" l="1"/>
  <c r="H103" i="3" s="1"/>
  <c r="H82" i="3"/>
  <c r="D40" i="3"/>
  <c r="H21" i="1"/>
  <c r="P40" i="2"/>
  <c r="G15" i="5"/>
  <c r="Q15" i="5" s="1"/>
  <c r="J21" i="1"/>
  <c r="D168" i="3"/>
  <c r="D167" i="3" s="1"/>
  <c r="F15" i="5"/>
  <c r="P15" i="5" s="1"/>
  <c r="D103" i="3"/>
  <c r="J138" i="3"/>
  <c r="F13" i="5"/>
  <c r="P13" i="5" s="1"/>
  <c r="E19" i="1"/>
  <c r="J19" i="1" s="1"/>
  <c r="J20" i="1"/>
  <c r="D18" i="3"/>
  <c r="G13" i="5"/>
  <c r="Q13" i="5" s="1"/>
  <c r="D21" i="1"/>
  <c r="I21" i="1" s="1"/>
  <c r="K20" i="1"/>
  <c r="E15" i="5"/>
  <c r="O15" i="5" s="1"/>
  <c r="D19" i="1"/>
  <c r="I19" i="1" s="1"/>
  <c r="L28" i="12"/>
  <c r="D78" i="3" s="1"/>
  <c r="L21" i="1"/>
  <c r="L20" i="1"/>
  <c r="K21" i="1"/>
  <c r="H20" i="1"/>
  <c r="I20" i="1"/>
  <c r="K19" i="1"/>
  <c r="L19" i="1"/>
  <c r="D40" i="2"/>
  <c r="A23" i="7"/>
  <c r="J37" i="2"/>
  <c r="J31" i="2"/>
  <c r="J39" i="2" l="1"/>
  <c r="E37" i="2"/>
  <c r="E39" i="2" s="1"/>
  <c r="H78" i="3"/>
  <c r="H77" i="3" s="1"/>
  <c r="H76" i="3" s="1"/>
  <c r="H139" i="3" s="1"/>
  <c r="D77" i="3"/>
  <c r="D76" i="3" s="1"/>
  <c r="D139" i="3" s="1"/>
  <c r="J33" i="2"/>
  <c r="E31" i="2"/>
  <c r="E33" i="2" s="1"/>
  <c r="E40" i="2" s="1"/>
  <c r="N36" i="2"/>
  <c r="I31" i="2"/>
  <c r="I33" i="2" s="1"/>
  <c r="K31" i="2"/>
  <c r="L31" i="2"/>
  <c r="M31" i="2"/>
  <c r="M33" i="2" s="1"/>
  <c r="I36" i="2"/>
  <c r="L37" i="2"/>
  <c r="I37" i="2"/>
  <c r="I39" i="2" s="1"/>
  <c r="K37" i="2"/>
  <c r="M37" i="2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J30" i="3" s="1"/>
  <c r="G29" i="3"/>
  <c r="H29" i="3" s="1"/>
  <c r="J29" i="3" s="1"/>
  <c r="G28" i="3"/>
  <c r="H28" i="3" s="1"/>
  <c r="J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19" i="3"/>
  <c r="G17" i="3"/>
  <c r="H17" i="3" s="1"/>
  <c r="G16" i="3"/>
  <c r="H16" i="3" s="1"/>
  <c r="G15" i="3"/>
  <c r="H15" i="3" s="1"/>
  <c r="G14" i="3"/>
  <c r="J139" i="3" l="1"/>
  <c r="C24" i="16"/>
  <c r="G24" i="16"/>
  <c r="K24" i="16"/>
  <c r="D24" i="16"/>
  <c r="H24" i="16"/>
  <c r="L24" i="16"/>
  <c r="E24" i="16"/>
  <c r="I24" i="16"/>
  <c r="M24" i="16"/>
  <c r="F24" i="16"/>
  <c r="J24" i="16"/>
  <c r="B24" i="16"/>
  <c r="J40" i="2"/>
  <c r="L39" i="2"/>
  <c r="G37" i="2"/>
  <c r="G39" i="2" s="1"/>
  <c r="M39" i="2"/>
  <c r="H37" i="2"/>
  <c r="K39" i="2"/>
  <c r="F37" i="2"/>
  <c r="F39" i="2" s="1"/>
  <c r="L33" i="2"/>
  <c r="G31" i="2"/>
  <c r="G33" i="2" s="1"/>
  <c r="K33" i="2"/>
  <c r="F31" i="2"/>
  <c r="F33" i="2" s="1"/>
  <c r="G13" i="3"/>
  <c r="G18" i="3"/>
  <c r="H41" i="3"/>
  <c r="H40" i="3" s="1"/>
  <c r="G40" i="3"/>
  <c r="D39" i="3"/>
  <c r="I40" i="2"/>
  <c r="H31" i="2"/>
  <c r="H33" i="2" s="1"/>
  <c r="G193" i="3"/>
  <c r="G141" i="3"/>
  <c r="G168" i="3"/>
  <c r="G175" i="3"/>
  <c r="G146" i="3"/>
  <c r="G56" i="3"/>
  <c r="G65" i="3"/>
  <c r="G184" i="3"/>
  <c r="O36" i="2"/>
  <c r="D142" i="3"/>
  <c r="H142" i="3" s="1"/>
  <c r="H141" i="3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G47" i="3"/>
  <c r="H66" i="3"/>
  <c r="H19" i="3"/>
  <c r="H18" i="3" s="1"/>
  <c r="H46" i="3"/>
  <c r="H45" i="3" s="1"/>
  <c r="H57" i="3"/>
  <c r="H56" i="3" s="1"/>
  <c r="H74" i="3"/>
  <c r="H73" i="3" s="1"/>
  <c r="F40" i="2" l="1"/>
  <c r="N24" i="16"/>
  <c r="K40" i="2"/>
  <c r="D141" i="3"/>
  <c r="D140" i="3" s="1"/>
  <c r="D203" i="3" s="1"/>
  <c r="O39" i="2"/>
  <c r="L40" i="2"/>
  <c r="H39" i="2"/>
  <c r="N39" i="2" s="1"/>
  <c r="J74" i="3"/>
  <c r="F10" i="2"/>
  <c r="Q36" i="2"/>
  <c r="M40" i="2"/>
  <c r="J202" i="3"/>
  <c r="G167" i="3"/>
  <c r="G12" i="3"/>
  <c r="H140" i="3"/>
  <c r="G140" i="3"/>
  <c r="G40" i="2"/>
  <c r="N33" i="2"/>
  <c r="O33" i="2"/>
  <c r="H65" i="3"/>
  <c r="H39" i="3" s="1"/>
  <c r="H167" i="3"/>
  <c r="Q39" i="2" l="1"/>
  <c r="H40" i="2"/>
  <c r="G203" i="3"/>
  <c r="J206" i="3"/>
  <c r="O40" i="2"/>
  <c r="C10" i="2"/>
  <c r="N40" i="2"/>
  <c r="B10" i="2"/>
  <c r="G75" i="3"/>
  <c r="H203" i="3"/>
  <c r="J203" i="3" s="1"/>
  <c r="Q33" i="2"/>
  <c r="F21" i="16" l="1"/>
  <c r="F25" i="16" s="1"/>
  <c r="J21" i="16"/>
  <c r="J25" i="16" s="1"/>
  <c r="B21" i="16"/>
  <c r="C21" i="16"/>
  <c r="C25" i="16" s="1"/>
  <c r="G21" i="16"/>
  <c r="G25" i="16" s="1"/>
  <c r="K21" i="16"/>
  <c r="K25" i="16" s="1"/>
  <c r="D21" i="16"/>
  <c r="D25" i="16" s="1"/>
  <c r="H21" i="16"/>
  <c r="H25" i="16" s="1"/>
  <c r="L21" i="16"/>
  <c r="L25" i="16" s="1"/>
  <c r="E21" i="16"/>
  <c r="E25" i="16" s="1"/>
  <c r="I21" i="16"/>
  <c r="I25" i="16" s="1"/>
  <c r="M21" i="16"/>
  <c r="M25" i="16" s="1"/>
  <c r="Q40" i="2"/>
  <c r="E10" i="2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M11" i="5" s="1"/>
  <c r="Q13" i="7"/>
  <c r="M24" i="2" s="1"/>
  <c r="P13" i="7"/>
  <c r="L24" i="2" s="1"/>
  <c r="O13" i="7"/>
  <c r="E11" i="5" s="1"/>
  <c r="O11" i="5" s="1"/>
  <c r="N13" i="7" l="1"/>
  <c r="D17" i="1" s="1"/>
  <c r="I17" i="1" s="1"/>
  <c r="U11" i="5"/>
  <c r="I24" i="2"/>
  <c r="T11" i="5"/>
  <c r="E17" i="1"/>
  <c r="J17" i="1" s="1"/>
  <c r="K24" i="2"/>
  <c r="S11" i="5"/>
  <c r="C17" i="1"/>
  <c r="H17" i="1" s="1"/>
  <c r="V11" i="5"/>
  <c r="G11" i="5"/>
  <c r="Q11" i="5" s="1"/>
  <c r="G17" i="1"/>
  <c r="L17" i="1" s="1"/>
  <c r="F11" i="5"/>
  <c r="P11" i="5" s="1"/>
  <c r="F17" i="1"/>
  <c r="K17" i="1" s="1"/>
  <c r="B24" i="7"/>
  <c r="B25" i="7"/>
  <c r="D11" i="5" l="1"/>
  <c r="N11" i="5" s="1"/>
  <c r="J24" i="2"/>
  <c r="E24" i="2" s="1"/>
  <c r="P26" i="2"/>
  <c r="M26" i="2"/>
  <c r="K26" i="2"/>
  <c r="I26" i="2"/>
  <c r="L26" i="2"/>
  <c r="G25" i="2"/>
  <c r="E25" i="2"/>
  <c r="H24" i="2"/>
  <c r="F24" i="2"/>
  <c r="D24" i="2"/>
  <c r="E26" i="2" l="1"/>
  <c r="J26" i="2"/>
  <c r="O26" i="2" s="1"/>
  <c r="G24" i="2"/>
  <c r="G26" i="2" s="1"/>
  <c r="F25" i="2"/>
  <c r="F26" i="2" s="1"/>
  <c r="D25" i="2"/>
  <c r="D26" i="2" s="1"/>
  <c r="H25" i="2"/>
  <c r="H26" i="2" s="1"/>
  <c r="N26" i="2" l="1"/>
  <c r="Q26" i="2" s="1"/>
  <c r="N12" i="7" l="1"/>
  <c r="M12" i="7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2" i="2"/>
  <c r="R62" i="13" l="1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I21" i="2"/>
  <c r="AP15" i="13" l="1"/>
  <c r="AN15" i="13"/>
  <c r="AR15" i="13"/>
  <c r="C12" i="5"/>
  <c r="M12" i="5" s="1"/>
  <c r="C18" i="1"/>
  <c r="D16" i="1"/>
  <c r="I16" i="1" s="1"/>
  <c r="S10" i="5"/>
  <c r="O14" i="7"/>
  <c r="N14" i="7"/>
  <c r="Q12" i="7"/>
  <c r="P12" i="7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K28" i="2" l="1"/>
  <c r="F28" i="2" s="1"/>
  <c r="K22" i="2"/>
  <c r="F22" i="2" s="1"/>
  <c r="O12" i="7"/>
  <c r="P41" i="2" l="1"/>
  <c r="B9" i="16"/>
  <c r="T10" i="5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K29" i="2"/>
  <c r="E4" i="12"/>
  <c r="B11" i="12"/>
  <c r="K30" i="2" l="1"/>
  <c r="K41" i="2" s="1"/>
  <c r="F30" i="2"/>
  <c r="F41" i="2" s="1"/>
  <c r="D14" i="3"/>
  <c r="L42" i="12" l="1"/>
  <c r="C16" i="1"/>
  <c r="H16" i="1" s="1"/>
  <c r="D13" i="3" l="1"/>
  <c r="D12" i="3" s="1"/>
  <c r="H14" i="3"/>
  <c r="H13" i="3" s="1"/>
  <c r="H12" i="3" s="1"/>
  <c r="H75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E12" i="16" l="1"/>
  <c r="I12" i="16"/>
  <c r="M12" i="16"/>
  <c r="H12" i="16"/>
  <c r="F12" i="16"/>
  <c r="J12" i="16"/>
  <c r="D12" i="16"/>
  <c r="G12" i="16"/>
  <c r="K12" i="16"/>
  <c r="C12" i="16"/>
  <c r="L12" i="16"/>
  <c r="B12" i="16"/>
  <c r="J75" i="3"/>
  <c r="J207" i="3" s="1"/>
  <c r="H204" i="3"/>
  <c r="D23" i="2"/>
  <c r="H22" i="2"/>
  <c r="M23" i="2"/>
  <c r="D28" i="2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I30" i="2" l="1"/>
  <c r="I41" i="2" s="1"/>
  <c r="M30" i="2"/>
  <c r="M41" i="2" s="1"/>
  <c r="L30" i="2"/>
  <c r="L41" i="2" s="1"/>
  <c r="N12" i="16"/>
  <c r="B13" i="16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G29" i="2"/>
  <c r="D29" i="2"/>
  <c r="D30" i="2" s="1"/>
  <c r="H29" i="2"/>
  <c r="H30" i="2" l="1"/>
  <c r="G30" i="2"/>
  <c r="G41" i="2" s="1"/>
  <c r="H41" i="2"/>
  <c r="D41" i="2"/>
  <c r="F9" i="2" l="1"/>
  <c r="F12" i="2" s="1"/>
  <c r="G9" i="2" l="1"/>
  <c r="G10" i="2"/>
  <c r="J27" i="2"/>
  <c r="H10" i="2" l="1"/>
  <c r="H9" i="2"/>
  <c r="J29" i="2"/>
  <c r="E27" i="2"/>
  <c r="E29" i="2" s="1"/>
  <c r="H12" i="2" l="1"/>
  <c r="G12" i="2"/>
  <c r="N29" i="2"/>
  <c r="O29" i="2"/>
  <c r="L11" i="2" l="1"/>
  <c r="L10" i="2"/>
  <c r="L9" i="2"/>
  <c r="L12" i="2" s="1"/>
  <c r="Q29" i="2"/>
  <c r="D10" i="5" l="1"/>
  <c r="N10" i="5" s="1"/>
  <c r="J21" i="2"/>
  <c r="J23" i="2" s="1"/>
  <c r="J30" i="2" l="1"/>
  <c r="J41" i="2" s="1"/>
  <c r="E21" i="2"/>
  <c r="E23" i="2" s="1"/>
  <c r="O23" i="2"/>
  <c r="E30" i="2" l="1"/>
  <c r="E41" i="2" s="1"/>
  <c r="O30" i="2"/>
  <c r="N23" i="2"/>
  <c r="N30" i="2" s="1"/>
  <c r="C9" i="16" l="1"/>
  <c r="D9" i="16"/>
  <c r="D13" i="16" s="1"/>
  <c r="H9" i="16"/>
  <c r="H13" i="16" s="1"/>
  <c r="L9" i="16"/>
  <c r="L13" i="16" s="1"/>
  <c r="G9" i="16"/>
  <c r="G13" i="16" s="1"/>
  <c r="I9" i="16"/>
  <c r="I13" i="16" s="1"/>
  <c r="M9" i="16"/>
  <c r="M13" i="16" s="1"/>
  <c r="F9" i="16"/>
  <c r="F13" i="16" s="1"/>
  <c r="J9" i="16"/>
  <c r="J13" i="16" s="1"/>
  <c r="E9" i="16"/>
  <c r="E13" i="16" s="1"/>
  <c r="K9" i="16"/>
  <c r="K13" i="16" s="1"/>
  <c r="O41" i="2"/>
  <c r="N41" i="2"/>
  <c r="C9" i="2"/>
  <c r="C12" i="2" s="1"/>
  <c r="Q23" i="2"/>
  <c r="Q30" i="2" s="1"/>
  <c r="N9" i="16" l="1"/>
  <c r="N13" i="16" s="1"/>
  <c r="C13" i="16"/>
  <c r="I10" i="2"/>
  <c r="Q41" i="2"/>
  <c r="B9" i="2"/>
  <c r="E9" i="2" s="1"/>
  <c r="B12" i="2" l="1"/>
  <c r="E12" i="2"/>
  <c r="I9" i="2" l="1"/>
  <c r="I12" i="2" s="1"/>
  <c r="D75" i="3"/>
  <c r="D204" i="3" s="1"/>
</calcChain>
</file>

<file path=xl/sharedStrings.xml><?xml version="1.0" encoding="utf-8"?>
<sst xmlns="http://schemas.openxmlformats.org/spreadsheetml/2006/main" count="894" uniqueCount="371">
  <si>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</si>
  <si>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</si>
  <si>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</si>
  <si>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</si>
  <si>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</si>
  <si>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</si>
  <si>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</si>
  <si>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</si>
  <si>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</si>
  <si>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</si>
  <si>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</si>
  <si>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</si>
  <si>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</si>
  <si>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</si>
  <si>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</si>
  <si>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</si>
  <si>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</si>
  <si>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</si>
  <si>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</si>
  <si>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</si>
  <si>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</si>
  <si>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</si>
  <si>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</si>
  <si>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</si>
  <si>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</si>
  <si>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</si>
  <si>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</si>
  <si>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</si>
  <si>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</si>
  <si>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</si>
  <si>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</si>
  <si>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</si>
  <si>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</si>
  <si>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</si>
  <si>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</si>
  <si>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</si>
  <si>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</si>
  <si>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</si>
  <si>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</si>
  <si>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</si>
  <si>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</si>
  <si>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</si>
  <si>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</si>
  <si>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</si>
  <si>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</si>
  <si>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</si>
  <si>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</si>
  <si>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</si>
  <si>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</si>
  <si>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</si>
  <si>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</si>
  <si>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</si>
  <si>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</si>
  <si>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</si>
  <si>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</si>
  <si>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</si>
  <si>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</si>
  <si>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</si>
  <si>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</si>
  <si>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</si>
  <si>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</si>
  <si>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</si>
  <si>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</si>
  <si>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</si>
  <si>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</si>
  <si>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</si>
  <si>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</si>
  <si>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</si>
  <si>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</si>
  <si>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</si>
  <si>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</si>
  <si>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</si>
  <si>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</si>
  <si>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</si>
  <si>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</si>
  <si>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</si>
  <si>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</si>
  <si>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</si>
  <si>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</si>
  <si>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</si>
  <si>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</si>
  <si>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</si>
  <si>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</si>
  <si>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</si>
  <si>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</si>
  <si>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</si>
  <si>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</si>
  <si>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</si>
  <si>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</si>
  <si>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</si>
  <si>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</si>
  <si>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</si>
  <si>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</si>
  <si>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</si>
  <si>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</si>
  <si>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</si>
  <si>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</si>
  <si>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</si>
  <si>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</si>
  <si>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</si>
  <si>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</si>
  <si>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</si>
  <si>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</si>
  <si>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</si>
  <si>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</si>
  <si>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</si>
  <si>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</si>
  <si>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</si>
  <si>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</si>
  <si>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</si>
  <si>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</si>
  <si>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</si>
  <si>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</si>
  <si>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</si>
  <si>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</si>
  <si>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</si>
  <si>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</si>
  <si>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</si>
  <si>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</si>
  <si>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</si>
  <si>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</si>
  <si>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</si>
  <si>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</si>
  <si>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</si>
  <si>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</si>
  <si>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</si>
  <si>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</si>
  <si>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</si>
  <si>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</si>
  <si>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</si>
  <si>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</si>
  <si>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</si>
  <si>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</si>
  <si>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</si>
  <si>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</si>
  <si>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</si>
  <si>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</si>
  <si>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</si>
  <si>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</si>
  <si>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</si>
  <si>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</si>
  <si>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</si>
  <si>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</si>
  <si>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</si>
  <si>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</si>
  <si>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</si>
  <si>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</si>
  <si>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</si>
  <si>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</si>
  <si>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</si>
  <si>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</si>
  <si>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</si>
  <si>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</si>
  <si>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</si>
  <si>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</si>
  <si>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</si>
  <si>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</si>
  <si>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</si>
  <si>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</si>
  <si>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</si>
  <si>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</si>
  <si>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</si>
  <si>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</si>
  <si>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</si>
  <si>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</si>
  <si>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</si>
  <si>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</si>
  <si>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</si>
  <si>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</si>
  <si>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</si>
  <si>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</si>
  <si>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</si>
  <si>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</si>
  <si>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</si>
  <si>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</si>
  <si>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</si>
  <si>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</si>
  <si>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</si>
  <si>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</si>
  <si>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</si>
  <si>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</si>
  <si>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</si>
  <si>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</si>
  <si>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</si>
  <si>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</si>
  <si>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</si>
  <si>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</si>
  <si>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</si>
  <si>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</si>
  <si>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</si>
  <si>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</si>
  <si>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</si>
  <si>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</si>
  <si>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</si>
  <si>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</si>
  <si>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</si>
  <si>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</si>
  <si>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</si>
  <si>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</si>
  <si>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</si>
  <si>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</si>
  <si>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</si>
  <si>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</si>
  <si>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</si>
  <si>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</si>
  <si>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</si>
  <si>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</si>
  <si>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</si>
  <si>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</si>
  <si>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</si>
  <si>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</si>
  <si>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</si>
  <si>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</si>
  <si>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</si>
  <si>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</si>
  <si>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</si>
  <si>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</si>
  <si>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</si>
  <si>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</si>
  <si>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</si>
  <si>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</si>
  <si>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</si>
  <si>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</si>
  <si>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</si>
  <si>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</si>
  <si>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</si>
  <si>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>Media Jornada</t>
  </si>
  <si>
    <t>Nocturna</t>
  </si>
  <si>
    <t>Diurna</t>
  </si>
  <si>
    <t>Mensualidad 2021</t>
  </si>
  <si>
    <t>TOTAL</t>
  </si>
  <si>
    <t>Sala Cuna ABC</t>
  </si>
  <si>
    <t>Jardín Infantil Pequeños Héroes</t>
  </si>
  <si>
    <t>Sala Cuna Pequeños Héroes</t>
  </si>
  <si>
    <t>JI (70%)</t>
  </si>
  <si>
    <t>SC (30%)</t>
  </si>
  <si>
    <t xml:space="preserve"> COSTOS DIRECTOS COMUNES  "JARDIN INFANTIL Y SALA CUNA PEQUEÑOS HÉROES"</t>
  </si>
  <si>
    <t>Sala Cuna Pequeños Héroes Diurna</t>
  </si>
  <si>
    <t>Sala Cuna Pequeños Héroes Nocturna</t>
  </si>
  <si>
    <t>SUPLENCIAS Y REEMPLAZOS (EC o PAC)</t>
  </si>
  <si>
    <t>CALZADO DE PERSONAL DE COCINA</t>
  </si>
  <si>
    <t>Matrícula 2022</t>
  </si>
  <si>
    <t>Mensualidad 2022</t>
  </si>
  <si>
    <t>Tarifa 2022</t>
  </si>
  <si>
    <t>Propuesta Mensualidad 2022</t>
  </si>
  <si>
    <t>Meta Ocupación niños 2022</t>
  </si>
  <si>
    <t>COSTO DIRECTO ESTIMADO 2022</t>
  </si>
  <si>
    <t>Costo Total por Servidor Reajustado 2022</t>
  </si>
  <si>
    <t>COSTO INDIRECTO ESTIMADO 2022</t>
  </si>
  <si>
    <t>REMUNERACIONES 2021</t>
  </si>
  <si>
    <t>Costo Total anual por Servidor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</si>
  <si>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</si>
  <si>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</si>
  <si>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</si>
  <si>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</si>
  <si>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</si>
  <si>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</si>
  <si>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</si>
  <si>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</si>
  <si>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</si>
  <si>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</si>
  <si>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</si>
  <si>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</si>
  <si>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</si>
  <si>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</si>
  <si>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BONOS CÓDIGO DEL TRABAJO</t>
  </si>
  <si>
    <t>COSTOS  DE OPERACION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</si>
  <si>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</si>
  <si>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</si>
  <si>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</si>
  <si>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</si>
  <si>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</si>
  <si>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</si>
  <si>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Gasto Total Empresa
2021</t>
  </si>
  <si>
    <t>Gasto Total Empresa
2022</t>
  </si>
  <si>
    <t>Total 
Bonos 
anual</t>
  </si>
  <si>
    <t>BIENIQUE</t>
  </si>
  <si>
    <t xml:space="preserve"> Sala Cuna Pequeños Héroes</t>
  </si>
  <si>
    <t>ANALISTA CONTABLE</t>
  </si>
  <si>
    <t>Jardín Infantil EJERCITO</t>
  </si>
  <si>
    <t>Jardín Infantil FACH</t>
  </si>
  <si>
    <t>ITO</t>
  </si>
  <si>
    <t>MAESTRO</t>
  </si>
  <si>
    <t>Sala Cuna EJERCITO</t>
  </si>
  <si>
    <t xml:space="preserve"> En los costos directos en la linea 74 sumatoria de los itemes de AFL se considera, se consideran itemes que por ningun motivo pueden ser AFL, como por ejemplo:</t>
  </si>
  <si>
    <t>Gastos Menores</t>
  </si>
  <si>
    <t>Alimentación</t>
  </si>
  <si>
    <t>Seguros</t>
  </si>
  <si>
    <t>servicio de cable</t>
  </si>
  <si>
    <t>entre otros, debido a que la Dirección envia solo itemes especificos</t>
  </si>
  <si>
    <t>1. ALCANCES</t>
  </si>
  <si>
    <t>2.</t>
  </si>
  <si>
    <t>3.</t>
  </si>
  <si>
    <t>la ración por niño:</t>
  </si>
  <si>
    <t>Sala cuna</t>
  </si>
  <si>
    <t>Jardín Infantil</t>
  </si>
  <si>
    <t>$1.521.-</t>
  </si>
  <si>
    <t>$ 960.-</t>
  </si>
  <si>
    <t>4.-</t>
  </si>
  <si>
    <t>en Jardín Infantil</t>
  </si>
  <si>
    <t xml:space="preserve">1 Educadora </t>
  </si>
  <si>
    <t>2 tecnicos</t>
  </si>
  <si>
    <t>En Remuneraciones se consideran, adicionales por normativa</t>
  </si>
  <si>
    <t>5.-</t>
  </si>
  <si>
    <t>Equipos computacionales</t>
  </si>
  <si>
    <t>pantalla para camaras $200.000</t>
  </si>
  <si>
    <t>Se proyecta cambiar las camaras de vigilancias ya que equipos anteriores quedaron obsoletos debido a nuevas tectologias $1.300.000.-</t>
  </si>
  <si>
    <t>6.-</t>
  </si>
  <si>
    <t>Sala Cuna Fach</t>
  </si>
  <si>
    <t>7.-</t>
  </si>
  <si>
    <t>Se implementa plan de capacitación archhivo adjunto, con costo cero</t>
  </si>
  <si>
    <t>Plan de capacitación</t>
  </si>
  <si>
    <t>8.-</t>
  </si>
  <si>
    <t>Plan de Mantenimiento</t>
  </si>
  <si>
    <t>Se adjunta archivo</t>
  </si>
  <si>
    <t>meta sc es de 19</t>
  </si>
  <si>
    <t>NN</t>
  </si>
  <si>
    <t xml:space="preserve">por contratar </t>
  </si>
  <si>
    <t>jessica</t>
  </si>
  <si>
    <t>lissette</t>
  </si>
  <si>
    <t>myriam</t>
  </si>
  <si>
    <t>Macarena</t>
  </si>
  <si>
    <t>conformación de niveles</t>
  </si>
  <si>
    <t>ji</t>
  </si>
  <si>
    <t>menor</t>
  </si>
  <si>
    <t>mayor</t>
  </si>
  <si>
    <t>t1</t>
  </si>
  <si>
    <t>t2</t>
  </si>
  <si>
    <t xml:space="preserve">educ </t>
  </si>
  <si>
    <t>tecnico</t>
  </si>
  <si>
    <t>proyección niños</t>
  </si>
  <si>
    <t>remuenracion</t>
  </si>
  <si>
    <t>anual</t>
  </si>
  <si>
    <t>mensual</t>
  </si>
  <si>
    <t xml:space="preserve">requiere de 5 niños categoria activo </t>
  </si>
  <si>
    <t xml:space="preserve"> </t>
  </si>
  <si>
    <t>se disminuye una tecnico y dos niños jornada completa</t>
  </si>
  <si>
    <t>sc</t>
  </si>
  <si>
    <t>financia</t>
  </si>
  <si>
    <t>dos lactantes</t>
  </si>
  <si>
    <t>pac</t>
  </si>
  <si>
    <t>ec</t>
  </si>
  <si>
    <t>pxq</t>
  </si>
  <si>
    <t>cambio de camaras vigilancia</t>
  </si>
  <si>
    <t>que es?</t>
  </si>
  <si>
    <t>solo una manipuladora</t>
  </si>
  <si>
    <t>gasto exgerado</t>
  </si>
  <si>
    <t xml:space="preserve">sc </t>
  </si>
  <si>
    <t>modificado</t>
  </si>
  <si>
    <t>1 par de zapatos</t>
  </si>
  <si>
    <t>se modifica con marcela palape</t>
  </si>
  <si>
    <t>se modifican remuneraciones con Marcela Palape</t>
  </si>
  <si>
    <t xml:space="preserve">jornada completa </t>
  </si>
  <si>
    <t>no podemos financiar % altos de remenaraciones</t>
  </si>
  <si>
    <t>racion: $ 1912</t>
  </si>
  <si>
    <t>finiquitada</t>
  </si>
  <si>
    <t>INDIRA</t>
  </si>
  <si>
    <t>MARGARITA</t>
  </si>
  <si>
    <t>CLAUDIA</t>
  </si>
  <si>
    <t>SANDRA</t>
  </si>
  <si>
    <t>GABRIELA CABALLERO</t>
  </si>
  <si>
    <t>La alimentación del personal se considera a $1,912.- la racion</t>
  </si>
  <si>
    <t>TRASPASA A COSTO DE JARDIN</t>
  </si>
  <si>
    <t>calculo de sueldos a partir de abril</t>
  </si>
  <si>
    <t>DETALLE PARA EVALUAR AUMENTO DE SUELDO DE TECNICOS. ACTUALMENTE TIENEN UN SUELDO DE 399.043 COSTO EMPRESA</t>
  </si>
  <si>
    <t>66 NIÑOS CON ALIMENTACIÓN</t>
  </si>
  <si>
    <t xml:space="preserve">A que obedece valor ración en sc? Es mayor que ji </t>
  </si>
  <si>
    <t>se modifica cuota de padres según dato de ji</t>
  </si>
  <si>
    <t>SE ELIMINA LA SEGUNDA TECNICO</t>
  </si>
  <si>
    <t>SE ELIMINAN AGUINALDOS PARA PERSONAL NUEVO, POR NO CONTAR CON CONTRATO INDEFINIDIO</t>
  </si>
  <si>
    <t>jornada completa desde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</si>
</sst>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6" formatCode="&quot;$&quot;#,##0;[Red]&quot;$&quot;\-#,##0"/>
    <numFmt numFmtId="42" formatCode="_ &quot;$&quot;* #,##0_ ;_ &quot;$&quot;* \-#,##0_ ;_ &quot;$&quot;* &quot;-&quot;_ ;_ @_ 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[$€]* #,##0.00_-;\-[$€]* #,##0.00_-;_-[$€]* \-??_-;_-@_-"/>
    <numFmt numFmtId="186" formatCode="_-[$€-2]\ * #,##0.00_-;\-[$€-2]\ * #,##0.00_-;_-[$€-2]\ * \-??_-"/>
    <numFmt numFmtId="187" formatCode="_-* #,##0.00&quot; €&quot;_-;\-* #,##0.00&quot; €&quot;_-;_-* \-??&quot; €&quot;_-;_-@_-"/>
    <numFmt numFmtId="188" formatCode="_-&quot;$&quot;\ * #,##0_-;\-&quot;$&quot;\ * #,##0_-;_-&quot;$&quot;\ * &quot;-&quot;??_-;_-@_-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909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3" tint="0.7999816888943144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4" tint="0.59999389629810485"/>
      </patternFill>
    </fill>
    <fill>
      <patternFill patternType="gray125">
        <bgColor theme="3" tint="0.59999389629810485"/>
      </patternFill>
    </fill>
    <fill>
      <patternFill patternType="gray125">
        <bgColor rgb="FFFFFF00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5" tint="0.79998168889431442"/>
      </patternFill>
    </fill>
    <fill>
      <patternFill patternType="solid">
        <fgColor theme="9" tint="-0.249977111117893"/>
        <bgColor indexed="64"/>
      </patternFill>
    </fill>
    <fill>
      <patternFill patternType="gray125">
        <bgColor theme="9" tint="-0.249977111117893"/>
      </patternFill>
    </fill>
    <fill>
      <patternFill patternType="solid">
        <fgColor theme="4" tint="0.79998168889431442"/>
        <bgColor theme="4" tint="0.79998168889431442"/>
      </patternFill>
    </fill>
    <fill>
      <patternFill patternType="gray125">
        <fgColor auto="1"/>
        <bgColor theme="4" tint="0.59999389629810485"/>
      </patternFill>
    </fill>
  </fills>
  <borders count="2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201" applyNumberFormat="0" applyAlignment="0" applyProtection="0"/>
    <xf numFmtId="0" fontId="5" fillId="8" borderId="197" applyNumberFormat="0" applyAlignment="0" applyProtection="0"/>
    <xf numFmtId="0" fontId="5" fillId="8" borderId="199" applyNumberFormat="0" applyAlignment="0" applyProtection="0"/>
    <xf numFmtId="0" fontId="5" fillId="8" borderId="209" applyNumberFormat="0" applyAlignment="0" applyProtection="0"/>
    <xf numFmtId="0" fontId="5" fillId="8" borderId="203" applyNumberFormat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54" borderId="0" applyNumberFormat="0" applyBorder="0" applyAlignment="0" applyProtection="0"/>
    <xf numFmtId="0" fontId="10" fillId="6" borderId="0" applyNumberFormat="0" applyBorder="0" applyAlignment="0" applyProtection="0"/>
    <xf numFmtId="185" fontId="14" fillId="0" borderId="0" applyFill="0" applyBorder="0" applyAlignment="0" applyProtection="0"/>
    <xf numFmtId="186" fontId="14" fillId="0" borderId="0" applyFill="0" applyBorder="0" applyAlignment="0" applyProtection="0"/>
    <xf numFmtId="186" fontId="14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5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7" fontId="14" fillId="0" borderId="0" applyFill="0" applyBorder="0" applyAlignment="0" applyProtection="0"/>
    <xf numFmtId="0" fontId="5" fillId="8" borderId="216" applyNumberFormat="0" applyAlignment="0" applyProtection="0"/>
    <xf numFmtId="169" fontId="14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012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8" fontId="13" fillId="9" borderId="0" xfId="13" applyNumberFormat="1" applyFont="1" applyFill="1" applyBorder="1" applyAlignment="1" applyProtection="1">
      <alignment vertical="center"/>
    </xf>
    <xf numFmtId="166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1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6" fillId="0" borderId="0" xfId="16" applyFont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/>
    </xf>
    <xf numFmtId="177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169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7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0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7" fontId="13" fillId="26" borderId="20" xfId="0" applyNumberFormat="1" applyFont="1" applyFill="1" applyBorder="1" applyAlignment="1" applyProtection="1">
      <alignment horizontal="center" vertical="center"/>
    </xf>
    <xf numFmtId="170" fontId="13" fillId="19" borderId="20" xfId="16" applyNumberFormat="1" applyFont="1" applyFill="1" applyBorder="1" applyAlignment="1" applyProtection="1">
      <alignment horizontal="center" vertical="center"/>
    </xf>
    <xf numFmtId="177" fontId="0" fillId="26" borderId="20" xfId="0" applyNumberFormat="1" applyFont="1" applyFill="1" applyBorder="1" applyAlignment="1" applyProtection="1">
      <alignment horizontal="center" vertical="center"/>
    </xf>
    <xf numFmtId="177" fontId="23" fillId="26" borderId="16" xfId="0" applyNumberFormat="1" applyFont="1" applyFill="1" applyBorder="1" applyAlignment="1" applyProtection="1">
      <alignment horizontal="right" vertical="center"/>
    </xf>
    <xf numFmtId="169" fontId="15" fillId="19" borderId="6" xfId="16" applyFont="1" applyFill="1" applyBorder="1" applyAlignment="1" applyProtection="1">
      <alignment horizontal="center"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0" fontId="0" fillId="12" borderId="26" xfId="0" applyFont="1" applyFill="1" applyBorder="1" applyAlignment="1" applyProtection="1">
      <alignment horizontal="left" vertical="center"/>
      <protection locked="0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9" fontId="14" fillId="0" borderId="20" xfId="16" applyBorder="1" applyAlignment="1" applyProtection="1">
      <alignment horizontal="center" vertical="center"/>
    </xf>
    <xf numFmtId="169" fontId="13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8" fontId="13" fillId="34" borderId="41" xfId="0" applyNumberFormat="1" applyFont="1" applyFill="1" applyBorder="1" applyAlignment="1" applyProtection="1">
      <alignment horizontal="center" vertical="center" wrapText="1"/>
    </xf>
    <xf numFmtId="168" fontId="13" fillId="34" borderId="44" xfId="0" applyNumberFormat="1" applyFont="1" applyFill="1" applyBorder="1" applyAlignment="1" applyProtection="1">
      <alignment horizontal="center" vertical="center" wrapText="1"/>
    </xf>
    <xf numFmtId="0" fontId="0" fillId="12" borderId="46" xfId="0" applyFont="1" applyFill="1" applyBorder="1" applyProtection="1">
      <protection locked="0"/>
    </xf>
    <xf numFmtId="168" fontId="13" fillId="34" borderId="51" xfId="0" applyNumberFormat="1" applyFont="1" applyFill="1" applyBorder="1" applyAlignment="1" applyProtection="1">
      <alignment horizontal="center" vertical="center" wrapText="1"/>
    </xf>
    <xf numFmtId="168" fontId="13" fillId="34" borderId="52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169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left" vertical="center"/>
      <protection locked="0"/>
    </xf>
    <xf numFmtId="0" fontId="0" fillId="12" borderId="60" xfId="0" applyFont="1" applyFill="1" applyBorder="1" applyProtection="1">
      <protection locked="0"/>
    </xf>
    <xf numFmtId="0" fontId="0" fillId="12" borderId="61" xfId="0" applyFont="1" applyFill="1" applyBorder="1" applyProtection="1">
      <protection locked="0"/>
    </xf>
    <xf numFmtId="178" fontId="0" fillId="12" borderId="62" xfId="13" applyNumberFormat="1" applyFont="1" applyFill="1" applyBorder="1" applyAlignment="1" applyProtection="1">
      <alignment vertical="center"/>
      <protection locked="0"/>
    </xf>
    <xf numFmtId="178" fontId="0" fillId="12" borderId="63" xfId="13" applyNumberFormat="1" applyFont="1" applyFill="1" applyBorder="1" applyAlignment="1" applyProtection="1">
      <alignment vertical="center"/>
      <protection locked="0"/>
    </xf>
    <xf numFmtId="0" fontId="0" fillId="12" borderId="64" xfId="0" applyFont="1" applyFill="1" applyBorder="1" applyAlignment="1" applyProtection="1">
      <alignment horizontal="left" vertical="center"/>
      <protection locked="0"/>
    </xf>
    <xf numFmtId="0" fontId="0" fillId="12" borderId="64" xfId="0" applyFont="1" applyFill="1" applyBorder="1" applyProtection="1">
      <protection locked="0"/>
    </xf>
    <xf numFmtId="0" fontId="0" fillId="12" borderId="65" xfId="0" applyFont="1" applyFill="1" applyBorder="1" applyProtection="1">
      <protection locked="0"/>
    </xf>
    <xf numFmtId="178" fontId="0" fillId="12" borderId="64" xfId="13" applyNumberFormat="1" applyFont="1" applyFill="1" applyBorder="1" applyAlignment="1" applyProtection="1">
      <alignment vertical="center"/>
      <protection locked="0"/>
    </xf>
    <xf numFmtId="0" fontId="0" fillId="12" borderId="62" xfId="0" applyFont="1" applyFill="1" applyBorder="1" applyAlignment="1" applyProtection="1">
      <alignment horizontal="left" vertical="center"/>
      <protection locked="0"/>
    </xf>
    <xf numFmtId="0" fontId="0" fillId="12" borderId="62" xfId="0" applyFont="1" applyFill="1" applyBorder="1" applyProtection="1">
      <protection locked="0"/>
    </xf>
    <xf numFmtId="0" fontId="0" fillId="12" borderId="67" xfId="0" applyFont="1" applyFill="1" applyBorder="1" applyProtection="1">
      <protection locked="0"/>
    </xf>
    <xf numFmtId="0" fontId="0" fillId="12" borderId="58" xfId="0" applyFont="1" applyFill="1" applyBorder="1" applyAlignment="1" applyProtection="1">
      <alignment horizontal="left" vertical="center"/>
      <protection locked="0"/>
    </xf>
    <xf numFmtId="0" fontId="0" fillId="12" borderId="58" xfId="0" applyFont="1" applyFill="1" applyBorder="1" applyProtection="1">
      <protection locked="0"/>
    </xf>
    <xf numFmtId="0" fontId="0" fillId="12" borderId="63" xfId="0" applyFont="1" applyFill="1" applyBorder="1" applyAlignment="1" applyProtection="1">
      <alignment horizontal="left" vertical="center"/>
      <protection locked="0"/>
    </xf>
    <xf numFmtId="0" fontId="0" fillId="12" borderId="63" xfId="0" applyFont="1" applyFill="1" applyBorder="1" applyProtection="1">
      <protection locked="0"/>
    </xf>
    <xf numFmtId="0" fontId="0" fillId="12" borderId="69" xfId="0" applyFont="1" applyFill="1" applyBorder="1" applyProtection="1">
      <protection locked="0"/>
    </xf>
    <xf numFmtId="177" fontId="0" fillId="0" borderId="70" xfId="0" applyNumberFormat="1" applyFont="1" applyFill="1" applyBorder="1" applyAlignment="1" applyProtection="1">
      <alignment horizontal="right" vertical="center"/>
    </xf>
    <xf numFmtId="177" fontId="0" fillId="0" borderId="71" xfId="0" applyNumberFormat="1" applyFont="1" applyFill="1" applyBorder="1" applyAlignment="1" applyProtection="1">
      <alignment horizontal="right" vertical="center"/>
    </xf>
    <xf numFmtId="177" fontId="0" fillId="0" borderId="72" xfId="0" applyNumberFormat="1" applyFont="1" applyFill="1" applyBorder="1" applyAlignment="1" applyProtection="1">
      <alignment horizontal="right" vertical="center"/>
    </xf>
    <xf numFmtId="178" fontId="0" fillId="12" borderId="67" xfId="13" applyNumberFormat="1" applyFont="1" applyFill="1" applyBorder="1" applyAlignment="1" applyProtection="1">
      <alignment vertical="center"/>
      <protection locked="0"/>
    </xf>
    <xf numFmtId="178" fontId="0" fillId="12" borderId="69" xfId="13" applyNumberFormat="1" applyFont="1" applyFill="1" applyBorder="1" applyAlignment="1" applyProtection="1">
      <alignment vertical="center"/>
      <protection locked="0"/>
    </xf>
    <xf numFmtId="178" fontId="0" fillId="12" borderId="65" xfId="13" applyNumberFormat="1" applyFont="1" applyFill="1" applyBorder="1" applyAlignment="1" applyProtection="1">
      <alignment vertical="center"/>
      <protection locked="0"/>
    </xf>
    <xf numFmtId="177" fontId="0" fillId="29" borderId="71" xfId="0" applyNumberFormat="1" applyFont="1" applyFill="1" applyBorder="1" applyAlignment="1" applyProtection="1">
      <alignment horizontal="right" vertical="center"/>
    </xf>
    <xf numFmtId="177" fontId="0" fillId="29" borderId="72" xfId="0" applyNumberFormat="1" applyFont="1" applyFill="1" applyBorder="1" applyAlignment="1" applyProtection="1">
      <alignment horizontal="right" vertical="center"/>
    </xf>
    <xf numFmtId="177" fontId="0" fillId="29" borderId="70" xfId="0" applyNumberFormat="1" applyFont="1" applyFill="1" applyBorder="1" applyAlignment="1" applyProtection="1">
      <alignment horizontal="right" vertical="center"/>
    </xf>
    <xf numFmtId="177" fontId="0" fillId="29" borderId="66" xfId="0" applyNumberFormat="1" applyFont="1" applyFill="1" applyBorder="1" applyAlignment="1" applyProtection="1">
      <alignment horizontal="right" vertical="center"/>
    </xf>
    <xf numFmtId="177" fontId="0" fillId="29" borderId="73" xfId="0" applyNumberFormat="1" applyFont="1" applyFill="1" applyBorder="1" applyAlignment="1" applyProtection="1">
      <alignment horizontal="right" vertical="center"/>
    </xf>
    <xf numFmtId="177" fontId="0" fillId="0" borderId="66" xfId="0" applyNumberFormat="1" applyFont="1" applyFill="1" applyBorder="1" applyAlignment="1" applyProtection="1">
      <alignment horizontal="right" vertical="center"/>
    </xf>
    <xf numFmtId="177" fontId="0" fillId="0" borderId="73" xfId="0" applyNumberFormat="1" applyFont="1" applyFill="1" applyBorder="1" applyAlignment="1" applyProtection="1">
      <alignment horizontal="right" vertical="center"/>
    </xf>
    <xf numFmtId="0" fontId="0" fillId="12" borderId="74" xfId="0" applyFont="1" applyFill="1" applyBorder="1" applyAlignment="1" applyProtection="1">
      <alignment horizontal="left" vertical="center"/>
      <protection locked="0"/>
    </xf>
    <xf numFmtId="0" fontId="0" fillId="12" borderId="75" xfId="0" applyFont="1" applyFill="1" applyBorder="1" applyAlignment="1" applyProtection="1">
      <alignment horizontal="left" vertical="center"/>
      <protection locked="0"/>
    </xf>
    <xf numFmtId="0" fontId="0" fillId="12" borderId="76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3" xfId="0" applyFont="1" applyFill="1" applyBorder="1" applyAlignment="1" applyProtection="1">
      <alignment horizontal="left" vertical="center"/>
    </xf>
    <xf numFmtId="0" fontId="11" fillId="20" borderId="63" xfId="0" applyFont="1" applyFill="1" applyBorder="1" applyAlignment="1" applyProtection="1">
      <alignment horizontal="left" vertical="center"/>
    </xf>
    <xf numFmtId="175" fontId="19" fillId="0" borderId="63" xfId="0" applyNumberFormat="1" applyFont="1" applyFill="1" applyBorder="1" applyAlignment="1" applyProtection="1">
      <alignment horizontal="left"/>
    </xf>
    <xf numFmtId="0" fontId="13" fillId="21" borderId="63" xfId="0" applyFont="1" applyFill="1" applyBorder="1" applyAlignment="1" applyProtection="1">
      <alignment horizontal="center" vertical="center"/>
    </xf>
    <xf numFmtId="0" fontId="13" fillId="20" borderId="63" xfId="0" applyFont="1" applyFill="1" applyBorder="1" applyAlignment="1" applyProtection="1">
      <alignment horizontal="center" vertical="center" wrapText="1"/>
    </xf>
    <xf numFmtId="1" fontId="0" fillId="0" borderId="63" xfId="0" applyNumberFormat="1" applyFont="1" applyFill="1" applyBorder="1" applyAlignment="1" applyProtection="1">
      <alignment horizontal="center" vertical="center" wrapText="1"/>
    </xf>
    <xf numFmtId="168" fontId="11" fillId="23" borderId="63" xfId="13" applyNumberFormat="1" applyFont="1" applyFill="1" applyBorder="1" applyAlignment="1" applyProtection="1">
      <alignment horizontal="center" vertical="center"/>
    </xf>
    <xf numFmtId="168" fontId="11" fillId="20" borderId="63" xfId="13" applyNumberFormat="1" applyFont="1" applyFill="1" applyBorder="1" applyAlignment="1" applyProtection="1">
      <alignment horizontal="center" vertical="center"/>
    </xf>
    <xf numFmtId="168" fontId="0" fillId="12" borderId="63" xfId="13" applyNumberFormat="1" applyFont="1" applyFill="1" applyBorder="1" applyAlignment="1" applyProtection="1">
      <alignment vertical="center"/>
      <protection locked="0"/>
    </xf>
    <xf numFmtId="0" fontId="13" fillId="30" borderId="63" xfId="0" applyFont="1" applyFill="1" applyBorder="1" applyAlignment="1" applyProtection="1">
      <alignment horizontal="center" vertical="center" wrapText="1"/>
    </xf>
    <xf numFmtId="0" fontId="13" fillId="31" borderId="63" xfId="0" applyFont="1" applyFill="1" applyBorder="1" applyAlignment="1" applyProtection="1">
      <alignment horizontal="left" vertical="center"/>
    </xf>
    <xf numFmtId="168" fontId="13" fillId="30" borderId="63" xfId="0" applyNumberFormat="1" applyFont="1" applyFill="1" applyBorder="1" applyAlignment="1" applyProtection="1">
      <alignment horizontal="center" vertical="center" wrapText="1"/>
    </xf>
    <xf numFmtId="9" fontId="0" fillId="12" borderId="77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80" fontId="14" fillId="36" borderId="98" xfId="16" applyNumberFormat="1" applyFill="1" applyBorder="1" applyAlignment="1" applyProtection="1">
      <alignment horizontal="center" vertical="center"/>
    </xf>
    <xf numFmtId="180" fontId="14" fillId="36" borderId="99" xfId="16" applyNumberFormat="1" applyFill="1" applyBorder="1" applyAlignment="1" applyProtection="1">
      <alignment horizontal="center" vertical="center"/>
    </xf>
    <xf numFmtId="180" fontId="14" fillId="36" borderId="100" xfId="16" applyNumberFormat="1" applyFill="1" applyBorder="1" applyAlignment="1" applyProtection="1">
      <alignment horizontal="center" vertical="center"/>
    </xf>
    <xf numFmtId="180" fontId="14" fillId="36" borderId="101" xfId="16" applyNumberFormat="1" applyFill="1" applyBorder="1" applyAlignment="1" applyProtection="1">
      <alignment horizontal="center" vertical="center"/>
    </xf>
    <xf numFmtId="179" fontId="0" fillId="12" borderId="98" xfId="13" applyNumberFormat="1" applyFont="1" applyFill="1" applyBorder="1" applyAlignment="1" applyProtection="1">
      <alignment horizontal="center" vertical="center"/>
      <protection locked="0"/>
    </xf>
    <xf numFmtId="179" fontId="0" fillId="12" borderId="103" xfId="13" applyNumberFormat="1" applyFont="1" applyFill="1" applyBorder="1" applyAlignment="1" applyProtection="1">
      <alignment horizontal="center" vertical="center"/>
      <protection locked="0"/>
    </xf>
    <xf numFmtId="169" fontId="14" fillId="0" borderId="0" xfId="16" applyProtection="1"/>
    <xf numFmtId="181" fontId="14" fillId="0" borderId="0" xfId="13" applyNumberFormat="1" applyProtection="1"/>
    <xf numFmtId="0" fontId="23" fillId="12" borderId="33" xfId="0" applyFont="1" applyFill="1" applyBorder="1" applyAlignment="1" applyProtection="1">
      <alignment horizontal="center" vertical="center"/>
      <protection locked="0"/>
    </xf>
    <xf numFmtId="9" fontId="0" fillId="12" borderId="101" xfId="0" applyNumberFormat="1" applyFont="1" applyFill="1" applyBorder="1" applyAlignment="1" applyProtection="1">
      <alignment horizontal="center" vertical="center"/>
      <protection locked="0"/>
    </xf>
    <xf numFmtId="177" fontId="0" fillId="0" borderId="102" xfId="0" applyNumberFormat="1" applyFont="1" applyFill="1" applyBorder="1" applyAlignment="1" applyProtection="1">
      <alignment horizontal="right" vertical="center"/>
    </xf>
    <xf numFmtId="177" fontId="0" fillId="0" borderId="67" xfId="0" applyNumberFormat="1" applyFont="1" applyFill="1" applyBorder="1" applyAlignment="1" applyProtection="1">
      <alignment horizontal="right" vertical="center"/>
    </xf>
    <xf numFmtId="177" fontId="0" fillId="0" borderId="110" xfId="0" applyNumberFormat="1" applyFont="1" applyFill="1" applyBorder="1" applyAlignment="1" applyProtection="1">
      <alignment horizontal="right" vertical="center"/>
    </xf>
    <xf numFmtId="177" fontId="0" fillId="0" borderId="96" xfId="0" applyNumberFormat="1" applyFont="1" applyFill="1" applyBorder="1" applyAlignment="1" applyProtection="1">
      <alignment horizontal="right" vertical="center"/>
    </xf>
    <xf numFmtId="9" fontId="0" fillId="12" borderId="105" xfId="0" applyNumberFormat="1" applyFont="1" applyFill="1" applyBorder="1" applyAlignment="1" applyProtection="1">
      <alignment horizontal="center" vertical="center"/>
      <protection locked="0"/>
    </xf>
    <xf numFmtId="0" fontId="10" fillId="14" borderId="105" xfId="0" applyFont="1" applyFill="1" applyBorder="1" applyAlignment="1" applyProtection="1">
      <alignment horizontal="center" vertical="center"/>
    </xf>
    <xf numFmtId="0" fontId="10" fillId="46" borderId="104" xfId="0" applyFont="1" applyFill="1" applyBorder="1" applyAlignment="1" applyProtection="1">
      <alignment horizontal="center" vertical="center"/>
    </xf>
    <xf numFmtId="0" fontId="10" fillId="14" borderId="96" xfId="0" applyFont="1" applyFill="1" applyBorder="1" applyAlignment="1" applyProtection="1">
      <alignment horizontal="center" vertical="center"/>
    </xf>
    <xf numFmtId="0" fontId="10" fillId="46" borderId="117" xfId="0" applyFont="1" applyFill="1" applyBorder="1" applyAlignment="1" applyProtection="1">
      <alignment horizontal="center" vertical="center"/>
    </xf>
    <xf numFmtId="169" fontId="0" fillId="12" borderId="79" xfId="16" applyFont="1" applyFill="1" applyBorder="1" applyAlignment="1" applyProtection="1">
      <alignment horizontal="center" vertical="center"/>
      <protection locked="0"/>
    </xf>
    <xf numFmtId="169" fontId="0" fillId="12" borderId="118" xfId="16" applyFont="1" applyFill="1" applyBorder="1" applyAlignment="1" applyProtection="1">
      <alignment horizontal="center" vertical="center"/>
      <protection locked="0"/>
    </xf>
    <xf numFmtId="169" fontId="0" fillId="12" borderId="117" xfId="16" applyFont="1" applyFill="1" applyBorder="1" applyAlignment="1" applyProtection="1">
      <alignment horizontal="center" vertical="center"/>
      <protection locked="0"/>
    </xf>
    <xf numFmtId="177" fontId="0" fillId="0" borderId="99" xfId="0" applyNumberFormat="1" applyFont="1" applyFill="1" applyBorder="1" applyAlignment="1" applyProtection="1">
      <alignment horizontal="right" vertical="center"/>
    </xf>
    <xf numFmtId="177" fontId="0" fillId="0" borderId="104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7" borderId="105" xfId="0" applyFont="1" applyFill="1" applyBorder="1" applyAlignment="1" applyProtection="1">
      <alignment horizontal="center" vertical="center"/>
    </xf>
    <xf numFmtId="0" fontId="10" fillId="47" borderId="104" xfId="0" applyFont="1" applyFill="1" applyBorder="1" applyAlignment="1" applyProtection="1">
      <alignment horizontal="center" vertical="center"/>
    </xf>
    <xf numFmtId="169" fontId="30" fillId="0" borderId="81" xfId="16" applyFont="1" applyFill="1" applyBorder="1" applyAlignment="1" applyProtection="1">
      <alignment horizontal="center" vertical="center"/>
    </xf>
    <xf numFmtId="169" fontId="30" fillId="0" borderId="84" xfId="16" applyFont="1" applyFill="1" applyBorder="1" applyAlignment="1" applyProtection="1">
      <alignment horizontal="center" vertical="center"/>
    </xf>
    <xf numFmtId="177" fontId="0" fillId="27" borderId="83" xfId="0" applyNumberFormat="1" applyFont="1" applyFill="1" applyBorder="1" applyAlignment="1" applyProtection="1">
      <alignment horizontal="right" vertical="center"/>
    </xf>
    <xf numFmtId="177" fontId="0" fillId="27" borderId="121" xfId="0" applyNumberFormat="1" applyFont="1" applyFill="1" applyBorder="1" applyAlignment="1" applyProtection="1">
      <alignment horizontal="right" vertical="center"/>
    </xf>
    <xf numFmtId="0" fontId="0" fillId="11" borderId="123" xfId="0" applyFont="1" applyFill="1" applyBorder="1" applyProtection="1"/>
    <xf numFmtId="0" fontId="0" fillId="11" borderId="124" xfId="0" applyFont="1" applyFill="1" applyBorder="1" applyProtection="1"/>
    <xf numFmtId="0" fontId="0" fillId="11" borderId="125" xfId="0" applyFont="1" applyFill="1" applyBorder="1" applyProtection="1"/>
    <xf numFmtId="0" fontId="0" fillId="11" borderId="113" xfId="0" applyFont="1" applyFill="1" applyBorder="1" applyProtection="1"/>
    <xf numFmtId="0" fontId="0" fillId="11" borderId="56" xfId="0" applyFont="1" applyFill="1" applyBorder="1" applyProtection="1"/>
    <xf numFmtId="0" fontId="25" fillId="0" borderId="113" xfId="0" applyFont="1" applyBorder="1" applyAlignment="1" applyProtection="1">
      <alignment vertical="center"/>
    </xf>
    <xf numFmtId="0" fontId="10" fillId="14" borderId="106" xfId="0" applyFont="1" applyFill="1" applyBorder="1" applyAlignment="1" applyProtection="1">
      <alignment horizontal="center" vertical="center"/>
    </xf>
    <xf numFmtId="0" fontId="10" fillId="14" borderId="122" xfId="0" applyFont="1" applyFill="1" applyBorder="1" applyAlignment="1" applyProtection="1">
      <alignment horizontal="center" vertical="center"/>
    </xf>
    <xf numFmtId="0" fontId="10" fillId="47" borderId="106" xfId="0" applyFont="1" applyFill="1" applyBorder="1" applyAlignment="1" applyProtection="1">
      <alignment horizontal="center" vertical="center"/>
    </xf>
    <xf numFmtId="0" fontId="10" fillId="47" borderId="122" xfId="0" applyFont="1" applyFill="1" applyBorder="1" applyAlignment="1" applyProtection="1">
      <alignment horizontal="center" vertical="center"/>
    </xf>
    <xf numFmtId="0" fontId="10" fillId="46" borderId="106" xfId="0" applyFont="1" applyFill="1" applyBorder="1" applyAlignment="1" applyProtection="1">
      <alignment horizontal="center" vertical="center"/>
    </xf>
    <xf numFmtId="0" fontId="10" fillId="46" borderId="122" xfId="0" applyFont="1" applyFill="1" applyBorder="1" applyAlignment="1" applyProtection="1">
      <alignment horizontal="center" vertical="center"/>
    </xf>
    <xf numFmtId="177" fontId="0" fillId="26" borderId="98" xfId="0" applyNumberFormat="1" applyFont="1" applyFill="1" applyBorder="1" applyAlignment="1" applyProtection="1">
      <alignment horizontal="right" vertical="center"/>
    </xf>
    <xf numFmtId="177" fontId="0" fillId="26" borderId="99" xfId="0" applyNumberFormat="1" applyFont="1" applyFill="1" applyBorder="1" applyAlignment="1" applyProtection="1">
      <alignment horizontal="right" vertical="center"/>
    </xf>
    <xf numFmtId="0" fontId="0" fillId="11" borderId="114" xfId="0" applyFont="1" applyFill="1" applyBorder="1" applyProtection="1"/>
    <xf numFmtId="0" fontId="0" fillId="11" borderId="120" xfId="0" applyFont="1" applyFill="1" applyBorder="1" applyProtection="1"/>
    <xf numFmtId="0" fontId="0" fillId="11" borderId="53" xfId="0" applyFont="1" applyFill="1" applyBorder="1" applyProtection="1"/>
    <xf numFmtId="168" fontId="11" fillId="20" borderId="63" xfId="13" applyNumberFormat="1" applyFont="1" applyFill="1" applyBorder="1" applyAlignment="1" applyProtection="1">
      <alignment horizontal="center" vertical="center"/>
      <protection locked="0"/>
    </xf>
    <xf numFmtId="9" fontId="0" fillId="43" borderId="77" xfId="0" applyNumberFormat="1" applyFont="1" applyFill="1" applyBorder="1" applyAlignment="1" applyProtection="1">
      <alignment horizontal="center" vertical="center"/>
    </xf>
    <xf numFmtId="9" fontId="0" fillId="43" borderId="98" xfId="0" applyNumberFormat="1" applyFont="1" applyFill="1" applyBorder="1" applyAlignment="1" applyProtection="1">
      <alignment horizontal="center" vertical="center"/>
    </xf>
    <xf numFmtId="169" fontId="0" fillId="43" borderId="98" xfId="16" applyFont="1" applyFill="1" applyBorder="1" applyAlignment="1" applyProtection="1">
      <alignment horizontal="center" vertical="center"/>
    </xf>
    <xf numFmtId="0" fontId="13" fillId="16" borderId="122" xfId="0" applyFont="1" applyFill="1" applyBorder="1" applyAlignment="1" applyProtection="1">
      <alignment horizontal="center" vertical="center" wrapText="1"/>
    </xf>
    <xf numFmtId="177" fontId="23" fillId="28" borderId="45" xfId="0" applyNumberFormat="1" applyFont="1" applyFill="1" applyBorder="1" applyAlignment="1" applyProtection="1">
      <alignment vertical="center"/>
    </xf>
    <xf numFmtId="168" fontId="0" fillId="12" borderId="99" xfId="13" applyNumberFormat="1" applyFont="1" applyFill="1" applyBorder="1" applyAlignment="1" applyProtection="1">
      <alignment vertical="center"/>
      <protection locked="0"/>
    </xf>
    <xf numFmtId="0" fontId="0" fillId="12" borderId="101" xfId="0" applyFont="1" applyFill="1" applyBorder="1" applyAlignment="1" applyProtection="1">
      <alignment horizontal="left" vertical="center"/>
      <protection locked="0"/>
    </xf>
    <xf numFmtId="168" fontId="0" fillId="12" borderId="102" xfId="13" applyNumberFormat="1" applyFont="1" applyFill="1" applyBorder="1" applyAlignment="1" applyProtection="1">
      <alignment vertical="center"/>
      <protection locked="0"/>
    </xf>
    <xf numFmtId="168" fontId="0" fillId="12" borderId="104" xfId="1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168" fontId="0" fillId="12" borderId="100" xfId="13" applyNumberFormat="1" applyFont="1" applyFill="1" applyBorder="1" applyAlignment="1" applyProtection="1">
      <alignment vertical="center"/>
      <protection locked="0"/>
    </xf>
    <xf numFmtId="176" fontId="19" fillId="12" borderId="100" xfId="12" applyNumberFormat="1" applyFont="1" applyFill="1" applyBorder="1" applyAlignment="1" applyProtection="1">
      <alignment vertical="center"/>
      <protection locked="0"/>
    </xf>
    <xf numFmtId="168" fontId="19" fillId="12" borderId="100" xfId="13" applyNumberFormat="1" applyFont="1" applyFill="1" applyBorder="1" applyAlignment="1" applyProtection="1">
      <alignment vertical="center"/>
      <protection locked="0"/>
    </xf>
    <xf numFmtId="0" fontId="13" fillId="17" borderId="100" xfId="0" applyFont="1" applyFill="1" applyBorder="1" applyAlignment="1" applyProtection="1">
      <alignment horizontal="center" vertical="center" wrapText="1"/>
    </xf>
    <xf numFmtId="174" fontId="13" fillId="17" borderId="100" xfId="12" applyNumberFormat="1" applyFont="1" applyFill="1" applyBorder="1" applyAlignment="1" applyProtection="1">
      <alignment horizontal="center" vertical="center" wrapText="1"/>
    </xf>
    <xf numFmtId="0" fontId="11" fillId="17" borderId="10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8" fontId="0" fillId="0" borderId="0" xfId="0" applyNumberFormat="1" applyFont="1" applyAlignment="1" applyProtection="1">
      <alignment vertical="center"/>
    </xf>
    <xf numFmtId="168" fontId="13" fillId="0" borderId="0" xfId="0" applyNumberFormat="1" applyFont="1" applyAlignment="1" applyProtection="1">
      <alignment vertical="center"/>
    </xf>
    <xf numFmtId="0" fontId="0" fillId="12" borderId="47" xfId="0" applyFont="1" applyFill="1" applyBorder="1" applyAlignment="1" applyProtection="1">
      <alignment horizontal="left" vertical="center"/>
      <protection locked="0"/>
    </xf>
    <xf numFmtId="179" fontId="0" fillId="12" borderId="141" xfId="13" applyNumberFormat="1" applyFont="1" applyFill="1" applyBorder="1" applyAlignment="1" applyProtection="1">
      <alignment horizontal="center" vertical="center"/>
      <protection locked="0"/>
    </xf>
    <xf numFmtId="168" fontId="0" fillId="0" borderId="148" xfId="0" applyNumberFormat="1" applyFont="1" applyFill="1" applyBorder="1" applyAlignment="1" applyProtection="1">
      <alignment vertical="center"/>
    </xf>
    <xf numFmtId="168" fontId="13" fillId="39" borderId="151" xfId="0" applyNumberFormat="1" applyFont="1" applyFill="1" applyBorder="1" applyAlignment="1" applyProtection="1">
      <alignment vertical="center"/>
    </xf>
    <xf numFmtId="168" fontId="13" fillId="39" borderId="105" xfId="13" applyNumberFormat="1" applyFont="1" applyFill="1" applyBorder="1" applyAlignment="1" applyProtection="1">
      <alignment vertical="center"/>
    </xf>
    <xf numFmtId="168" fontId="13" fillId="39" borderId="104" xfId="13" applyNumberFormat="1" applyFont="1" applyFill="1" applyBorder="1" applyAlignment="1" applyProtection="1">
      <alignment vertical="center"/>
    </xf>
    <xf numFmtId="0" fontId="13" fillId="15" borderId="137" xfId="0" applyFont="1" applyFill="1" applyBorder="1" applyAlignment="1" applyProtection="1">
      <alignment horizontal="center" vertical="center" wrapText="1"/>
    </xf>
    <xf numFmtId="168" fontId="18" fillId="35" borderId="88" xfId="0" applyNumberFormat="1" applyFont="1" applyFill="1" applyBorder="1" applyAlignment="1" applyProtection="1">
      <alignment horizontal="center" vertical="center" wrapText="1"/>
    </xf>
    <xf numFmtId="168" fontId="18" fillId="35" borderId="160" xfId="0" applyNumberFormat="1" applyFont="1" applyFill="1" applyBorder="1" applyAlignment="1" applyProtection="1">
      <alignment horizontal="center" vertical="center" wrapText="1"/>
    </xf>
    <xf numFmtId="0" fontId="18" fillId="35" borderId="87" xfId="0" applyFont="1" applyFill="1" applyBorder="1" applyAlignment="1" applyProtection="1">
      <alignment horizontal="center" vertical="center" wrapText="1"/>
    </xf>
    <xf numFmtId="0" fontId="18" fillId="25" borderId="161" xfId="0" applyFont="1" applyFill="1" applyBorder="1" applyAlignment="1" applyProtection="1">
      <alignment horizontal="center" vertical="center" wrapText="1"/>
    </xf>
    <xf numFmtId="0" fontId="18" fillId="25" borderId="159" xfId="0" applyFont="1" applyFill="1" applyBorder="1" applyAlignment="1" applyProtection="1">
      <alignment horizontal="center" vertical="center" wrapText="1"/>
    </xf>
    <xf numFmtId="0" fontId="18" fillId="25" borderId="88" xfId="0" applyFont="1" applyFill="1" applyBorder="1" applyAlignment="1" applyProtection="1">
      <alignment horizontal="center" vertical="center" wrapText="1"/>
    </xf>
    <xf numFmtId="0" fontId="13" fillId="15" borderId="91" xfId="0" applyFont="1" applyFill="1" applyBorder="1" applyAlignment="1" applyProtection="1">
      <alignment horizontal="center" vertical="center" wrapText="1"/>
    </xf>
    <xf numFmtId="0" fontId="13" fillId="0" borderId="162" xfId="0" applyFont="1" applyFill="1" applyBorder="1" applyAlignment="1" applyProtection="1">
      <alignment horizontal="left" vertical="center"/>
    </xf>
    <xf numFmtId="168" fontId="0" fillId="29" borderId="143" xfId="13" applyNumberFormat="1" applyFont="1" applyFill="1" applyBorder="1" applyAlignment="1" applyProtection="1">
      <alignment vertical="center"/>
    </xf>
    <xf numFmtId="168" fontId="0" fillId="29" borderId="148" xfId="13" applyNumberFormat="1" applyFont="1" applyFill="1" applyBorder="1" applyAlignment="1" applyProtection="1">
      <alignment vertical="center"/>
    </xf>
    <xf numFmtId="168" fontId="13" fillId="29" borderId="163" xfId="13" applyNumberFormat="1" applyFont="1" applyFill="1" applyBorder="1" applyAlignment="1" applyProtection="1">
      <alignment vertical="center"/>
    </xf>
    <xf numFmtId="168" fontId="0" fillId="19" borderId="164" xfId="13" applyNumberFormat="1" applyFont="1" applyFill="1" applyBorder="1" applyAlignment="1" applyProtection="1">
      <alignment vertical="center"/>
    </xf>
    <xf numFmtId="168" fontId="0" fillId="19" borderId="165" xfId="13" applyNumberFormat="1" applyFont="1" applyFill="1" applyBorder="1" applyAlignment="1" applyProtection="1">
      <alignment vertical="center"/>
    </xf>
    <xf numFmtId="168" fontId="13" fillId="19" borderId="143" xfId="13" applyNumberFormat="1" applyFont="1" applyFill="1" applyBorder="1" applyAlignment="1" applyProtection="1">
      <alignment vertical="center"/>
    </xf>
    <xf numFmtId="168" fontId="13" fillId="0" borderId="166" xfId="13" applyNumberFormat="1" applyFont="1" applyFill="1" applyBorder="1" applyAlignment="1" applyProtection="1">
      <alignment vertical="center"/>
    </xf>
    <xf numFmtId="0" fontId="13" fillId="15" borderId="167" xfId="0" applyFont="1" applyFill="1" applyBorder="1" applyAlignment="1" applyProtection="1">
      <alignment horizontal="center" vertical="center"/>
    </xf>
    <xf numFmtId="168" fontId="22" fillId="15" borderId="168" xfId="13" applyNumberFormat="1" applyFont="1" applyFill="1" applyBorder="1" applyAlignment="1" applyProtection="1">
      <alignment vertical="center"/>
    </xf>
    <xf numFmtId="179" fontId="0" fillId="12" borderId="172" xfId="13" applyNumberFormat="1" applyFont="1" applyFill="1" applyBorder="1" applyAlignment="1" applyProtection="1">
      <alignment horizontal="center" vertical="center"/>
      <protection locked="0"/>
    </xf>
    <xf numFmtId="179" fontId="0" fillId="12" borderId="145" xfId="13" applyNumberFormat="1" applyFont="1" applyFill="1" applyBorder="1" applyAlignment="1" applyProtection="1">
      <alignment horizontal="center" vertical="center"/>
      <protection locked="0"/>
    </xf>
    <xf numFmtId="179" fontId="0" fillId="12" borderId="117" xfId="13" applyNumberFormat="1" applyFont="1" applyFill="1" applyBorder="1" applyAlignment="1" applyProtection="1">
      <alignment horizontal="center" vertical="center"/>
      <protection locked="0"/>
    </xf>
    <xf numFmtId="0" fontId="0" fillId="0" borderId="128" xfId="0" applyFont="1" applyFill="1" applyBorder="1" applyAlignment="1" applyProtection="1">
      <alignment horizontal="left" vertical="center"/>
    </xf>
    <xf numFmtId="0" fontId="0" fillId="0" borderId="129" xfId="0" applyFont="1" applyFill="1" applyBorder="1" applyAlignment="1" applyProtection="1">
      <alignment horizontal="left" vertical="center"/>
    </xf>
    <xf numFmtId="0" fontId="0" fillId="0" borderId="130" xfId="0" applyFont="1" applyFill="1" applyBorder="1" applyAlignment="1" applyProtection="1">
      <alignment horizontal="left" vertical="center"/>
    </xf>
    <xf numFmtId="167" fontId="0" fillId="0" borderId="107" xfId="13" applyNumberFormat="1" applyFont="1" applyFill="1" applyBorder="1" applyAlignment="1" applyProtection="1">
      <alignment vertical="center"/>
    </xf>
    <xf numFmtId="167" fontId="0" fillId="0" borderId="176" xfId="13" applyNumberFormat="1" applyFont="1" applyFill="1" applyBorder="1" applyAlignment="1" applyProtection="1">
      <alignment vertical="center"/>
    </xf>
    <xf numFmtId="167" fontId="0" fillId="0" borderId="108" xfId="13" applyNumberFormat="1" applyFont="1" applyFill="1" applyBorder="1" applyAlignment="1" applyProtection="1">
      <alignment vertical="center"/>
    </xf>
    <xf numFmtId="168" fontId="0" fillId="29" borderId="100" xfId="13" applyNumberFormat="1" applyFont="1" applyFill="1" applyBorder="1" applyAlignment="1" applyProtection="1">
      <alignment vertical="center"/>
    </xf>
    <xf numFmtId="168" fontId="0" fillId="29" borderId="47" xfId="13" applyNumberFormat="1" applyFont="1" applyFill="1" applyBorder="1" applyAlignment="1" applyProtection="1">
      <alignment vertical="center"/>
    </xf>
    <xf numFmtId="168" fontId="0" fillId="29" borderId="98" xfId="13" applyNumberFormat="1" applyFont="1" applyFill="1" applyBorder="1" applyAlignment="1" applyProtection="1">
      <alignment vertical="center"/>
    </xf>
    <xf numFmtId="168" fontId="0" fillId="29" borderId="99" xfId="13" applyNumberFormat="1" applyFont="1" applyFill="1" applyBorder="1" applyAlignment="1" applyProtection="1">
      <alignment vertical="center"/>
    </xf>
    <xf numFmtId="168" fontId="0" fillId="29" borderId="101" xfId="13" applyNumberFormat="1" applyFont="1" applyFill="1" applyBorder="1" applyAlignment="1" applyProtection="1">
      <alignment vertical="center"/>
    </xf>
    <xf numFmtId="168" fontId="0" fillId="29" borderId="102" xfId="13" applyNumberFormat="1" applyFont="1" applyFill="1" applyBorder="1" applyAlignment="1" applyProtection="1">
      <alignment vertical="center"/>
    </xf>
    <xf numFmtId="168" fontId="0" fillId="29" borderId="50" xfId="13" applyNumberFormat="1" applyFont="1" applyFill="1" applyBorder="1" applyAlignment="1" applyProtection="1">
      <alignment vertical="center"/>
    </xf>
    <xf numFmtId="168" fontId="0" fillId="0" borderId="105" xfId="13" applyNumberFormat="1" applyFont="1" applyFill="1" applyBorder="1" applyAlignment="1" applyProtection="1">
      <alignment vertical="center"/>
    </xf>
    <xf numFmtId="170" fontId="0" fillId="0" borderId="105" xfId="0" applyNumberFormat="1" applyFont="1" applyFill="1" applyBorder="1" applyAlignment="1" applyProtection="1">
      <alignment horizontal="center" vertical="center"/>
    </xf>
    <xf numFmtId="170" fontId="0" fillId="0" borderId="104" xfId="0" applyNumberFormat="1" applyFont="1" applyFill="1" applyBorder="1" applyAlignment="1" applyProtection="1">
      <alignment horizontal="center" vertical="center"/>
    </xf>
    <xf numFmtId="168" fontId="13" fillId="34" borderId="177" xfId="0" applyNumberFormat="1" applyFont="1" applyFill="1" applyBorder="1" applyAlignment="1" applyProtection="1">
      <alignment horizontal="center" vertical="center" wrapText="1"/>
    </xf>
    <xf numFmtId="168" fontId="13" fillId="34" borderId="178" xfId="0" applyNumberFormat="1" applyFont="1" applyFill="1" applyBorder="1" applyAlignment="1" applyProtection="1">
      <alignment horizontal="center" vertical="center" wrapText="1"/>
    </xf>
    <xf numFmtId="168" fontId="13" fillId="34" borderId="179" xfId="0" applyNumberFormat="1" applyFont="1" applyFill="1" applyBorder="1" applyAlignment="1" applyProtection="1">
      <alignment horizontal="center" vertical="center" wrapText="1"/>
    </xf>
    <xf numFmtId="168" fontId="13" fillId="15" borderId="180" xfId="0" applyNumberFormat="1" applyFont="1" applyFill="1" applyBorder="1" applyAlignment="1" applyProtection="1">
      <alignment horizontal="center" vertical="center" wrapText="1"/>
    </xf>
    <xf numFmtId="168" fontId="13" fillId="15" borderId="178" xfId="0" applyNumberFormat="1" applyFont="1" applyFill="1" applyBorder="1" applyAlignment="1" applyProtection="1">
      <alignment horizontal="center" vertical="center" wrapText="1"/>
    </xf>
    <xf numFmtId="168" fontId="13" fillId="15" borderId="181" xfId="0" applyNumberFormat="1" applyFont="1" applyFill="1" applyBorder="1" applyAlignment="1" applyProtection="1">
      <alignment horizontal="center" vertical="center" wrapText="1"/>
    </xf>
    <xf numFmtId="0" fontId="13" fillId="15" borderId="177" xfId="0" applyFont="1" applyFill="1" applyBorder="1" applyAlignment="1" applyProtection="1">
      <alignment horizontal="center" vertical="center"/>
    </xf>
    <xf numFmtId="0" fontId="13" fillId="15" borderId="182" xfId="0" applyFont="1" applyFill="1" applyBorder="1" applyAlignment="1" applyProtection="1">
      <alignment horizontal="center" vertical="center"/>
    </xf>
    <xf numFmtId="167" fontId="0" fillId="0" borderId="183" xfId="13" applyNumberFormat="1" applyFont="1" applyFill="1" applyBorder="1" applyAlignment="1" applyProtection="1">
      <alignment vertical="center"/>
    </xf>
    <xf numFmtId="167" fontId="0" fillId="0" borderId="184" xfId="13" applyNumberFormat="1" applyFont="1" applyFill="1" applyBorder="1" applyAlignment="1" applyProtection="1">
      <alignment vertical="center"/>
    </xf>
    <xf numFmtId="167" fontId="0" fillId="0" borderId="185" xfId="13" applyNumberFormat="1" applyFont="1" applyFill="1" applyBorder="1" applyAlignment="1" applyProtection="1">
      <alignment vertical="center"/>
    </xf>
    <xf numFmtId="180" fontId="14" fillId="36" borderId="47" xfId="16" applyNumberFormat="1" applyFill="1" applyBorder="1" applyAlignment="1" applyProtection="1">
      <alignment horizontal="center" vertical="center"/>
    </xf>
    <xf numFmtId="180" fontId="14" fillId="36" borderId="102" xfId="16" applyNumberFormat="1" applyFill="1" applyBorder="1" applyAlignment="1" applyProtection="1">
      <alignment horizontal="center" vertical="center"/>
    </xf>
    <xf numFmtId="168" fontId="0" fillId="29" borderId="128" xfId="13" applyNumberFormat="1" applyFont="1" applyFill="1" applyBorder="1" applyAlignment="1" applyProtection="1">
      <alignment vertical="center"/>
    </xf>
    <xf numFmtId="168" fontId="0" fillId="29" borderId="129" xfId="13" applyNumberFormat="1" applyFont="1" applyFill="1" applyBorder="1" applyAlignment="1" applyProtection="1">
      <alignment vertical="center"/>
    </xf>
    <xf numFmtId="168" fontId="0" fillId="29" borderId="130" xfId="13" applyNumberFormat="1" applyFont="1" applyFill="1" applyBorder="1" applyAlignment="1" applyProtection="1">
      <alignment vertical="center"/>
    </xf>
    <xf numFmtId="177" fontId="23" fillId="26" borderId="59" xfId="0" applyNumberFormat="1" applyFont="1" applyFill="1" applyBorder="1" applyAlignment="1" applyProtection="1">
      <alignment horizontal="right" vertical="center"/>
    </xf>
    <xf numFmtId="9" fontId="0" fillId="12" borderId="106" xfId="0" applyNumberFormat="1" applyFont="1" applyFill="1" applyBorder="1" applyAlignment="1" applyProtection="1">
      <alignment horizontal="center" vertical="center"/>
      <protection locked="0"/>
    </xf>
    <xf numFmtId="177" fontId="0" fillId="0" borderId="169" xfId="0" applyNumberFormat="1" applyFont="1" applyFill="1" applyBorder="1" applyAlignment="1" applyProtection="1">
      <alignment horizontal="right" vertical="center"/>
    </xf>
    <xf numFmtId="177" fontId="0" fillId="0" borderId="122" xfId="0" applyNumberFormat="1" applyFont="1" applyFill="1" applyBorder="1" applyAlignment="1" applyProtection="1">
      <alignment horizontal="right" vertical="center"/>
    </xf>
    <xf numFmtId="169" fontId="0" fillId="12" borderId="189" xfId="16" applyFont="1" applyFill="1" applyBorder="1" applyAlignment="1" applyProtection="1">
      <alignment horizontal="center" vertical="center"/>
      <protection locked="0"/>
    </xf>
    <xf numFmtId="169" fontId="15" fillId="19" borderId="48" xfId="16" applyFont="1" applyFill="1" applyBorder="1" applyAlignment="1" applyProtection="1">
      <alignment horizontal="center" vertical="center"/>
    </xf>
    <xf numFmtId="177" fontId="23" fillId="26" borderId="49" xfId="0" applyNumberFormat="1" applyFont="1" applyFill="1" applyBorder="1" applyAlignment="1" applyProtection="1">
      <alignment horizontal="right" vertical="center"/>
    </xf>
    <xf numFmtId="0" fontId="18" fillId="33" borderId="28" xfId="0" applyFont="1" applyFill="1" applyBorder="1" applyAlignment="1" applyProtection="1">
      <alignment horizontal="center" vertical="center" wrapText="1"/>
    </xf>
    <xf numFmtId="0" fontId="18" fillId="48" borderId="29" xfId="0" applyFont="1" applyFill="1" applyBorder="1" applyAlignment="1" applyProtection="1">
      <alignment vertical="center"/>
    </xf>
    <xf numFmtId="167" fontId="18" fillId="48" borderId="100" xfId="13" applyNumberFormat="1" applyFont="1" applyFill="1" applyBorder="1" applyAlignment="1" applyProtection="1">
      <alignment vertical="center"/>
    </xf>
    <xf numFmtId="0" fontId="11" fillId="23" borderId="148" xfId="0" applyFont="1" applyFill="1" applyBorder="1" applyAlignment="1">
      <alignment horizontal="left" vertical="center"/>
    </xf>
    <xf numFmtId="168" fontId="11" fillId="23" borderId="100" xfId="13" applyNumberFormat="1" applyFont="1" applyFill="1" applyBorder="1" applyAlignment="1">
      <alignment horizontal="center" vertical="center"/>
    </xf>
    <xf numFmtId="168" fontId="13" fillId="40" borderId="100" xfId="13" applyNumberFormat="1" applyFont="1" applyFill="1" applyBorder="1" applyAlignment="1">
      <alignment vertical="center"/>
    </xf>
    <xf numFmtId="168" fontId="11" fillId="23" borderId="165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20" borderId="138" xfId="0" applyFont="1" applyFill="1" applyBorder="1" applyAlignment="1">
      <alignment horizontal="center" vertical="center" wrapText="1"/>
    </xf>
    <xf numFmtId="0" fontId="11" fillId="20" borderId="148" xfId="0" applyFont="1" applyFill="1" applyBorder="1" applyAlignment="1">
      <alignment horizontal="left" vertical="center"/>
    </xf>
    <xf numFmtId="168" fontId="11" fillId="20" borderId="100" xfId="13" applyNumberFormat="1" applyFont="1" applyFill="1" applyBorder="1" applyAlignment="1">
      <alignment horizontal="center" vertical="center"/>
    </xf>
    <xf numFmtId="168" fontId="13" fillId="41" borderId="100" xfId="13" applyNumberFormat="1" applyFont="1" applyFill="1" applyBorder="1" applyAlignment="1">
      <alignment vertical="center"/>
    </xf>
    <xf numFmtId="168" fontId="11" fillId="20" borderId="138" xfId="13" applyNumberFormat="1" applyFont="1" applyFill="1" applyBorder="1" applyAlignment="1">
      <alignment horizontal="center" vertical="center"/>
    </xf>
    <xf numFmtId="1" fontId="0" fillId="0" borderId="138" xfId="0" applyNumberFormat="1" applyBorder="1" applyAlignment="1">
      <alignment horizontal="center" vertical="center" wrapText="1"/>
    </xf>
    <xf numFmtId="175" fontId="19" fillId="0" borderId="148" xfId="0" applyNumberFormat="1" applyFont="1" applyBorder="1" applyAlignment="1">
      <alignment horizontal="left"/>
    </xf>
    <xf numFmtId="168" fontId="0" fillId="45" borderId="100" xfId="13" applyNumberFormat="1" applyFont="1" applyFill="1" applyBorder="1" applyAlignment="1">
      <alignment vertical="center"/>
    </xf>
    <xf numFmtId="168" fontId="19" fillId="29" borderId="100" xfId="13" applyNumberFormat="1" applyFont="1" applyFill="1" applyBorder="1" applyAlignment="1">
      <alignment vertical="center"/>
    </xf>
    <xf numFmtId="168" fontId="11" fillId="28" borderId="165" xfId="13" applyNumberFormat="1" applyFont="1" applyFill="1" applyBorder="1" applyAlignment="1">
      <alignment vertical="center"/>
    </xf>
    <xf numFmtId="1" fontId="0" fillId="0" borderId="140" xfId="0" applyNumberFormat="1" applyBorder="1"/>
    <xf numFmtId="175" fontId="30" fillId="0" borderId="148" xfId="0" applyNumberFormat="1" applyFont="1" applyBorder="1" applyAlignment="1">
      <alignment horizontal="left"/>
    </xf>
    <xf numFmtId="168" fontId="11" fillId="23" borderId="138" xfId="13" applyNumberFormat="1" applyFont="1" applyFill="1" applyBorder="1" applyAlignment="1">
      <alignment horizontal="center" vertical="center"/>
    </xf>
    <xf numFmtId="168" fontId="11" fillId="20" borderId="100" xfId="13" applyNumberFormat="1" applyFont="1" applyFill="1" applyBorder="1" applyAlignment="1">
      <alignment vertical="center"/>
    </xf>
    <xf numFmtId="168" fontId="11" fillId="20" borderId="165" xfId="13" applyNumberFormat="1" applyFont="1" applyFill="1" applyBorder="1" applyAlignment="1">
      <alignment vertical="center"/>
    </xf>
    <xf numFmtId="1" fontId="0" fillId="43" borderId="138" xfId="0" applyNumberFormat="1" applyFill="1" applyBorder="1" applyAlignment="1">
      <alignment horizontal="center" vertical="center" wrapText="1"/>
    </xf>
    <xf numFmtId="168" fontId="0" fillId="28" borderId="100" xfId="13" applyNumberFormat="1" applyFont="1" applyFill="1" applyBorder="1" applyAlignment="1">
      <alignment vertical="center"/>
    </xf>
    <xf numFmtId="167" fontId="13" fillId="31" borderId="190" xfId="13" applyNumberFormat="1" applyFont="1" applyFill="1" applyBorder="1" applyAlignment="1">
      <alignment vertical="center"/>
    </xf>
    <xf numFmtId="175" fontId="19" fillId="0" borderId="192" xfId="0" applyNumberFormat="1" applyFont="1" applyBorder="1" applyAlignment="1">
      <alignment horizontal="left"/>
    </xf>
    <xf numFmtId="168" fontId="11" fillId="28" borderId="193" xfId="13" applyNumberFormat="1" applyFont="1" applyFill="1" applyBorder="1" applyAlignment="1">
      <alignment vertical="center"/>
    </xf>
    <xf numFmtId="0" fontId="13" fillId="31" borderId="191" xfId="0" applyFont="1" applyFill="1" applyBorder="1" applyAlignment="1">
      <alignment vertical="center"/>
    </xf>
    <xf numFmtId="167" fontId="13" fillId="31" borderId="100" xfId="13" applyNumberFormat="1" applyFont="1" applyFill="1" applyBorder="1" applyAlignment="1">
      <alignment vertical="center"/>
    </xf>
    <xf numFmtId="167" fontId="13" fillId="32" borderId="100" xfId="13" applyNumberFormat="1" applyFont="1" applyFill="1" applyBorder="1" applyAlignment="1">
      <alignment vertical="center"/>
    </xf>
    <xf numFmtId="181" fontId="14" fillId="28" borderId="100" xfId="13" applyNumberFormat="1" applyFill="1" applyBorder="1"/>
    <xf numFmtId="0" fontId="0" fillId="12" borderId="104" xfId="0" applyFont="1" applyFill="1" applyBorder="1" applyAlignment="1" applyProtection="1">
      <alignment horizontal="left" vertical="center"/>
      <protection locked="0"/>
    </xf>
    <xf numFmtId="0" fontId="0" fillId="0" borderId="195" xfId="0" applyFont="1" applyFill="1" applyBorder="1" applyAlignment="1" applyProtection="1">
      <alignment horizontal="left" vertical="center"/>
    </xf>
    <xf numFmtId="0" fontId="13" fillId="0" borderId="196" xfId="0" applyFont="1" applyFill="1" applyBorder="1" applyAlignment="1" applyProtection="1">
      <alignment horizontal="left" vertical="center"/>
    </xf>
    <xf numFmtId="0" fontId="13" fillId="21" borderId="210" xfId="0" applyFont="1" applyFill="1" applyBorder="1" applyAlignment="1">
      <alignment horizontal="center" vertical="center"/>
    </xf>
    <xf numFmtId="0" fontId="0" fillId="12" borderId="47" xfId="0" applyFont="1" applyFill="1" applyBorder="1" applyAlignment="1" applyProtection="1">
      <alignment horizontal="left" vertical="center"/>
      <protection locked="0"/>
    </xf>
    <xf numFmtId="1" fontId="0" fillId="0" borderId="211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0" fontId="13" fillId="30" borderId="212" xfId="0" applyFont="1" applyFill="1" applyBorder="1" applyAlignment="1">
      <alignment horizontal="center" vertical="center" wrapText="1"/>
    </xf>
    <xf numFmtId="42" fontId="0" fillId="45" borderId="194" xfId="31" applyFont="1" applyFill="1" applyBorder="1" applyAlignment="1" applyProtection="1">
      <alignment horizontal="center" vertical="center"/>
    </xf>
    <xf numFmtId="175" fontId="19" fillId="0" borderId="148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/>
    </xf>
    <xf numFmtId="168" fontId="0" fillId="29" borderId="105" xfId="13" applyNumberFormat="1" applyFont="1" applyFill="1" applyBorder="1" applyAlignment="1" applyProtection="1">
      <alignment vertical="center"/>
    </xf>
    <xf numFmtId="168" fontId="0" fillId="29" borderId="103" xfId="13" applyNumberFormat="1" applyFont="1" applyFill="1" applyBorder="1" applyAlignment="1" applyProtection="1">
      <alignment vertical="center"/>
    </xf>
    <xf numFmtId="168" fontId="0" fillId="29" borderId="104" xfId="13" applyNumberFormat="1" applyFont="1" applyFill="1" applyBorder="1" applyAlignment="1" applyProtection="1">
      <alignment vertical="center"/>
    </xf>
    <xf numFmtId="180" fontId="14" fillId="36" borderId="105" xfId="16" applyNumberFormat="1" applyFill="1" applyBorder="1" applyAlignment="1" applyProtection="1">
      <alignment horizontal="center" vertical="center"/>
    </xf>
    <xf numFmtId="180" fontId="14" fillId="36" borderId="103" xfId="16" applyNumberFormat="1" applyFill="1" applyBorder="1" applyAlignment="1" applyProtection="1">
      <alignment horizontal="center" vertical="center"/>
    </xf>
    <xf numFmtId="0" fontId="0" fillId="12" borderId="205" xfId="0" applyFont="1" applyFill="1" applyBorder="1" applyAlignment="1" applyProtection="1">
      <alignment horizontal="left" vertical="center"/>
      <protection locked="0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168" fontId="0" fillId="12" borderId="104" xfId="13" applyNumberFormat="1" applyFont="1" applyFill="1" applyBorder="1" applyAlignment="1" applyProtection="1">
      <alignment vertical="center"/>
      <protection locked="0"/>
    </xf>
    <xf numFmtId="180" fontId="14" fillId="36" borderId="104" xfId="16" applyNumberFormat="1" applyFill="1" applyBorder="1" applyAlignment="1" applyProtection="1">
      <alignment horizontal="center" vertical="center"/>
    </xf>
    <xf numFmtId="178" fontId="0" fillId="12" borderId="200" xfId="13" applyNumberFormat="1" applyFont="1" applyFill="1" applyBorder="1" applyAlignment="1" applyProtection="1">
      <alignment vertical="center"/>
      <protection locked="0"/>
    </xf>
    <xf numFmtId="168" fontId="14" fillId="0" borderId="204" xfId="13" applyNumberFormat="1" applyFont="1" applyFill="1" applyBorder="1" applyAlignment="1" applyProtection="1">
      <alignment vertical="center"/>
    </xf>
    <xf numFmtId="178" fontId="0" fillId="45" borderId="205" xfId="13" applyNumberFormat="1" applyFont="1" applyFill="1" applyBorder="1" applyAlignment="1">
      <alignment vertical="center"/>
    </xf>
    <xf numFmtId="178" fontId="0" fillId="45" borderId="141" xfId="13" applyNumberFormat="1" applyFont="1" applyFill="1" applyBorder="1" applyAlignment="1">
      <alignment vertical="center"/>
    </xf>
    <xf numFmtId="168" fontId="14" fillId="1" borderId="205" xfId="13" applyNumberFormat="1" applyFont="1" applyFill="1" applyBorder="1" applyAlignment="1" applyProtection="1">
      <alignment vertical="center"/>
    </xf>
    <xf numFmtId="168" fontId="14" fillId="0" borderId="205" xfId="13" applyNumberFormat="1" applyFont="1" applyFill="1" applyBorder="1" applyAlignment="1" applyProtection="1">
      <alignment vertical="center"/>
    </xf>
    <xf numFmtId="168" fontId="14" fillId="0" borderId="206" xfId="13" applyNumberFormat="1" applyFont="1" applyFill="1" applyBorder="1" applyAlignment="1" applyProtection="1">
      <alignment vertical="center"/>
    </xf>
    <xf numFmtId="168" fontId="0" fillId="0" borderId="218" xfId="0" applyNumberFormat="1" applyFont="1" applyFill="1" applyBorder="1" applyAlignment="1" applyProtection="1">
      <alignment vertical="center"/>
    </xf>
    <xf numFmtId="168" fontId="14" fillId="1" borderId="217" xfId="13" applyNumberFormat="1" applyFont="1" applyFill="1" applyBorder="1" applyAlignment="1" applyProtection="1">
      <alignment vertical="center"/>
    </xf>
    <xf numFmtId="173" fontId="0" fillId="0" borderId="217" xfId="12" applyNumberFormat="1" applyFont="1" applyFill="1" applyBorder="1" applyAlignment="1" applyProtection="1">
      <alignment vertical="center"/>
    </xf>
    <xf numFmtId="173" fontId="0" fillId="0" borderId="219" xfId="12" applyNumberFormat="1" applyFont="1" applyFill="1" applyBorder="1" applyAlignment="1" applyProtection="1">
      <alignment vertical="center"/>
    </xf>
    <xf numFmtId="168" fontId="13" fillId="39" borderId="220" xfId="0" applyNumberFormat="1" applyFont="1" applyFill="1" applyBorder="1" applyAlignment="1" applyProtection="1">
      <alignment vertical="center"/>
    </xf>
    <xf numFmtId="168" fontId="13" fillId="39" borderId="221" xfId="13" applyNumberFormat="1" applyFont="1" applyFill="1" applyBorder="1" applyAlignment="1" applyProtection="1">
      <alignment vertical="center"/>
    </xf>
    <xf numFmtId="173" fontId="0" fillId="0" borderId="222" xfId="12" applyNumberFormat="1" applyFont="1" applyFill="1" applyBorder="1" applyAlignment="1" applyProtection="1">
      <alignment vertical="center"/>
    </xf>
    <xf numFmtId="168" fontId="11" fillId="56" borderId="100" xfId="13" applyNumberFormat="1" applyFont="1" applyFill="1" applyBorder="1" applyAlignment="1">
      <alignment vertical="center"/>
    </xf>
    <xf numFmtId="176" fontId="14" fillId="12" borderId="217" xfId="12" applyNumberFormat="1" applyFill="1" applyBorder="1"/>
    <xf numFmtId="168" fontId="11" fillId="29" borderId="100" xfId="13" applyNumberFormat="1" applyFont="1" applyFill="1" applyBorder="1" applyAlignment="1">
      <alignment vertical="center"/>
    </xf>
    <xf numFmtId="176" fontId="14" fillId="29" borderId="217" xfId="12" applyNumberFormat="1" applyFill="1" applyBorder="1"/>
    <xf numFmtId="176" fontId="19" fillId="29" borderId="100" xfId="12" applyNumberFormat="1" applyFont="1" applyFill="1" applyBorder="1" applyAlignment="1">
      <alignment vertical="center"/>
    </xf>
    <xf numFmtId="168" fontId="19" fillId="58" borderId="100" xfId="13" applyNumberFormat="1" applyFont="1" applyFill="1" applyBorder="1" applyAlignment="1">
      <alignment vertical="center"/>
    </xf>
    <xf numFmtId="176" fontId="14" fillId="58" borderId="217" xfId="12" applyNumberFormat="1" applyFill="1" applyBorder="1"/>
    <xf numFmtId="176" fontId="14" fillId="58" borderId="217" xfId="12" applyNumberFormat="1" applyFont="1" applyFill="1" applyBorder="1"/>
    <xf numFmtId="168" fontId="19" fillId="59" borderId="100" xfId="13" applyNumberFormat="1" applyFont="1" applyFill="1" applyBorder="1" applyAlignment="1">
      <alignment vertical="center"/>
    </xf>
    <xf numFmtId="181" fontId="13" fillId="19" borderId="217" xfId="13" applyNumberFormat="1" applyFont="1" applyFill="1" applyBorder="1" applyAlignment="1" applyProtection="1">
      <alignment horizontal="center"/>
    </xf>
    <xf numFmtId="168" fontId="11" fillId="40" borderId="100" xfId="13" applyNumberFormat="1" applyFont="1" applyFill="1" applyBorder="1" applyAlignment="1" applyProtection="1">
      <alignment vertical="center"/>
    </xf>
    <xf numFmtId="0" fontId="11" fillId="20" borderId="215" xfId="0" applyFont="1" applyFill="1" applyBorder="1" applyAlignment="1" applyProtection="1">
      <alignment horizontal="left" vertical="center"/>
    </xf>
    <xf numFmtId="181" fontId="13" fillId="19" borderId="217" xfId="13" applyNumberFormat="1" applyFont="1" applyFill="1" applyBorder="1" applyAlignment="1" applyProtection="1">
      <alignment horizontal="center"/>
      <protection locked="0"/>
    </xf>
    <xf numFmtId="181" fontId="14" fillId="12" borderId="217" xfId="13" applyNumberFormat="1" applyFill="1" applyBorder="1" applyProtection="1">
      <protection locked="0"/>
    </xf>
    <xf numFmtId="42" fontId="0" fillId="49" borderId="194" xfId="31" applyFont="1" applyFill="1" applyBorder="1" applyAlignment="1" applyProtection="1">
      <alignment horizontal="center" vertical="center"/>
      <protection locked="0"/>
    </xf>
    <xf numFmtId="181" fontId="14" fillId="12" borderId="0" xfId="13" applyNumberFormat="1" applyFill="1" applyProtection="1">
      <protection locked="0"/>
    </xf>
    <xf numFmtId="42" fontId="0" fillId="12" borderId="194" xfId="31" applyFont="1" applyFill="1" applyBorder="1" applyAlignment="1" applyProtection="1">
      <alignment horizontal="center" vertical="center"/>
      <protection locked="0"/>
    </xf>
    <xf numFmtId="168" fontId="11" fillId="40" borderId="100" xfId="13" applyNumberFormat="1" applyFont="1" applyFill="1" applyBorder="1" applyAlignment="1" applyProtection="1">
      <alignment vertical="center"/>
      <protection locked="0"/>
    </xf>
    <xf numFmtId="0" fontId="11" fillId="20" borderId="148" xfId="0" applyFont="1" applyFill="1" applyBorder="1" applyAlignment="1" applyProtection="1">
      <alignment horizontal="left" vertical="center"/>
      <protection locked="0"/>
    </xf>
    <xf numFmtId="168" fontId="11" fillId="60" borderId="100" xfId="13" applyNumberFormat="1" applyFont="1" applyFill="1" applyBorder="1" applyAlignment="1">
      <alignment vertical="center"/>
    </xf>
    <xf numFmtId="168" fontId="11" fillId="61" borderId="100" xfId="13" applyNumberFormat="1" applyFont="1" applyFill="1" applyBorder="1" applyAlignment="1">
      <alignment vertical="center"/>
    </xf>
    <xf numFmtId="176" fontId="14" fillId="29" borderId="217" xfId="12" applyNumberFormat="1" applyFont="1" applyFill="1" applyBorder="1"/>
    <xf numFmtId="0" fontId="0" fillId="12" borderId="206" xfId="0" applyFont="1" applyFill="1" applyBorder="1" applyAlignment="1" applyProtection="1">
      <alignment horizontal="left" vertical="center"/>
      <protection locked="0"/>
    </xf>
    <xf numFmtId="0" fontId="0" fillId="12" borderId="222" xfId="0" applyFont="1" applyFill="1" applyBorder="1" applyAlignment="1" applyProtection="1">
      <alignment horizontal="left" vertical="center"/>
      <protection locked="0"/>
    </xf>
    <xf numFmtId="0" fontId="0" fillId="12" borderId="217" xfId="0" applyFont="1" applyFill="1" applyBorder="1" applyAlignment="1" applyProtection="1">
      <alignment horizontal="left" vertical="center"/>
      <protection locked="0"/>
    </xf>
    <xf numFmtId="0" fontId="0" fillId="12" borderId="219" xfId="0" applyFont="1" applyFill="1" applyBorder="1" applyAlignment="1" applyProtection="1">
      <alignment horizontal="left" vertical="center"/>
      <protection locked="0"/>
    </xf>
    <xf numFmtId="0" fontId="0" fillId="12" borderId="221" xfId="0" applyFont="1" applyFill="1" applyBorder="1" applyAlignment="1" applyProtection="1">
      <alignment horizontal="left" vertical="center"/>
      <protection locked="0"/>
    </xf>
    <xf numFmtId="0" fontId="0" fillId="12" borderId="200" xfId="0" applyFont="1" applyFill="1" applyBorder="1" applyAlignment="1" applyProtection="1">
      <alignment horizontal="left" vertical="center"/>
      <protection locked="0"/>
    </xf>
    <xf numFmtId="168" fontId="13" fillId="34" borderId="226" xfId="0" applyNumberFormat="1" applyFont="1" applyFill="1" applyBorder="1" applyAlignment="1" applyProtection="1">
      <alignment horizontal="center" vertical="center" wrapText="1"/>
    </xf>
    <xf numFmtId="168" fontId="13" fillId="34" borderId="227" xfId="0" applyNumberFormat="1" applyFont="1" applyFill="1" applyBorder="1" applyAlignment="1" applyProtection="1">
      <alignment horizontal="center" vertical="center" wrapText="1"/>
    </xf>
    <xf numFmtId="168" fontId="13" fillId="34" borderId="228" xfId="0" applyNumberFormat="1" applyFont="1" applyFill="1" applyBorder="1" applyAlignment="1" applyProtection="1">
      <alignment horizontal="center" vertical="center" wrapText="1"/>
    </xf>
    <xf numFmtId="168" fontId="13" fillId="39" borderId="229" xfId="13" applyNumberFormat="1" applyFont="1" applyFill="1" applyBorder="1" applyAlignment="1" applyProtection="1">
      <alignment vertical="center"/>
    </xf>
    <xf numFmtId="168" fontId="13" fillId="39" borderId="230" xfId="13" applyNumberFormat="1" applyFont="1" applyFill="1" applyBorder="1" applyAlignment="1" applyProtection="1">
      <alignment vertical="center"/>
    </xf>
    <xf numFmtId="168" fontId="0" fillId="0" borderId="200" xfId="13" applyNumberFormat="1" applyFont="1" applyFill="1" applyBorder="1" applyAlignment="1" applyProtection="1">
      <alignment vertical="center"/>
    </xf>
    <xf numFmtId="168" fontId="0" fillId="0" borderId="204" xfId="13" applyNumberFormat="1" applyFont="1" applyFill="1" applyBorder="1" applyAlignment="1" applyProtection="1">
      <alignment vertical="center"/>
    </xf>
    <xf numFmtId="168" fontId="22" fillId="31" borderId="59" xfId="13" applyNumberFormat="1" applyFont="1" applyFill="1" applyBorder="1" applyAlignment="1" applyProtection="1">
      <alignment vertical="center" wrapText="1"/>
    </xf>
    <xf numFmtId="168" fontId="14" fillId="1" borderId="222" xfId="13" applyNumberFormat="1" applyFont="1" applyFill="1" applyBorder="1" applyAlignment="1" applyProtection="1">
      <alignment vertical="center"/>
    </xf>
    <xf numFmtId="173" fontId="0" fillId="0" borderId="231" xfId="12" applyNumberFormat="1" applyFont="1" applyFill="1" applyBorder="1" applyAlignment="1" applyProtection="1">
      <alignment vertical="center"/>
    </xf>
    <xf numFmtId="168" fontId="13" fillId="39" borderId="232" xfId="13" applyNumberFormat="1" applyFont="1" applyFill="1" applyBorder="1" applyAlignment="1" applyProtection="1">
      <alignment vertical="center"/>
    </xf>
    <xf numFmtId="168" fontId="0" fillId="0" borderId="205" xfId="13" applyNumberFormat="1" applyFont="1" applyFill="1" applyBorder="1" applyAlignment="1" applyProtection="1">
      <alignment vertical="center"/>
    </xf>
    <xf numFmtId="168" fontId="0" fillId="0" borderId="206" xfId="13" applyNumberFormat="1" applyFont="1" applyFill="1" applyBorder="1" applyAlignment="1" applyProtection="1">
      <alignment vertical="center"/>
    </xf>
    <xf numFmtId="0" fontId="13" fillId="62" borderId="210" xfId="0" applyFont="1" applyFill="1" applyBorder="1" applyAlignment="1" applyProtection="1">
      <alignment horizontal="center" vertical="center"/>
    </xf>
    <xf numFmtId="0" fontId="11" fillId="63" borderId="148" xfId="0" applyFont="1" applyFill="1" applyBorder="1" applyAlignment="1" applyProtection="1">
      <alignment horizontal="left" vertical="center"/>
    </xf>
    <xf numFmtId="168" fontId="11" fillId="63" borderId="100" xfId="13" applyNumberFormat="1" applyFont="1" applyFill="1" applyBorder="1" applyAlignment="1" applyProtection="1">
      <alignment horizontal="center" vertical="center"/>
    </xf>
    <xf numFmtId="168" fontId="11" fillId="24" borderId="100" xfId="13" applyNumberFormat="1" applyFont="1" applyFill="1" applyBorder="1" applyAlignment="1" applyProtection="1">
      <alignment vertical="center"/>
    </xf>
    <xf numFmtId="168" fontId="13" fillId="24" borderId="100" xfId="13" applyNumberFormat="1" applyFont="1" applyFill="1" applyBorder="1" applyAlignment="1" applyProtection="1">
      <alignment vertical="center"/>
    </xf>
    <xf numFmtId="168" fontId="11" fillId="63" borderId="165" xfId="13" applyNumberFormat="1" applyFont="1" applyFill="1" applyBorder="1" applyAlignment="1" applyProtection="1">
      <alignment horizontal="center" vertical="center"/>
    </xf>
    <xf numFmtId="0" fontId="13" fillId="64" borderId="138" xfId="0" applyFont="1" applyFill="1" applyBorder="1" applyAlignment="1" applyProtection="1">
      <alignment horizontal="center" vertical="center" wrapText="1"/>
    </xf>
    <xf numFmtId="0" fontId="11" fillId="64" borderId="148" xfId="0" applyFont="1" applyFill="1" applyBorder="1" applyAlignment="1" applyProtection="1">
      <alignment horizontal="left" vertical="center"/>
    </xf>
    <xf numFmtId="168" fontId="11" fillId="64" borderId="100" xfId="13" applyNumberFormat="1" applyFont="1" applyFill="1" applyBorder="1" applyAlignment="1" applyProtection="1">
      <alignment horizontal="center" vertical="center"/>
    </xf>
    <xf numFmtId="168" fontId="11" fillId="22" borderId="100" xfId="13" applyNumberFormat="1" applyFont="1" applyFill="1" applyBorder="1" applyAlignment="1" applyProtection="1">
      <alignment vertical="center"/>
    </xf>
    <xf numFmtId="168" fontId="13" fillId="22" borderId="100" xfId="13" applyNumberFormat="1" applyFont="1" applyFill="1" applyBorder="1" applyAlignment="1" applyProtection="1">
      <alignment vertical="center"/>
    </xf>
    <xf numFmtId="168" fontId="11" fillId="64" borderId="138" xfId="13" applyNumberFormat="1" applyFont="1" applyFill="1" applyBorder="1" applyAlignment="1" applyProtection="1">
      <alignment horizontal="center" vertical="center"/>
    </xf>
    <xf numFmtId="1" fontId="0" fillId="1" borderId="138" xfId="0" applyNumberFormat="1" applyFill="1" applyBorder="1" applyAlignment="1" applyProtection="1">
      <alignment horizontal="center" vertical="center" wrapText="1"/>
    </xf>
    <xf numFmtId="175" fontId="19" fillId="1" borderId="148" xfId="0" applyNumberFormat="1" applyFont="1" applyFill="1" applyBorder="1" applyAlignment="1" applyProtection="1">
      <alignment horizontal="left"/>
    </xf>
    <xf numFmtId="168" fontId="0" fillId="65" borderId="100" xfId="13" applyNumberFormat="1" applyFont="1" applyFill="1" applyBorder="1" applyAlignment="1" applyProtection="1">
      <alignment vertical="center"/>
    </xf>
    <xf numFmtId="168" fontId="19" fillId="1" borderId="100" xfId="13" applyNumberFormat="1" applyFont="1" applyFill="1" applyBorder="1" applyAlignment="1" applyProtection="1">
      <alignment vertical="center"/>
    </xf>
    <xf numFmtId="176" fontId="19" fillId="1" borderId="100" xfId="12" applyNumberFormat="1" applyFont="1" applyFill="1" applyBorder="1" applyAlignment="1" applyProtection="1">
      <alignment vertical="center"/>
    </xf>
    <xf numFmtId="168" fontId="19" fillId="57" borderId="100" xfId="13" applyNumberFormat="1" applyFont="1" applyFill="1" applyBorder="1" applyAlignment="1" applyProtection="1">
      <alignment vertical="center"/>
    </xf>
    <xf numFmtId="168" fontId="11" fillId="66" borderId="165" xfId="13" applyNumberFormat="1" applyFont="1" applyFill="1" applyBorder="1" applyAlignment="1" applyProtection="1">
      <alignment vertical="center"/>
    </xf>
    <xf numFmtId="168" fontId="0" fillId="67" borderId="100" xfId="13" applyNumberFormat="1" applyFont="1" applyFill="1" applyBorder="1" applyAlignment="1" applyProtection="1">
      <alignment vertical="center"/>
    </xf>
    <xf numFmtId="168" fontId="19" fillId="67" borderId="100" xfId="13" applyNumberFormat="1" applyFont="1" applyFill="1" applyBorder="1" applyAlignment="1" applyProtection="1">
      <alignment vertical="center"/>
    </xf>
    <xf numFmtId="176" fontId="19" fillId="67" borderId="100" xfId="12" applyNumberFormat="1" applyFont="1" applyFill="1" applyBorder="1" applyAlignment="1" applyProtection="1">
      <alignment vertical="center"/>
    </xf>
    <xf numFmtId="1" fontId="0" fillId="1" borderId="211" xfId="0" applyNumberFormat="1" applyFill="1" applyBorder="1" applyAlignment="1" applyProtection="1">
      <alignment horizontal="center"/>
    </xf>
    <xf numFmtId="1" fontId="0" fillId="1" borderId="140" xfId="0" applyNumberFormat="1" applyFill="1" applyBorder="1" applyProtection="1"/>
    <xf numFmtId="175" fontId="30" fillId="1" borderId="148" xfId="0" applyNumberFormat="1" applyFont="1" applyFill="1" applyBorder="1" applyAlignment="1" applyProtection="1">
      <alignment horizontal="left"/>
    </xf>
    <xf numFmtId="168" fontId="0" fillId="52" borderId="100" xfId="13" applyNumberFormat="1" applyFont="1" applyFill="1" applyBorder="1" applyAlignment="1" applyProtection="1">
      <alignment vertical="center"/>
    </xf>
    <xf numFmtId="168" fontId="19" fillId="52" borderId="100" xfId="13" applyNumberFormat="1" applyFont="1" applyFill="1" applyBorder="1" applyAlignment="1" applyProtection="1">
      <alignment vertical="center"/>
    </xf>
    <xf numFmtId="176" fontId="19" fillId="52" borderId="100" xfId="12" applyNumberFormat="1" applyFont="1" applyFill="1" applyBorder="1" applyAlignment="1" applyProtection="1">
      <alignment vertical="center"/>
    </xf>
    <xf numFmtId="168" fontId="11" fillId="63" borderId="138" xfId="13" applyNumberFormat="1" applyFont="1" applyFill="1" applyBorder="1" applyAlignment="1" applyProtection="1">
      <alignment horizontal="center" vertical="center"/>
    </xf>
    <xf numFmtId="168" fontId="11" fillId="64" borderId="100" xfId="13" applyNumberFormat="1" applyFont="1" applyFill="1" applyBorder="1" applyAlignment="1" applyProtection="1">
      <alignment vertical="center"/>
    </xf>
    <xf numFmtId="168" fontId="11" fillId="64" borderId="165" xfId="13" applyNumberFormat="1" applyFont="1" applyFill="1" applyBorder="1" applyAlignment="1" applyProtection="1">
      <alignment vertical="center"/>
    </xf>
    <xf numFmtId="1" fontId="0" fillId="68" borderId="138" xfId="0" applyNumberFormat="1" applyFill="1" applyBorder="1" applyAlignment="1" applyProtection="1">
      <alignment horizontal="center" vertical="center" wrapText="1"/>
    </xf>
    <xf numFmtId="168" fontId="11" fillId="51" borderId="100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5" fontId="19" fillId="1" borderId="192" xfId="0" applyNumberFormat="1" applyFont="1" applyFill="1" applyBorder="1" applyAlignment="1" applyProtection="1">
      <alignment horizontal="left"/>
    </xf>
    <xf numFmtId="168" fontId="11" fillId="66" borderId="193" xfId="13" applyNumberFormat="1" applyFont="1" applyFill="1" applyBorder="1" applyAlignment="1" applyProtection="1">
      <alignment vertical="center"/>
    </xf>
    <xf numFmtId="0" fontId="13" fillId="69" borderId="212" xfId="0" applyFont="1" applyFill="1" applyBorder="1" applyAlignment="1" applyProtection="1">
      <alignment horizontal="center" vertical="center" wrapText="1"/>
    </xf>
    <xf numFmtId="0" fontId="13" fillId="70" borderId="191" xfId="0" applyFont="1" applyFill="1" applyBorder="1" applyAlignment="1" applyProtection="1">
      <alignment vertical="center"/>
    </xf>
    <xf numFmtId="167" fontId="13" fillId="70" borderId="100" xfId="13" applyNumberFormat="1" applyFont="1" applyFill="1" applyBorder="1" applyAlignment="1" applyProtection="1">
      <alignment vertical="center"/>
    </xf>
    <xf numFmtId="167" fontId="13" fillId="32" borderId="100" xfId="13" applyNumberFormat="1" applyFont="1" applyFill="1" applyBorder="1" applyAlignment="1" applyProtection="1">
      <alignment vertical="center"/>
    </xf>
    <xf numFmtId="167" fontId="13" fillId="70" borderId="190" xfId="13" applyNumberFormat="1" applyFont="1" applyFill="1" applyBorder="1" applyAlignment="1" applyProtection="1">
      <alignment vertical="center"/>
    </xf>
    <xf numFmtId="168" fontId="0" fillId="66" borderId="100" xfId="13" applyNumberFormat="1" applyFont="1" applyFill="1" applyBorder="1" applyAlignment="1">
      <alignment vertical="center"/>
    </xf>
    <xf numFmtId="181" fontId="14" fillId="66" borderId="100" xfId="13" applyNumberFormat="1" applyFill="1" applyBorder="1"/>
    <xf numFmtId="0" fontId="0" fillId="12" borderId="200" xfId="0" applyFont="1" applyFill="1" applyBorder="1" applyProtection="1">
      <protection locked="0"/>
    </xf>
    <xf numFmtId="0" fontId="0" fillId="12" borderId="112" xfId="0" applyFont="1" applyFill="1" applyBorder="1" applyProtection="1">
      <protection locked="0"/>
    </xf>
    <xf numFmtId="178" fontId="0" fillId="12" borderId="112" xfId="13" applyNumberFormat="1" applyFont="1" applyFill="1" applyBorder="1" applyAlignment="1" applyProtection="1">
      <alignment vertical="center"/>
      <protection locked="0"/>
    </xf>
    <xf numFmtId="177" fontId="0" fillId="29" borderId="233" xfId="0" applyNumberFormat="1" applyFont="1" applyFill="1" applyBorder="1" applyAlignment="1" applyProtection="1">
      <alignment horizontal="right" vertical="center"/>
    </xf>
    <xf numFmtId="0" fontId="13" fillId="16" borderId="221" xfId="0" applyFont="1" applyFill="1" applyBorder="1" applyAlignment="1" applyProtection="1">
      <alignment horizontal="center" vertical="center" wrapText="1"/>
    </xf>
    <xf numFmtId="0" fontId="13" fillId="16" borderId="232" xfId="0" applyFont="1" applyFill="1" applyBorder="1" applyAlignment="1" applyProtection="1">
      <alignment horizontal="center" vertical="center" wrapText="1"/>
    </xf>
    <xf numFmtId="0" fontId="13" fillId="16" borderId="104" xfId="0" applyFont="1" applyFill="1" applyBorder="1" applyAlignment="1" applyProtection="1">
      <alignment horizontal="center" vertical="center" wrapText="1"/>
    </xf>
    <xf numFmtId="177" fontId="22" fillId="28" borderId="59" xfId="0" applyNumberFormat="1" applyFont="1" applyFill="1" applyBorder="1" applyAlignment="1" applyProtection="1">
      <alignment horizontal="center" vertical="center"/>
    </xf>
    <xf numFmtId="168" fontId="14" fillId="57" borderId="194" xfId="13" applyNumberFormat="1" applyFont="1" applyFill="1" applyBorder="1" applyAlignment="1" applyProtection="1">
      <alignment vertical="center"/>
    </xf>
    <xf numFmtId="168" fontId="13" fillId="34" borderId="236" xfId="0" applyNumberFormat="1" applyFont="1" applyFill="1" applyBorder="1" applyAlignment="1" applyProtection="1">
      <alignment horizontal="center" vertical="center" wrapText="1"/>
    </xf>
    <xf numFmtId="168" fontId="13" fillId="15" borderId="224" xfId="0" applyNumberFormat="1" applyFont="1" applyFill="1" applyBorder="1" applyAlignment="1" applyProtection="1">
      <alignment horizontal="center" vertical="center" wrapText="1"/>
    </xf>
    <xf numFmtId="168" fontId="13" fillId="15" borderId="237" xfId="0" applyNumberFormat="1" applyFont="1" applyFill="1" applyBorder="1" applyAlignment="1" applyProtection="1">
      <alignment horizontal="center" vertical="center" wrapText="1"/>
    </xf>
    <xf numFmtId="168" fontId="13" fillId="15" borderId="228" xfId="0" applyNumberFormat="1" applyFont="1" applyFill="1" applyBorder="1" applyAlignment="1" applyProtection="1">
      <alignment horizontal="center" vertical="center" wrapText="1"/>
    </xf>
    <xf numFmtId="170" fontId="0" fillId="45" borderId="205" xfId="13" applyNumberFormat="1" applyFont="1" applyFill="1" applyBorder="1" applyAlignment="1" applyProtection="1">
      <alignment horizontal="center" vertical="center"/>
    </xf>
    <xf numFmtId="170" fontId="0" fillId="45" borderId="217" xfId="13" applyNumberFormat="1" applyFont="1" applyFill="1" applyBorder="1" applyAlignment="1" applyProtection="1">
      <alignment horizontal="center" vertical="center"/>
    </xf>
    <xf numFmtId="170" fontId="0" fillId="45" borderId="221" xfId="13" applyNumberFormat="1" applyFont="1" applyFill="1" applyBorder="1" applyAlignment="1" applyProtection="1">
      <alignment horizontal="center" vertical="center"/>
    </xf>
    <xf numFmtId="168" fontId="0" fillId="71" borderId="101" xfId="13" applyNumberFormat="1" applyFont="1" applyFill="1" applyBorder="1" applyAlignment="1" applyProtection="1">
      <alignment vertical="center"/>
    </xf>
    <xf numFmtId="168" fontId="0" fillId="71" borderId="100" xfId="13" applyNumberFormat="1" applyFont="1" applyFill="1" applyBorder="1" applyAlignment="1" applyProtection="1">
      <alignment vertical="center"/>
    </xf>
    <xf numFmtId="0" fontId="11" fillId="20" borderId="217" xfId="0" applyFont="1" applyFill="1" applyBorder="1" applyAlignment="1" applyProtection="1">
      <alignment horizontal="left" vertical="center"/>
    </xf>
    <xf numFmtId="0" fontId="11" fillId="20" borderId="217" xfId="0" applyFont="1" applyFill="1" applyBorder="1" applyAlignment="1" applyProtection="1">
      <alignment horizontal="left" vertical="center"/>
      <protection locked="0"/>
    </xf>
    <xf numFmtId="0" fontId="11" fillId="20" borderId="139" xfId="0" applyFont="1" applyFill="1" applyBorder="1" applyAlignment="1">
      <alignment horizontal="left" vertical="center"/>
    </xf>
    <xf numFmtId="181" fontId="13" fillId="19" borderId="150" xfId="13" applyNumberFormat="1" applyFont="1" applyFill="1" applyBorder="1" applyAlignment="1" applyProtection="1">
      <alignment horizontal="center"/>
      <protection locked="0"/>
    </xf>
    <xf numFmtId="181" fontId="13" fillId="19" borderId="150" xfId="13" applyNumberFormat="1" applyFont="1" applyFill="1" applyBorder="1" applyAlignment="1" applyProtection="1">
      <alignment horizontal="center"/>
    </xf>
    <xf numFmtId="0" fontId="13" fillId="21" borderId="217" xfId="0" applyFont="1" applyFill="1" applyBorder="1" applyAlignment="1">
      <alignment horizontal="left" vertical="center"/>
    </xf>
    <xf numFmtId="0" fontId="11" fillId="23" borderId="217" xfId="0" applyFont="1" applyFill="1" applyBorder="1" applyAlignment="1">
      <alignment horizontal="left" vertical="center"/>
    </xf>
    <xf numFmtId="173" fontId="0" fillId="1" borderId="217" xfId="12" applyNumberFormat="1" applyFont="1" applyFill="1" applyBorder="1" applyAlignment="1" applyProtection="1">
      <alignment vertical="center"/>
    </xf>
    <xf numFmtId="173" fontId="0" fillId="1" borderId="231" xfId="12" applyNumberFormat="1" applyFont="1" applyFill="1" applyBorder="1" applyAlignment="1" applyProtection="1">
      <alignment vertical="center"/>
    </xf>
    <xf numFmtId="173" fontId="0" fillId="1" borderId="219" xfId="12" applyNumberFormat="1" applyFont="1" applyFill="1" applyBorder="1" applyAlignment="1" applyProtection="1">
      <alignment vertical="center"/>
    </xf>
    <xf numFmtId="168" fontId="0" fillId="0" borderId="87" xfId="0" applyNumberFormat="1" applyFill="1" applyBorder="1" applyAlignment="1" applyProtection="1">
      <alignment vertical="center"/>
    </xf>
    <xf numFmtId="168" fontId="13" fillId="15" borderId="226" xfId="0" applyNumberFormat="1" applyFont="1" applyFill="1" applyBorder="1" applyAlignment="1" applyProtection="1">
      <alignment horizontal="center" vertical="center" wrapText="1"/>
    </xf>
    <xf numFmtId="168" fontId="13" fillId="15" borderId="227" xfId="0" applyNumberFormat="1" applyFont="1" applyFill="1" applyBorder="1" applyAlignment="1" applyProtection="1">
      <alignment horizontal="center" vertical="center" wrapText="1"/>
    </xf>
    <xf numFmtId="170" fontId="0" fillId="0" borderId="204" xfId="0" applyNumberFormat="1" applyFont="1" applyFill="1" applyBorder="1" applyAlignment="1" applyProtection="1">
      <alignment horizontal="center" vertical="center"/>
    </xf>
    <xf numFmtId="170" fontId="0" fillId="0" borderId="205" xfId="0" applyNumberFormat="1" applyFont="1" applyFill="1" applyBorder="1" applyAlignment="1" applyProtection="1">
      <alignment horizontal="center" vertical="center"/>
    </xf>
    <xf numFmtId="170" fontId="0" fillId="0" borderId="206" xfId="0" applyNumberFormat="1" applyFont="1" applyFill="1" applyBorder="1" applyAlignment="1" applyProtection="1">
      <alignment horizontal="center" vertical="center"/>
    </xf>
    <xf numFmtId="168" fontId="0" fillId="0" borderId="222" xfId="13" applyNumberFormat="1" applyFont="1" applyFill="1" applyBorder="1" applyAlignment="1" applyProtection="1">
      <alignment vertical="center"/>
    </xf>
    <xf numFmtId="168" fontId="0" fillId="0" borderId="217" xfId="13" applyNumberFormat="1" applyFont="1" applyFill="1" applyBorder="1" applyAlignment="1" applyProtection="1">
      <alignment vertical="center"/>
    </xf>
    <xf numFmtId="170" fontId="0" fillId="0" borderId="222" xfId="0" applyNumberFormat="1" applyFont="1" applyFill="1" applyBorder="1" applyAlignment="1" applyProtection="1">
      <alignment horizontal="center" vertical="center"/>
    </xf>
    <xf numFmtId="170" fontId="0" fillId="0" borderId="217" xfId="0" applyNumberFormat="1" applyFont="1" applyFill="1" applyBorder="1" applyAlignment="1" applyProtection="1">
      <alignment horizontal="center" vertical="center"/>
    </xf>
    <xf numFmtId="170" fontId="0" fillId="0" borderId="219" xfId="0" applyNumberFormat="1" applyFont="1" applyFill="1" applyBorder="1" applyAlignment="1" applyProtection="1">
      <alignment horizontal="center" vertical="center"/>
    </xf>
    <xf numFmtId="168" fontId="0" fillId="0" borderId="221" xfId="13" applyNumberFormat="1" applyFont="1" applyFill="1" applyBorder="1" applyAlignment="1" applyProtection="1">
      <alignment vertical="center"/>
    </xf>
    <xf numFmtId="170" fontId="0" fillId="0" borderId="221" xfId="0" applyNumberFormat="1" applyFont="1" applyFill="1" applyBorder="1" applyAlignment="1" applyProtection="1">
      <alignment horizontal="center" vertical="center"/>
    </xf>
    <xf numFmtId="168" fontId="0" fillId="1" borderId="222" xfId="13" applyNumberFormat="1" applyFont="1" applyFill="1" applyBorder="1" applyAlignment="1" applyProtection="1">
      <alignment vertical="center"/>
    </xf>
    <xf numFmtId="168" fontId="0" fillId="1" borderId="217" xfId="13" applyNumberFormat="1" applyFont="1" applyFill="1" applyBorder="1" applyAlignment="1" applyProtection="1">
      <alignment vertical="center"/>
    </xf>
    <xf numFmtId="168" fontId="0" fillId="1" borderId="219" xfId="13" applyNumberFormat="1" applyFont="1" applyFill="1" applyBorder="1" applyAlignment="1" applyProtection="1">
      <alignment vertical="center"/>
    </xf>
    <xf numFmtId="177" fontId="0" fillId="11" borderId="0" xfId="0" applyNumberFormat="1" applyFont="1" applyFill="1" applyProtection="1"/>
    <xf numFmtId="168" fontId="0" fillId="71" borderId="143" xfId="13" applyNumberFormat="1" applyFont="1" applyFill="1" applyBorder="1" applyAlignment="1" applyProtection="1">
      <alignment vertical="center"/>
    </xf>
    <xf numFmtId="168" fontId="0" fillId="71" borderId="148" xfId="13" applyNumberFormat="1" applyFont="1" applyFill="1" applyBorder="1" applyAlignment="1" applyProtection="1">
      <alignment vertical="center"/>
    </xf>
    <xf numFmtId="168" fontId="13" fillId="71" borderId="163" xfId="13" applyNumberFormat="1" applyFont="1" applyFill="1" applyBorder="1" applyAlignment="1" applyProtection="1">
      <alignment vertical="center"/>
    </xf>
    <xf numFmtId="168" fontId="0" fillId="73" borderId="164" xfId="13" applyNumberFormat="1" applyFont="1" applyFill="1" applyBorder="1" applyAlignment="1" applyProtection="1">
      <alignment vertical="center"/>
    </xf>
    <xf numFmtId="168" fontId="0" fillId="73" borderId="165" xfId="13" applyNumberFormat="1" applyFont="1" applyFill="1" applyBorder="1" applyAlignment="1" applyProtection="1">
      <alignment vertical="center"/>
    </xf>
    <xf numFmtId="168" fontId="13" fillId="73" borderId="143" xfId="13" applyNumberFormat="1" applyFont="1" applyFill="1" applyBorder="1" applyAlignment="1" applyProtection="1">
      <alignment vertical="center"/>
    </xf>
    <xf numFmtId="168" fontId="13" fillId="1" borderId="166" xfId="13" applyNumberFormat="1" applyFont="1" applyFill="1" applyBorder="1" applyAlignment="1" applyProtection="1">
      <alignment vertical="center"/>
    </xf>
    <xf numFmtId="178" fontId="0" fillId="29" borderId="204" xfId="13" applyNumberFormat="1" applyFont="1" applyFill="1" applyBorder="1" applyAlignment="1" applyProtection="1">
      <alignment vertical="center"/>
    </xf>
    <xf numFmtId="178" fontId="0" fillId="29" borderId="205" xfId="13" applyNumberFormat="1" applyFont="1" applyFill="1" applyBorder="1" applyAlignment="1" applyProtection="1">
      <alignment vertical="center"/>
    </xf>
    <xf numFmtId="178" fontId="0" fillId="29" borderId="206" xfId="13" applyNumberFormat="1" applyFont="1" applyFill="1" applyBorder="1" applyAlignment="1" applyProtection="1">
      <alignment vertical="center"/>
    </xf>
    <xf numFmtId="178" fontId="0" fillId="29" borderId="222" xfId="13" applyNumberFormat="1" applyFont="1" applyFill="1" applyBorder="1" applyAlignment="1" applyProtection="1">
      <alignment vertical="center"/>
    </xf>
    <xf numFmtId="178" fontId="0" fillId="29" borderId="217" xfId="13" applyNumberFormat="1" applyFont="1" applyFill="1" applyBorder="1" applyAlignment="1" applyProtection="1">
      <alignment vertical="center"/>
    </xf>
    <xf numFmtId="178" fontId="0" fillId="29" borderId="219" xfId="13" applyNumberFormat="1" applyFont="1" applyFill="1" applyBorder="1" applyAlignment="1" applyProtection="1">
      <alignment vertical="center"/>
    </xf>
    <xf numFmtId="178" fontId="0" fillId="29" borderId="105" xfId="13" applyNumberFormat="1" applyFont="1" applyFill="1" applyBorder="1" applyAlignment="1" applyProtection="1">
      <alignment vertical="center"/>
    </xf>
    <xf numFmtId="178" fontId="0" fillId="29" borderId="221" xfId="13" applyNumberFormat="1" applyFont="1" applyFill="1" applyBorder="1" applyAlignment="1" applyProtection="1">
      <alignment vertical="center"/>
    </xf>
    <xf numFmtId="178" fontId="0" fillId="29" borderId="104" xfId="13" applyNumberFormat="1" applyFont="1" applyFill="1" applyBorder="1" applyAlignment="1" applyProtection="1">
      <alignment vertical="center"/>
    </xf>
    <xf numFmtId="178" fontId="0" fillId="0" borderId="0" xfId="0" applyNumberFormat="1" applyFont="1" applyBorder="1" applyProtection="1"/>
    <xf numFmtId="0" fontId="13" fillId="67" borderId="100" xfId="0" applyFont="1" applyFill="1" applyBorder="1" applyAlignment="1">
      <alignment horizontal="center" vertical="center"/>
    </xf>
    <xf numFmtId="0" fontId="13" fillId="12" borderId="100" xfId="0" applyFont="1" applyFill="1" applyBorder="1" applyAlignment="1">
      <alignment horizontal="center" vertical="center"/>
    </xf>
    <xf numFmtId="168" fontId="13" fillId="74" borderId="100" xfId="13" applyNumberFormat="1" applyFont="1" applyFill="1" applyBorder="1" applyAlignment="1">
      <alignment horizontal="center" vertical="center"/>
    </xf>
    <xf numFmtId="168" fontId="13" fillId="75" borderId="100" xfId="1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" fillId="43" borderId="0" xfId="58" applyFill="1"/>
    <xf numFmtId="0" fontId="37" fillId="72" borderId="241" xfId="58" applyFont="1" applyFill="1" applyBorder="1" applyAlignment="1">
      <alignment horizontal="center" vertical="center"/>
    </xf>
    <xf numFmtId="0" fontId="37" fillId="76" borderId="241" xfId="58" applyFont="1" applyFill="1" applyBorder="1" applyAlignment="1">
      <alignment horizontal="center" vertical="center" wrapText="1"/>
    </xf>
    <xf numFmtId="0" fontId="37" fillId="43" borderId="0" xfId="58" applyFont="1" applyFill="1" applyAlignment="1">
      <alignment horizontal="right"/>
    </xf>
    <xf numFmtId="1" fontId="38" fillId="43" borderId="241" xfId="59" applyNumberFormat="1" applyFont="1" applyFill="1" applyBorder="1" applyAlignment="1">
      <alignment horizontal="center" vertical="center"/>
    </xf>
    <xf numFmtId="1" fontId="38" fillId="43" borderId="0" xfId="59" applyNumberFormat="1" applyFont="1" applyFill="1" applyBorder="1" applyAlignment="1">
      <alignment horizontal="center" vertical="center"/>
    </xf>
    <xf numFmtId="0" fontId="37" fillId="46" borderId="0" xfId="58" applyFont="1" applyFill="1" applyAlignment="1">
      <alignment horizontal="left" vertical="center" indent="1"/>
    </xf>
    <xf numFmtId="0" fontId="1" fillId="43" borderId="0" xfId="58" applyFill="1" applyAlignment="1">
      <alignment horizontal="left" indent="2"/>
    </xf>
    <xf numFmtId="188" fontId="1" fillId="43" borderId="0" xfId="58" applyNumberFormat="1" applyFill="1"/>
    <xf numFmtId="188" fontId="37" fillId="43" borderId="0" xfId="58" applyNumberFormat="1" applyFont="1" applyFill="1"/>
    <xf numFmtId="0" fontId="37" fillId="72" borderId="217" xfId="58" applyFont="1" applyFill="1" applyBorder="1" applyAlignment="1">
      <alignment horizontal="left" indent="2"/>
    </xf>
    <xf numFmtId="188" fontId="37" fillId="72" borderId="217" xfId="58" applyNumberFormat="1" applyFont="1" applyFill="1" applyBorder="1"/>
    <xf numFmtId="178" fontId="0" fillId="45" borderId="221" xfId="13" applyNumberFormat="1" applyFont="1" applyFill="1" applyBorder="1" applyAlignment="1">
      <alignment vertical="center"/>
    </xf>
    <xf numFmtId="0" fontId="0" fillId="45" borderId="50" xfId="0" applyFont="1" applyFill="1" applyBorder="1" applyAlignment="1" applyProtection="1">
      <alignment horizontal="left" vertical="center"/>
    </xf>
    <xf numFmtId="0" fontId="0" fillId="45" borderId="144" xfId="0" applyFont="1" applyFill="1" applyBorder="1" applyAlignment="1" applyProtection="1">
      <alignment horizontal="left" vertical="center"/>
    </xf>
    <xf numFmtId="0" fontId="0" fillId="45" borderId="232" xfId="0" applyFont="1" applyFill="1" applyBorder="1" applyAlignment="1" applyProtection="1">
      <alignment horizontal="left" vertical="center"/>
    </xf>
    <xf numFmtId="0" fontId="0" fillId="45" borderId="231" xfId="0" applyFont="1" applyFill="1" applyBorder="1" applyAlignment="1" applyProtection="1">
      <alignment horizontal="left" vertical="center"/>
    </xf>
    <xf numFmtId="168" fontId="13" fillId="15" borderId="242" xfId="0" applyNumberFormat="1" applyFont="1" applyFill="1" applyBorder="1" applyAlignment="1" applyProtection="1">
      <alignment horizontal="center" vertical="center" wrapText="1"/>
    </xf>
    <xf numFmtId="170" fontId="0" fillId="12" borderId="202" xfId="13" applyNumberFormat="1" applyFont="1" applyFill="1" applyBorder="1" applyAlignment="1" applyProtection="1">
      <alignment horizontal="center" vertical="center"/>
      <protection locked="0"/>
    </xf>
    <xf numFmtId="178" fontId="0" fillId="45" borderId="204" xfId="13" applyNumberFormat="1" applyFont="1" applyFill="1" applyBorder="1" applyAlignment="1">
      <alignment vertical="center"/>
    </xf>
    <xf numFmtId="178" fontId="0" fillId="45" borderId="206" xfId="13" applyNumberFormat="1" applyFont="1" applyFill="1" applyBorder="1" applyAlignment="1">
      <alignment vertical="center"/>
    </xf>
    <xf numFmtId="178" fontId="0" fillId="45" borderId="133" xfId="13" applyNumberFormat="1" applyFont="1" applyFill="1" applyBorder="1" applyAlignment="1">
      <alignment vertical="center"/>
    </xf>
    <xf numFmtId="178" fontId="0" fillId="45" borderId="142" xfId="13" applyNumberFormat="1" applyFont="1" applyFill="1" applyBorder="1" applyAlignment="1">
      <alignment vertical="center"/>
    </xf>
    <xf numFmtId="178" fontId="0" fillId="45" borderId="105" xfId="13" applyNumberFormat="1" applyFont="1" applyFill="1" applyBorder="1" applyAlignment="1">
      <alignment vertical="center"/>
    </xf>
    <xf numFmtId="178" fontId="0" fillId="45" borderId="104" xfId="13" applyNumberFormat="1" applyFont="1" applyFill="1" applyBorder="1" applyAlignment="1">
      <alignment vertical="center"/>
    </xf>
    <xf numFmtId="168" fontId="13" fillId="15" borderId="236" xfId="0" applyNumberFormat="1" applyFont="1" applyFill="1" applyBorder="1" applyAlignment="1" applyProtection="1">
      <alignment horizontal="center" vertical="center" wrapText="1"/>
    </xf>
    <xf numFmtId="170" fontId="0" fillId="45" borderId="50" xfId="13" applyNumberFormat="1" applyFont="1" applyFill="1" applyBorder="1" applyAlignment="1" applyProtection="1">
      <alignment horizontal="center" vertical="center"/>
    </xf>
    <xf numFmtId="170" fontId="0" fillId="45" borderId="231" xfId="13" applyNumberFormat="1" applyFont="1" applyFill="1" applyBorder="1" applyAlignment="1" applyProtection="1">
      <alignment horizontal="center" vertical="center"/>
    </xf>
    <xf numFmtId="170" fontId="0" fillId="45" borderId="232" xfId="13" applyNumberFormat="1" applyFont="1" applyFill="1" applyBorder="1" applyAlignment="1" applyProtection="1">
      <alignment horizontal="center" vertical="center"/>
    </xf>
    <xf numFmtId="179" fontId="0" fillId="57" borderId="145" xfId="13" applyNumberFormat="1" applyFont="1" applyFill="1" applyBorder="1" applyAlignment="1" applyProtection="1">
      <alignment horizontal="center" vertical="center"/>
    </xf>
    <xf numFmtId="179" fontId="0" fillId="57" borderId="7" xfId="13" applyNumberFormat="1" applyFont="1" applyFill="1" applyBorder="1" applyAlignment="1" applyProtection="1">
      <alignment horizontal="center" vertical="center"/>
    </xf>
    <xf numFmtId="168" fontId="13" fillId="34" borderId="54" xfId="0" applyNumberFormat="1" applyFont="1" applyFill="1" applyBorder="1" applyAlignment="1" applyProtection="1">
      <alignment horizontal="center" vertical="center" wrapText="1"/>
    </xf>
    <xf numFmtId="179" fontId="0" fillId="12" borderId="50" xfId="13" applyNumberFormat="1" applyFont="1" applyFill="1" applyBorder="1" applyAlignment="1" applyProtection="1">
      <alignment horizontal="center" vertical="center"/>
      <protection locked="0"/>
    </xf>
    <xf numFmtId="179" fontId="0" fillId="12" borderId="144" xfId="13" applyNumberFormat="1" applyFont="1" applyFill="1" applyBorder="1" applyAlignment="1" applyProtection="1">
      <alignment horizontal="center" vertical="center"/>
      <protection locked="0"/>
    </xf>
    <xf numFmtId="179" fontId="0" fillId="12" borderId="232" xfId="13" applyNumberFormat="1" applyFont="1" applyFill="1" applyBorder="1" applyAlignment="1" applyProtection="1">
      <alignment horizontal="center" vertical="center"/>
      <protection locked="0"/>
    </xf>
    <xf numFmtId="179" fontId="0" fillId="57" borderId="144" xfId="13" applyNumberFormat="1" applyFont="1" applyFill="1" applyBorder="1" applyAlignment="1" applyProtection="1">
      <alignment horizontal="center" vertical="center"/>
    </xf>
    <xf numFmtId="179" fontId="0" fillId="29" borderId="247" xfId="0" applyNumberFormat="1" applyFont="1" applyFill="1" applyBorder="1" applyProtection="1"/>
    <xf numFmtId="0" fontId="13" fillId="16" borderId="207" xfId="0" applyFont="1" applyFill="1" applyBorder="1" applyAlignment="1" applyProtection="1">
      <alignment horizontal="center" vertical="center" wrapText="1"/>
    </xf>
    <xf numFmtId="179" fontId="13" fillId="29" borderId="128" xfId="0" applyNumberFormat="1" applyFont="1" applyFill="1" applyBorder="1" applyAlignment="1" applyProtection="1">
      <alignment vertical="center"/>
    </xf>
    <xf numFmtId="179" fontId="13" fillId="29" borderId="109" xfId="0" applyNumberFormat="1" applyFont="1" applyFill="1" applyBorder="1" applyAlignment="1" applyProtection="1">
      <alignment vertical="center"/>
    </xf>
    <xf numFmtId="179" fontId="13" fillId="29" borderId="130" xfId="0" applyNumberFormat="1" applyFont="1" applyFill="1" applyBorder="1" applyAlignment="1" applyProtection="1">
      <alignment vertical="center"/>
    </xf>
    <xf numFmtId="179" fontId="13" fillId="29" borderId="128" xfId="0" applyNumberFormat="1" applyFont="1" applyFill="1" applyBorder="1" applyAlignment="1">
      <alignment vertical="center"/>
    </xf>
    <xf numFmtId="179" fontId="13" fillId="57" borderId="109" xfId="0" applyNumberFormat="1" applyFont="1" applyFill="1" applyBorder="1" applyAlignment="1" applyProtection="1">
      <alignment vertical="center"/>
    </xf>
    <xf numFmtId="179" fontId="13" fillId="29" borderId="130" xfId="0" applyNumberFormat="1" applyFont="1" applyFill="1" applyBorder="1" applyAlignment="1">
      <alignment vertical="center"/>
    </xf>
    <xf numFmtId="168" fontId="0" fillId="29" borderId="231" xfId="13" applyNumberFormat="1" applyFont="1" applyFill="1" applyBorder="1" applyAlignment="1" applyProtection="1">
      <alignment vertical="center"/>
    </xf>
    <xf numFmtId="168" fontId="0" fillId="29" borderId="232" xfId="13" applyNumberFormat="1" applyFont="1" applyFill="1" applyBorder="1" applyAlignment="1" applyProtection="1">
      <alignment vertical="center"/>
    </xf>
    <xf numFmtId="168" fontId="0" fillId="71" borderId="231" xfId="13" applyNumberFormat="1" applyFont="1" applyFill="1" applyBorder="1" applyAlignment="1" applyProtection="1">
      <alignment vertical="center"/>
    </xf>
    <xf numFmtId="167" fontId="0" fillId="0" borderId="249" xfId="13" applyNumberFormat="1" applyFont="1" applyFill="1" applyBorder="1" applyAlignment="1" applyProtection="1">
      <alignment vertical="center"/>
    </xf>
    <xf numFmtId="168" fontId="0" fillId="29" borderId="80" xfId="13" applyNumberFormat="1" applyFont="1" applyFill="1" applyBorder="1" applyAlignment="1" applyProtection="1">
      <alignment vertical="center"/>
    </xf>
    <xf numFmtId="168" fontId="0" fillId="29" borderId="200" xfId="13" applyNumberFormat="1" applyFont="1" applyFill="1" applyBorder="1" applyAlignment="1" applyProtection="1">
      <alignment vertical="center"/>
    </xf>
    <xf numFmtId="168" fontId="0" fillId="29" borderId="250" xfId="13" applyNumberFormat="1" applyFont="1" applyFill="1" applyBorder="1" applyAlignment="1" applyProtection="1">
      <alignment vertical="center"/>
    </xf>
    <xf numFmtId="168" fontId="0" fillId="29" borderId="204" xfId="13" applyNumberFormat="1" applyFont="1" applyFill="1" applyBorder="1" applyAlignment="1" applyProtection="1">
      <alignment vertical="center"/>
    </xf>
    <xf numFmtId="168" fontId="0" fillId="29" borderId="205" xfId="13" applyNumberFormat="1" applyFont="1" applyFill="1" applyBorder="1" applyAlignment="1" applyProtection="1">
      <alignment vertical="center"/>
    </xf>
    <xf numFmtId="167" fontId="0" fillId="0" borderId="244" xfId="13" applyNumberFormat="1" applyFont="1" applyFill="1" applyBorder="1" applyAlignment="1" applyProtection="1">
      <alignment vertical="center"/>
    </xf>
    <xf numFmtId="168" fontId="0" fillId="29" borderId="222" xfId="13" applyNumberFormat="1" applyFont="1" applyFill="1" applyBorder="1" applyAlignment="1" applyProtection="1">
      <alignment vertical="center"/>
    </xf>
    <xf numFmtId="168" fontId="0" fillId="29" borderId="217" xfId="13" applyNumberFormat="1" applyFont="1" applyFill="1" applyBorder="1" applyAlignment="1" applyProtection="1">
      <alignment vertical="center"/>
    </xf>
    <xf numFmtId="168" fontId="0" fillId="29" borderId="221" xfId="13" applyNumberFormat="1" applyFont="1" applyFill="1" applyBorder="1" applyAlignment="1" applyProtection="1">
      <alignment vertical="center"/>
    </xf>
    <xf numFmtId="168" fontId="0" fillId="0" borderId="219" xfId="13" applyNumberFormat="1" applyFont="1" applyFill="1" applyBorder="1" applyAlignment="1" applyProtection="1">
      <alignment vertical="center"/>
    </xf>
    <xf numFmtId="168" fontId="0" fillId="0" borderId="104" xfId="13" applyNumberFormat="1" applyFont="1" applyFill="1" applyBorder="1" applyAlignment="1" applyProtection="1">
      <alignment vertical="center"/>
    </xf>
    <xf numFmtId="168" fontId="0" fillId="43" borderId="80" xfId="13" applyNumberFormat="1" applyFont="1" applyFill="1" applyBorder="1" applyAlignment="1" applyProtection="1">
      <alignment vertical="center"/>
    </xf>
    <xf numFmtId="168" fontId="0" fillId="43" borderId="200" xfId="13" applyNumberFormat="1" applyFont="1" applyFill="1" applyBorder="1" applyAlignment="1" applyProtection="1">
      <alignment vertical="center"/>
    </xf>
    <xf numFmtId="168" fontId="0" fillId="43" borderId="134" xfId="13" applyNumberFormat="1" applyFont="1" applyFill="1" applyBorder="1" applyAlignment="1" applyProtection="1">
      <alignment vertical="center"/>
    </xf>
    <xf numFmtId="168" fontId="0" fillId="68" borderId="222" xfId="13" applyNumberFormat="1" applyFont="1" applyFill="1" applyBorder="1" applyAlignment="1" applyProtection="1">
      <alignment vertical="center"/>
    </xf>
    <xf numFmtId="168" fontId="0" fillId="68" borderId="217" xfId="13" applyNumberFormat="1" applyFont="1" applyFill="1" applyBorder="1" applyAlignment="1" applyProtection="1">
      <alignment vertical="center"/>
    </xf>
    <xf numFmtId="168" fontId="0" fillId="68" borderId="219" xfId="13" applyNumberFormat="1" applyFont="1" applyFill="1" applyBorder="1" applyAlignment="1" applyProtection="1">
      <alignment vertical="center"/>
    </xf>
    <xf numFmtId="168" fontId="0" fillId="43" borderId="105" xfId="13" applyNumberFormat="1" applyFont="1" applyFill="1" applyBorder="1" applyAlignment="1" applyProtection="1">
      <alignment vertical="center"/>
    </xf>
    <xf numFmtId="168" fontId="0" fillId="43" borderId="221" xfId="13" applyNumberFormat="1" applyFont="1" applyFill="1" applyBorder="1" applyAlignment="1" applyProtection="1">
      <alignment vertical="center"/>
    </xf>
    <xf numFmtId="168" fontId="0" fillId="43" borderId="104" xfId="13" applyNumberFormat="1" applyFont="1" applyFill="1" applyBorder="1" applyAlignment="1" applyProtection="1">
      <alignment vertical="center"/>
    </xf>
    <xf numFmtId="168" fontId="0" fillId="43" borderId="204" xfId="13" applyNumberFormat="1" applyFont="1" applyFill="1" applyBorder="1" applyAlignment="1" applyProtection="1">
      <alignment vertical="center"/>
    </xf>
    <xf numFmtId="168" fontId="0" fillId="43" borderId="205" xfId="13" applyNumberFormat="1" applyFont="1" applyFill="1" applyBorder="1" applyAlignment="1" applyProtection="1">
      <alignment vertical="center"/>
    </xf>
    <xf numFmtId="168" fontId="0" fillId="43" borderId="206" xfId="13" applyNumberFormat="1" applyFont="1" applyFill="1" applyBorder="1" applyAlignment="1" applyProtection="1">
      <alignment vertical="center"/>
    </xf>
    <xf numFmtId="168" fontId="0" fillId="43" borderId="222" xfId="13" applyNumberFormat="1" applyFont="1" applyFill="1" applyBorder="1" applyAlignment="1" applyProtection="1">
      <alignment vertical="center"/>
    </xf>
    <xf numFmtId="168" fontId="0" fillId="43" borderId="217" xfId="13" applyNumberFormat="1" applyFont="1" applyFill="1" applyBorder="1" applyAlignment="1" applyProtection="1">
      <alignment vertical="center"/>
    </xf>
    <xf numFmtId="168" fontId="0" fillId="43" borderId="219" xfId="13" applyNumberFormat="1" applyFont="1" applyFill="1" applyBorder="1" applyAlignment="1" applyProtection="1">
      <alignment vertical="center"/>
    </xf>
    <xf numFmtId="178" fontId="0" fillId="12" borderId="252" xfId="13" applyNumberFormat="1" applyFont="1" applyFill="1" applyBorder="1" applyAlignment="1" applyProtection="1">
      <alignment vertical="center"/>
      <protection locked="0"/>
    </xf>
    <xf numFmtId="177" fontId="0" fillId="29" borderId="253" xfId="0" applyNumberFormat="1" applyFont="1" applyFill="1" applyBorder="1" applyAlignment="1" applyProtection="1">
      <alignment vertical="center"/>
    </xf>
    <xf numFmtId="177" fontId="0" fillId="29" borderId="254" xfId="0" applyNumberFormat="1" applyFont="1" applyFill="1" applyBorder="1" applyAlignment="1" applyProtection="1">
      <alignment vertical="center"/>
    </xf>
    <xf numFmtId="177" fontId="0" fillId="29" borderId="130" xfId="0" applyNumberFormat="1" applyFont="1" applyFill="1" applyBorder="1" applyAlignment="1" applyProtection="1">
      <alignment vertical="center"/>
    </xf>
    <xf numFmtId="177" fontId="0" fillId="57" borderId="128" xfId="0" applyNumberFormat="1" applyFont="1" applyFill="1" applyBorder="1" applyAlignment="1" applyProtection="1">
      <alignment vertical="center"/>
    </xf>
    <xf numFmtId="177" fontId="0" fillId="57" borderId="253" xfId="0" applyNumberFormat="1" applyFont="1" applyFill="1" applyBorder="1" applyAlignment="1" applyProtection="1">
      <alignment vertical="center"/>
    </xf>
    <xf numFmtId="177" fontId="0" fillId="57" borderId="130" xfId="0" applyNumberFormat="1" applyFont="1" applyFill="1" applyBorder="1" applyAlignment="1" applyProtection="1">
      <alignment vertical="center"/>
    </xf>
    <xf numFmtId="0" fontId="0" fillId="57" borderId="204" xfId="0" applyFont="1" applyFill="1" applyBorder="1" applyAlignment="1" applyProtection="1">
      <alignment horizontal="left" vertical="center"/>
    </xf>
    <xf numFmtId="0" fontId="0" fillId="57" borderId="205" xfId="0" applyFont="1" applyFill="1" applyBorder="1" applyAlignment="1" applyProtection="1">
      <alignment horizontal="left" vertical="center"/>
    </xf>
    <xf numFmtId="0" fontId="0" fillId="57" borderId="206" xfId="0" applyFont="1" applyFill="1" applyBorder="1" applyAlignment="1" applyProtection="1">
      <alignment horizontal="left" vertical="center"/>
    </xf>
    <xf numFmtId="178" fontId="0" fillId="57" borderId="251" xfId="13" applyNumberFormat="1" applyFont="1" applyFill="1" applyBorder="1" applyAlignment="1" applyProtection="1">
      <alignment vertical="center"/>
    </xf>
    <xf numFmtId="178" fontId="0" fillId="57" borderId="205" xfId="13" applyNumberFormat="1" applyFont="1" applyFill="1" applyBorder="1" applyAlignment="1" applyProtection="1">
      <alignment vertical="center"/>
    </xf>
    <xf numFmtId="0" fontId="0" fillId="57" borderId="222" xfId="0" applyFont="1" applyFill="1" applyBorder="1" applyAlignment="1" applyProtection="1">
      <alignment horizontal="left" vertical="center"/>
    </xf>
    <xf numFmtId="0" fontId="0" fillId="57" borderId="217" xfId="0" applyFont="1" applyFill="1" applyBorder="1" applyAlignment="1" applyProtection="1">
      <alignment horizontal="left" vertical="center"/>
    </xf>
    <xf numFmtId="0" fontId="0" fillId="57" borderId="219" xfId="0" applyFont="1" applyFill="1" applyBorder="1" applyAlignment="1" applyProtection="1">
      <alignment horizontal="left" vertical="center"/>
    </xf>
    <xf numFmtId="178" fontId="0" fillId="57" borderId="213" xfId="13" applyNumberFormat="1" applyFont="1" applyFill="1" applyBorder="1" applyAlignment="1" applyProtection="1">
      <alignment vertical="center"/>
    </xf>
    <xf numFmtId="178" fontId="0" fillId="57" borderId="194" xfId="13" applyNumberFormat="1" applyFont="1" applyFill="1" applyBorder="1" applyAlignment="1" applyProtection="1">
      <alignment vertical="center"/>
    </xf>
    <xf numFmtId="0" fontId="0" fillId="57" borderId="105" xfId="0" applyFont="1" applyFill="1" applyBorder="1" applyAlignment="1" applyProtection="1">
      <alignment horizontal="left" vertical="center"/>
    </xf>
    <xf numFmtId="0" fontId="0" fillId="57" borderId="221" xfId="0" applyFont="1" applyFill="1" applyBorder="1" applyAlignment="1" applyProtection="1">
      <alignment horizontal="left" vertical="center"/>
    </xf>
    <xf numFmtId="0" fontId="0" fillId="57" borderId="104" xfId="0" applyFont="1" applyFill="1" applyBorder="1" applyAlignment="1" applyProtection="1">
      <alignment horizontal="left" vertical="center"/>
    </xf>
    <xf numFmtId="178" fontId="0" fillId="57" borderId="252" xfId="13" applyNumberFormat="1" applyFont="1" applyFill="1" applyBorder="1" applyAlignment="1" applyProtection="1">
      <alignment vertical="center"/>
    </xf>
    <xf numFmtId="178" fontId="0" fillId="57" borderId="103" xfId="13" applyNumberFormat="1" applyFont="1" applyFill="1" applyBorder="1" applyAlignment="1" applyProtection="1">
      <alignment vertical="center"/>
    </xf>
    <xf numFmtId="168" fontId="14" fillId="57" borderId="222" xfId="13" applyNumberFormat="1" applyFont="1" applyFill="1" applyBorder="1" applyAlignment="1" applyProtection="1">
      <alignment vertical="center"/>
    </xf>
    <xf numFmtId="167" fontId="0" fillId="0" borderId="137" xfId="13" applyNumberFormat="1" applyFont="1" applyFill="1" applyBorder="1" applyAlignment="1" applyProtection="1">
      <alignment vertical="center"/>
    </xf>
    <xf numFmtId="167" fontId="0" fillId="0" borderId="255" xfId="13" applyNumberFormat="1" applyFont="1" applyFill="1" applyBorder="1" applyAlignment="1" applyProtection="1">
      <alignment vertical="center"/>
    </xf>
    <xf numFmtId="167" fontId="0" fillId="0" borderId="256" xfId="13" applyNumberFormat="1" applyFont="1" applyFill="1" applyBorder="1" applyAlignment="1" applyProtection="1">
      <alignment vertical="center"/>
    </xf>
    <xf numFmtId="180" fontId="14" fillId="36" borderId="202" xfId="16" applyNumberFormat="1" applyFill="1" applyBorder="1" applyAlignment="1" applyProtection="1">
      <alignment horizontal="center" vertical="center"/>
    </xf>
    <xf numFmtId="180" fontId="14" fillId="36" borderId="243" xfId="16" applyNumberFormat="1" applyFill="1" applyBorder="1" applyAlignment="1" applyProtection="1">
      <alignment horizontal="center" vertical="center"/>
    </xf>
    <xf numFmtId="180" fontId="14" fillId="36" borderId="223" xfId="16" applyNumberFormat="1" applyFill="1" applyBorder="1" applyAlignment="1" applyProtection="1">
      <alignment horizontal="center" vertical="center"/>
    </xf>
    <xf numFmtId="168" fontId="0" fillId="29" borderId="229" xfId="13" applyNumberFormat="1" applyFont="1" applyFill="1" applyBorder="1" applyAlignment="1" applyProtection="1">
      <alignment vertical="center"/>
    </xf>
    <xf numFmtId="168" fontId="0" fillId="29" borderId="240" xfId="13" applyNumberFormat="1" applyFont="1" applyFill="1" applyBorder="1" applyAlignment="1" applyProtection="1">
      <alignment vertical="center"/>
    </xf>
    <xf numFmtId="168" fontId="0" fillId="29" borderId="230" xfId="13" applyNumberFormat="1" applyFont="1" applyFill="1" applyBorder="1" applyAlignment="1" applyProtection="1">
      <alignment vertical="center"/>
    </xf>
    <xf numFmtId="168" fontId="14" fillId="57" borderId="217" xfId="13" applyNumberFormat="1" applyFont="1" applyFill="1" applyBorder="1" applyAlignment="1" applyProtection="1">
      <alignment vertical="center"/>
    </xf>
    <xf numFmtId="168" fontId="0" fillId="29" borderId="206" xfId="13" applyNumberFormat="1" applyFont="1" applyFill="1" applyBorder="1" applyAlignment="1" applyProtection="1">
      <alignment vertical="center"/>
    </xf>
    <xf numFmtId="168" fontId="14" fillId="57" borderId="219" xfId="13" applyNumberFormat="1" applyFont="1" applyFill="1" applyBorder="1" applyAlignment="1" applyProtection="1">
      <alignment vertical="center"/>
    </xf>
    <xf numFmtId="168" fontId="13" fillId="39" borderId="240" xfId="13" applyNumberFormat="1" applyFont="1" applyFill="1" applyBorder="1" applyAlignment="1" applyProtection="1">
      <alignment vertical="center"/>
    </xf>
    <xf numFmtId="168" fontId="13" fillId="39" borderId="257" xfId="13" applyNumberFormat="1" applyFont="1" applyFill="1" applyBorder="1" applyAlignment="1" applyProtection="1">
      <alignment vertical="center"/>
    </xf>
    <xf numFmtId="168" fontId="14" fillId="1" borderId="80" xfId="13" applyNumberFormat="1" applyFont="1" applyFill="1" applyBorder="1" applyAlignment="1" applyProtection="1">
      <alignment vertical="center"/>
    </xf>
    <xf numFmtId="168" fontId="14" fillId="0" borderId="200" xfId="13" applyNumberFormat="1" applyFont="1" applyFill="1" applyBorder="1" applyAlignment="1" applyProtection="1">
      <alignment vertical="center"/>
    </xf>
    <xf numFmtId="168" fontId="14" fillId="0" borderId="250" xfId="13" applyNumberFormat="1" applyFont="1" applyFill="1" applyBorder="1" applyAlignment="1" applyProtection="1">
      <alignment vertical="center"/>
    </xf>
    <xf numFmtId="168" fontId="14" fillId="0" borderId="134" xfId="13" applyNumberFormat="1" applyFont="1" applyFill="1" applyBorder="1" applyAlignment="1" applyProtection="1">
      <alignment vertical="center"/>
    </xf>
    <xf numFmtId="168" fontId="22" fillId="31" borderId="48" xfId="13" applyNumberFormat="1" applyFont="1" applyFill="1" applyBorder="1" applyAlignment="1" applyProtection="1">
      <alignment vertical="center" wrapText="1"/>
    </xf>
    <xf numFmtId="168" fontId="22" fillId="31" borderId="259" xfId="13" applyNumberFormat="1" applyFont="1" applyFill="1" applyBorder="1" applyAlignment="1" applyProtection="1">
      <alignment vertical="center" wrapText="1"/>
    </xf>
    <xf numFmtId="168" fontId="22" fillId="31" borderId="49" xfId="13" applyNumberFormat="1" applyFont="1" applyFill="1" applyBorder="1" applyAlignment="1" applyProtection="1">
      <alignment vertical="center" wrapText="1"/>
    </xf>
    <xf numFmtId="168" fontId="14" fillId="0" borderId="261" xfId="13" applyNumberFormat="1" applyFont="1" applyFill="1" applyBorder="1" applyAlignment="1" applyProtection="1">
      <alignment vertical="center"/>
    </xf>
    <xf numFmtId="168" fontId="22" fillId="31" borderId="262" xfId="13" applyNumberFormat="1" applyFont="1" applyFill="1" applyBorder="1" applyAlignment="1" applyProtection="1">
      <alignment vertical="center" wrapText="1"/>
    </xf>
    <xf numFmtId="168" fontId="22" fillId="31" borderId="263" xfId="13" applyNumberFormat="1" applyFont="1" applyFill="1" applyBorder="1" applyAlignment="1" applyProtection="1">
      <alignment vertical="center" wrapText="1"/>
    </xf>
    <xf numFmtId="168" fontId="13" fillId="34" borderId="237" xfId="0" applyNumberFormat="1" applyFont="1" applyFill="1" applyBorder="1" applyAlignment="1" applyProtection="1">
      <alignment horizontal="center" vertical="center" wrapText="1"/>
    </xf>
    <xf numFmtId="168" fontId="14" fillId="0" borderId="202" xfId="13" applyNumberFormat="1" applyFont="1" applyFill="1" applyBorder="1" applyAlignment="1" applyProtection="1">
      <alignment vertical="center"/>
    </xf>
    <xf numFmtId="173" fontId="0" fillId="0" borderId="243" xfId="12" applyNumberFormat="1" applyFont="1" applyFill="1" applyBorder="1" applyAlignment="1" applyProtection="1">
      <alignment vertical="center"/>
    </xf>
    <xf numFmtId="168" fontId="13" fillId="39" borderId="266" xfId="13" applyNumberFormat="1" applyFont="1" applyFill="1" applyBorder="1" applyAlignment="1" applyProtection="1">
      <alignment vertical="center"/>
    </xf>
    <xf numFmtId="168" fontId="13" fillId="39" borderId="223" xfId="13" applyNumberFormat="1" applyFont="1" applyFill="1" applyBorder="1" applyAlignment="1" applyProtection="1">
      <alignment vertical="center"/>
    </xf>
    <xf numFmtId="168" fontId="0" fillId="0" borderId="258" xfId="13" applyNumberFormat="1" applyFont="1" applyFill="1" applyBorder="1" applyAlignment="1" applyProtection="1">
      <alignment vertical="center"/>
    </xf>
    <xf numFmtId="168" fontId="14" fillId="0" borderId="258" xfId="13" applyNumberFormat="1" applyFont="1" applyFill="1" applyBorder="1" applyAlignment="1" applyProtection="1">
      <alignment vertical="center"/>
    </xf>
    <xf numFmtId="168" fontId="14" fillId="1" borderId="202" xfId="13" applyNumberFormat="1" applyFont="1" applyFill="1" applyBorder="1" applyAlignment="1" applyProtection="1">
      <alignment vertical="center"/>
    </xf>
    <xf numFmtId="173" fontId="0" fillId="1" borderId="243" xfId="12" applyNumberFormat="1" applyFont="1" applyFill="1" applyBorder="1" applyAlignment="1" applyProtection="1">
      <alignment vertical="center"/>
    </xf>
    <xf numFmtId="168" fontId="0" fillId="0" borderId="202" xfId="13" applyNumberFormat="1" applyFont="1" applyFill="1" applyBorder="1" applyAlignment="1" applyProtection="1">
      <alignment vertical="center"/>
    </xf>
    <xf numFmtId="168" fontId="14" fillId="1" borderId="219" xfId="13" applyNumberFormat="1" applyFont="1" applyFill="1" applyBorder="1" applyAlignment="1" applyProtection="1">
      <alignment vertical="center"/>
    </xf>
    <xf numFmtId="168" fontId="0" fillId="0" borderId="250" xfId="13" applyNumberFormat="1" applyFont="1" applyFill="1" applyBorder="1" applyAlignment="1" applyProtection="1">
      <alignment vertical="center"/>
    </xf>
    <xf numFmtId="168" fontId="14" fillId="1" borderId="261" xfId="13" applyNumberFormat="1" applyFont="1" applyFill="1" applyBorder="1" applyAlignment="1" applyProtection="1">
      <alignment vertical="center"/>
    </xf>
    <xf numFmtId="168" fontId="0" fillId="0" borderId="261" xfId="13" applyNumberFormat="1" applyFont="1" applyFill="1" applyBorder="1" applyAlignment="1" applyProtection="1">
      <alignment vertical="center"/>
    </xf>
    <xf numFmtId="168" fontId="0" fillId="10" borderId="204" xfId="13" applyNumberFormat="1" applyFont="1" applyFill="1" applyBorder="1" applyAlignment="1" applyProtection="1">
      <alignment horizontal="right" vertical="center"/>
    </xf>
    <xf numFmtId="168" fontId="0" fillId="10" borderId="222" xfId="13" applyNumberFormat="1" applyFont="1" applyFill="1" applyBorder="1" applyAlignment="1" applyProtection="1">
      <alignment horizontal="right" vertical="center"/>
    </xf>
    <xf numFmtId="168" fontId="13" fillId="39" borderId="105" xfId="13" applyNumberFormat="1" applyFont="1" applyFill="1" applyBorder="1" applyAlignment="1" applyProtection="1">
      <alignment horizontal="right" vertical="center"/>
    </xf>
    <xf numFmtId="168" fontId="13" fillId="39" borderId="229" xfId="13" applyNumberFormat="1" applyFont="1" applyFill="1" applyBorder="1" applyAlignment="1" applyProtection="1">
      <alignment horizontal="right" vertical="center"/>
    </xf>
    <xf numFmtId="168" fontId="0" fillId="10" borderId="80" xfId="13" applyNumberFormat="1" applyFont="1" applyFill="1" applyBorder="1" applyAlignment="1" applyProtection="1">
      <alignment horizontal="right" vertical="center"/>
    </xf>
    <xf numFmtId="168" fontId="22" fillId="31" borderId="81" xfId="13" applyNumberFormat="1" applyFont="1" applyFill="1" applyBorder="1" applyAlignment="1" applyProtection="1">
      <alignment vertical="center" wrapText="1"/>
    </xf>
    <xf numFmtId="168" fontId="22" fillId="31" borderId="235" xfId="13" applyNumberFormat="1" applyFont="1" applyFill="1" applyBorder="1" applyAlignment="1" applyProtection="1">
      <alignment vertical="center" wrapText="1"/>
    </xf>
    <xf numFmtId="168" fontId="22" fillId="31" borderId="121" xfId="13" applyNumberFormat="1" applyFont="1" applyFill="1" applyBorder="1" applyAlignment="1" applyProtection="1">
      <alignment vertical="center" wrapText="1"/>
    </xf>
    <xf numFmtId="168" fontId="22" fillId="31" borderId="234" xfId="13" applyNumberFormat="1" applyFont="1" applyFill="1" applyBorder="1" applyAlignment="1" applyProtection="1">
      <alignment vertical="center" wrapText="1"/>
    </xf>
    <xf numFmtId="168" fontId="22" fillId="31" borderId="83" xfId="13" applyNumberFormat="1" applyFont="1" applyFill="1" applyBorder="1" applyAlignment="1" applyProtection="1">
      <alignment vertical="center" wrapText="1"/>
    </xf>
    <xf numFmtId="168" fontId="0" fillId="10" borderId="261" xfId="13" applyNumberFormat="1" applyFont="1" applyFill="1" applyBorder="1" applyAlignment="1" applyProtection="1">
      <alignment horizontal="right" vertical="center"/>
    </xf>
    <xf numFmtId="168" fontId="0" fillId="10" borderId="231" xfId="13" applyNumberFormat="1" applyFont="1" applyFill="1" applyBorder="1" applyAlignment="1" applyProtection="1">
      <alignment horizontal="right" vertical="center"/>
    </xf>
    <xf numFmtId="168" fontId="13" fillId="39" borderId="232" xfId="13" applyNumberFormat="1" applyFont="1" applyFill="1" applyBorder="1" applyAlignment="1" applyProtection="1">
      <alignment horizontal="right" vertical="center"/>
    </xf>
    <xf numFmtId="168" fontId="13" fillId="39" borderId="257" xfId="13" applyNumberFormat="1" applyFont="1" applyFill="1" applyBorder="1" applyAlignment="1" applyProtection="1">
      <alignment horizontal="right" vertical="center"/>
    </xf>
    <xf numFmtId="168" fontId="0" fillId="10" borderId="250" xfId="13" applyNumberFormat="1" applyFont="1" applyFill="1" applyBorder="1" applyAlignment="1" applyProtection="1">
      <alignment horizontal="right" vertical="center"/>
    </xf>
    <xf numFmtId="168" fontId="13" fillId="39" borderId="119" xfId="13" applyNumberFormat="1" applyFont="1" applyFill="1" applyBorder="1" applyAlignment="1" applyProtection="1">
      <alignment horizontal="right" vertical="center"/>
    </xf>
    <xf numFmtId="168" fontId="13" fillId="39" borderId="269" xfId="13" applyNumberFormat="1" applyFont="1" applyFill="1" applyBorder="1" applyAlignment="1" applyProtection="1">
      <alignment horizontal="right" vertical="center"/>
    </xf>
    <xf numFmtId="168" fontId="22" fillId="31" borderId="247" xfId="13" applyNumberFormat="1" applyFont="1" applyFill="1" applyBorder="1" applyAlignment="1" applyProtection="1">
      <alignment vertical="center" wrapText="1"/>
    </xf>
    <xf numFmtId="168" fontId="22" fillId="31" borderId="53" xfId="13" applyNumberFormat="1" applyFont="1" applyFill="1" applyBorder="1" applyAlignment="1" applyProtection="1">
      <alignment vertical="center" wrapText="1"/>
    </xf>
    <xf numFmtId="168" fontId="14" fillId="43" borderId="128" xfId="13" applyNumberFormat="1" applyFont="1" applyFill="1" applyBorder="1" applyAlignment="1" applyProtection="1">
      <alignment vertical="center"/>
    </xf>
    <xf numFmtId="173" fontId="0" fillId="12" borderId="253" xfId="12" applyNumberFormat="1" applyFont="1" applyFill="1" applyBorder="1" applyAlignment="1" applyProtection="1">
      <alignment vertical="center"/>
      <protection locked="0"/>
    </xf>
    <xf numFmtId="168" fontId="13" fillId="39" borderId="130" xfId="13" applyNumberFormat="1" applyFont="1" applyFill="1" applyBorder="1" applyAlignment="1" applyProtection="1">
      <alignment vertical="center"/>
    </xf>
    <xf numFmtId="168" fontId="13" fillId="39" borderId="254" xfId="13" applyNumberFormat="1" applyFont="1" applyFill="1" applyBorder="1" applyAlignment="1" applyProtection="1">
      <alignment vertical="center"/>
    </xf>
    <xf numFmtId="168" fontId="0" fillId="10" borderId="233" xfId="13" applyNumberFormat="1" applyFont="1" applyFill="1" applyBorder="1" applyAlignment="1" applyProtection="1">
      <alignment horizontal="right" vertical="center"/>
    </xf>
    <xf numFmtId="168" fontId="0" fillId="10" borderId="253" xfId="13" applyNumberFormat="1" applyFont="1" applyFill="1" applyBorder="1" applyAlignment="1" applyProtection="1">
      <alignment horizontal="right" vertical="center"/>
    </xf>
    <xf numFmtId="168" fontId="13" fillId="77" borderId="130" xfId="13" applyNumberFormat="1" applyFont="1" applyFill="1" applyBorder="1" applyAlignment="1" applyProtection="1">
      <alignment vertical="center"/>
    </xf>
    <xf numFmtId="168" fontId="0" fillId="10" borderId="128" xfId="13" applyNumberFormat="1" applyFont="1" applyFill="1" applyBorder="1" applyAlignment="1" applyProtection="1">
      <alignment horizontal="right" vertical="center"/>
    </xf>
    <xf numFmtId="168" fontId="13" fillId="77" borderId="254" xfId="13" applyNumberFormat="1" applyFont="1" applyFill="1" applyBorder="1" applyAlignment="1" applyProtection="1">
      <alignment vertical="center"/>
    </xf>
    <xf numFmtId="168" fontId="22" fillId="31" borderId="45" xfId="13" applyNumberFormat="1" applyFont="1" applyFill="1" applyBorder="1" applyAlignment="1" applyProtection="1">
      <alignment vertical="center" wrapText="1"/>
    </xf>
    <xf numFmtId="178" fontId="30" fillId="45" borderId="105" xfId="13" applyNumberFormat="1" applyFont="1" applyFill="1" applyBorder="1" applyAlignment="1">
      <alignment vertical="center"/>
    </xf>
    <xf numFmtId="178" fontId="30" fillId="45" borderId="221" xfId="13" applyNumberFormat="1" applyFont="1" applyFill="1" applyBorder="1" applyAlignment="1">
      <alignment vertical="center"/>
    </xf>
    <xf numFmtId="178" fontId="30" fillId="45" borderId="104" xfId="13" applyNumberFormat="1" applyFont="1" applyFill="1" applyBorder="1" applyAlignment="1">
      <alignment vertical="center"/>
    </xf>
    <xf numFmtId="176" fontId="14" fillId="29" borderId="217" xfId="12" applyNumberFormat="1" applyFill="1" applyBorder="1" applyProtection="1"/>
    <xf numFmtId="0" fontId="10" fillId="46" borderId="232" xfId="0" applyFont="1" applyFill="1" applyBorder="1" applyAlignment="1" applyProtection="1">
      <alignment horizontal="center" vertical="center"/>
    </xf>
    <xf numFmtId="177" fontId="0" fillId="0" borderId="231" xfId="0" applyNumberFormat="1" applyFont="1" applyFill="1" applyBorder="1" applyAlignment="1" applyProtection="1">
      <alignment horizontal="right" vertical="center"/>
    </xf>
    <xf numFmtId="177" fontId="0" fillId="0" borderId="232" xfId="0" applyNumberFormat="1" applyFont="1" applyFill="1" applyBorder="1" applyAlignment="1" applyProtection="1">
      <alignment horizontal="right" vertical="center"/>
    </xf>
    <xf numFmtId="177" fontId="0" fillId="0" borderId="257" xfId="0" applyNumberFormat="1" applyFont="1" applyFill="1" applyBorder="1" applyAlignment="1" applyProtection="1">
      <alignment horizontal="right" vertical="center"/>
    </xf>
    <xf numFmtId="9" fontId="0" fillId="26" borderId="253" xfId="0" applyNumberFormat="1" applyFont="1" applyFill="1" applyBorder="1" applyAlignment="1" applyProtection="1">
      <alignment horizontal="center" vertical="center"/>
    </xf>
    <xf numFmtId="9" fontId="0" fillId="26" borderId="130" xfId="0" applyNumberFormat="1" applyFont="1" applyFill="1" applyBorder="1" applyAlignment="1" applyProtection="1">
      <alignment horizontal="center" vertical="center"/>
    </xf>
    <xf numFmtId="9" fontId="0" fillId="26" borderId="128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Protection="1"/>
    <xf numFmtId="0" fontId="29" fillId="12" borderId="217" xfId="0" applyFont="1" applyFill="1" applyBorder="1" applyAlignment="1" applyProtection="1">
      <alignment horizontal="left" vertical="center"/>
      <protection locked="0"/>
    </xf>
    <xf numFmtId="0" fontId="29" fillId="12" borderId="219" xfId="0" applyFont="1" applyFill="1" applyBorder="1" applyAlignment="1" applyProtection="1">
      <alignment horizontal="left" vertical="center"/>
      <protection locked="0"/>
    </xf>
    <xf numFmtId="177" fontId="29" fillId="29" borderId="253" xfId="0" applyNumberFormat="1" applyFont="1" applyFill="1" applyBorder="1" applyAlignment="1" applyProtection="1">
      <alignment vertical="center"/>
    </xf>
    <xf numFmtId="0" fontId="29" fillId="0" borderId="0" xfId="0" applyFont="1" applyBorder="1" applyProtection="1"/>
    <xf numFmtId="179" fontId="29" fillId="12" borderId="172" xfId="13" applyNumberFormat="1" applyFont="1" applyFill="1" applyBorder="1" applyAlignment="1" applyProtection="1">
      <alignment horizontal="center" vertical="center"/>
      <protection locked="0"/>
    </xf>
    <xf numFmtId="179" fontId="29" fillId="12" borderId="50" xfId="13" applyNumberFormat="1" applyFont="1" applyFill="1" applyBorder="1" applyAlignment="1" applyProtection="1">
      <alignment horizontal="center" vertical="center"/>
      <protection locked="0"/>
    </xf>
    <xf numFmtId="0" fontId="0" fillId="12" borderId="229" xfId="0" applyFont="1" applyFill="1" applyBorder="1" applyAlignment="1" applyProtection="1">
      <alignment horizontal="left" vertical="center"/>
      <protection locked="0"/>
    </xf>
    <xf numFmtId="0" fontId="0" fillId="12" borderId="240" xfId="0" applyFont="1" applyFill="1" applyBorder="1" applyAlignment="1" applyProtection="1">
      <alignment horizontal="left" vertical="center"/>
      <protection locked="0"/>
    </xf>
    <xf numFmtId="0" fontId="0" fillId="12" borderId="230" xfId="0" applyFont="1" applyFill="1" applyBorder="1" applyAlignment="1" applyProtection="1">
      <alignment horizontal="left" vertical="center"/>
      <protection locked="0"/>
    </xf>
    <xf numFmtId="178" fontId="0" fillId="12" borderId="240" xfId="13" applyNumberFormat="1" applyFont="1" applyFill="1" applyBorder="1" applyAlignment="1" applyProtection="1">
      <alignment vertical="center"/>
      <protection locked="0"/>
    </xf>
    <xf numFmtId="178" fontId="0" fillId="0" borderId="0" xfId="13" applyNumberFormat="1" applyFont="1" applyFill="1" applyBorder="1" applyAlignment="1" applyProtection="1">
      <alignment vertical="center"/>
      <protection locked="0"/>
    </xf>
    <xf numFmtId="0" fontId="0" fillId="0" borderId="217" xfId="0" applyBorder="1" applyProtection="1">
      <protection locked="0"/>
    </xf>
    <xf numFmtId="0" fontId="29" fillId="0" borderId="217" xfId="0" applyFont="1" applyBorder="1" applyProtection="1">
      <protection locked="0"/>
    </xf>
    <xf numFmtId="0" fontId="29" fillId="0" borderId="0" xfId="0" applyFont="1" applyAlignment="1" applyProtection="1">
      <alignment wrapText="1"/>
      <protection locked="0"/>
    </xf>
    <xf numFmtId="0" fontId="0" fillId="0" borderId="217" xfId="0" applyBorder="1" applyAlignment="1" applyProtection="1">
      <alignment horizontal="center"/>
      <protection locked="0"/>
    </xf>
    <xf numFmtId="42" fontId="0" fillId="0" borderId="217" xfId="31" applyFont="1" applyBorder="1" applyAlignment="1" applyProtection="1">
      <alignment horizontal="center"/>
      <protection locked="0"/>
    </xf>
    <xf numFmtId="168" fontId="28" fillId="9" borderId="0" xfId="13" applyNumberFormat="1" applyFont="1" applyFill="1" applyBorder="1" applyAlignment="1" applyProtection="1">
      <alignment vertical="center"/>
    </xf>
    <xf numFmtId="0" fontId="29" fillId="0" borderId="0" xfId="0" applyFont="1" applyAlignment="1">
      <alignment vertical="center"/>
    </xf>
    <xf numFmtId="0" fontId="13" fillId="0" borderId="217" xfId="0" applyFont="1" applyBorder="1" applyProtection="1">
      <protection locked="0"/>
    </xf>
    <xf numFmtId="168" fontId="0" fillId="0" borderId="0" xfId="0" applyNumberFormat="1" applyAlignment="1">
      <alignment vertical="center"/>
    </xf>
    <xf numFmtId="168" fontId="29" fillId="29" borderId="100" xfId="13" applyNumberFormat="1" applyFont="1" applyFill="1" applyBorder="1" applyAlignment="1">
      <alignment vertical="center"/>
    </xf>
    <xf numFmtId="0" fontId="29" fillId="0" borderId="0" xfId="0" applyFont="1" applyAlignment="1" applyProtection="1">
      <alignment vertical="center"/>
    </xf>
    <xf numFmtId="42" fontId="29" fillId="0" borderId="0" xfId="31" applyFont="1" applyAlignment="1" applyProtection="1">
      <alignment vertical="center"/>
    </xf>
    <xf numFmtId="0" fontId="29" fillId="11" borderId="0" xfId="0" applyFont="1" applyFill="1" applyBorder="1" applyProtection="1"/>
    <xf numFmtId="42" fontId="29" fillId="0" borderId="0" xfId="0" applyNumberFormat="1" applyFont="1" applyAlignment="1" applyProtection="1">
      <alignment vertical="center"/>
    </xf>
    <xf numFmtId="6" fontId="29" fillId="0" borderId="0" xfId="0" applyNumberFormat="1" applyFont="1" applyAlignment="1" applyProtection="1">
      <alignment vertical="center"/>
    </xf>
    <xf numFmtId="9" fontId="29" fillId="12" borderId="77" xfId="0" applyNumberFormat="1" applyFont="1" applyFill="1" applyBorder="1" applyAlignment="1" applyProtection="1">
      <alignment horizontal="center" vertical="center"/>
      <protection locked="0"/>
    </xf>
    <xf numFmtId="177" fontId="29" fillId="0" borderId="67" xfId="0" applyNumberFormat="1" applyFont="1" applyFill="1" applyBorder="1" applyAlignment="1" applyProtection="1">
      <alignment horizontal="right" vertical="center"/>
    </xf>
    <xf numFmtId="177" fontId="29" fillId="0" borderId="99" xfId="0" applyNumberFormat="1" applyFont="1" applyFill="1" applyBorder="1" applyAlignment="1" applyProtection="1">
      <alignment horizontal="right" vertical="center"/>
    </xf>
    <xf numFmtId="169" fontId="29" fillId="12" borderId="79" xfId="16" applyFont="1" applyFill="1" applyBorder="1" applyAlignment="1" applyProtection="1">
      <alignment horizontal="center" vertical="center"/>
      <protection locked="0"/>
    </xf>
    <xf numFmtId="9" fontId="29" fillId="26" borderId="253" xfId="0" applyNumberFormat="1" applyFont="1" applyFill="1" applyBorder="1" applyAlignment="1" applyProtection="1">
      <alignment horizontal="center" vertical="center"/>
    </xf>
    <xf numFmtId="0" fontId="29" fillId="11" borderId="0" xfId="0" applyFont="1" applyFill="1" applyProtection="1"/>
    <xf numFmtId="178" fontId="0" fillId="12" borderId="271" xfId="13" applyNumberFormat="1" applyFont="1" applyFill="1" applyBorder="1" applyAlignment="1" applyProtection="1">
      <alignment vertical="center"/>
      <protection locked="0"/>
    </xf>
    <xf numFmtId="178" fontId="0" fillId="12" borderId="205" xfId="13" applyNumberFormat="1" applyFont="1" applyFill="1" applyBorder="1" applyAlignment="1" applyProtection="1">
      <alignment vertical="center"/>
      <protection locked="0"/>
    </xf>
    <xf numFmtId="177" fontId="0" fillId="29" borderId="107" xfId="0" applyNumberFormat="1" applyFill="1" applyBorder="1" applyAlignment="1">
      <alignment vertical="center"/>
    </xf>
    <xf numFmtId="177" fontId="0" fillId="29" borderId="107" xfId="0" applyNumberFormat="1" applyFont="1" applyFill="1" applyBorder="1" applyAlignment="1" applyProtection="1">
      <alignment vertical="center"/>
    </xf>
    <xf numFmtId="177" fontId="0" fillId="29" borderId="244" xfId="0" applyNumberFormat="1" applyFont="1" applyFill="1" applyBorder="1" applyAlignment="1" applyProtection="1">
      <alignment vertical="center"/>
    </xf>
    <xf numFmtId="178" fontId="0" fillId="12" borderId="217" xfId="13" applyNumberFormat="1" applyFont="1" applyFill="1" applyBorder="1" applyAlignment="1" applyProtection="1">
      <alignment vertical="center"/>
      <protection locked="0"/>
    </xf>
    <xf numFmtId="177" fontId="0" fillId="29" borderId="246" xfId="0" applyNumberFormat="1" applyFont="1" applyFill="1" applyBorder="1" applyAlignment="1" applyProtection="1">
      <alignment vertical="center"/>
    </xf>
    <xf numFmtId="0" fontId="0" fillId="12" borderId="204" xfId="0" applyFont="1" applyFill="1" applyBorder="1" applyAlignment="1" applyProtection="1">
      <alignment horizontal="left" vertical="center"/>
      <protection locked="0"/>
    </xf>
    <xf numFmtId="178" fontId="0" fillId="12" borderId="245" xfId="13" applyNumberFormat="1" applyFont="1" applyFill="1" applyBorder="1" applyAlignment="1" applyProtection="1">
      <alignment vertical="center"/>
      <protection locked="0"/>
    </xf>
    <xf numFmtId="178" fontId="0" fillId="12" borderId="221" xfId="13" applyNumberFormat="1" applyFont="1" applyFill="1" applyBorder="1" applyAlignment="1" applyProtection="1">
      <alignment vertical="center"/>
      <protection locked="0"/>
    </xf>
    <xf numFmtId="177" fontId="0" fillId="29" borderId="268" xfId="0" applyNumberFormat="1" applyFont="1" applyFill="1" applyBorder="1" applyAlignment="1" applyProtection="1">
      <alignment vertical="center"/>
    </xf>
    <xf numFmtId="177" fontId="29" fillId="29" borderId="246" xfId="0" applyNumberFormat="1" applyFont="1" applyFill="1" applyBorder="1" applyAlignment="1" applyProtection="1">
      <alignment vertical="center"/>
    </xf>
    <xf numFmtId="177" fontId="0" fillId="29" borderId="269" xfId="0" applyNumberFormat="1" applyFont="1" applyFill="1" applyBorder="1" applyAlignment="1" applyProtection="1">
      <alignment vertical="center"/>
    </xf>
    <xf numFmtId="178" fontId="0" fillId="12" borderId="272" xfId="13" applyNumberFormat="1" applyFont="1" applyFill="1" applyBorder="1" applyAlignment="1" applyProtection="1">
      <alignment vertical="center"/>
      <protection locked="0"/>
    </xf>
    <xf numFmtId="178" fontId="0" fillId="12" borderId="219" xfId="13" applyNumberFormat="1" applyFont="1" applyFill="1" applyBorder="1" applyAlignment="1" applyProtection="1">
      <alignment vertical="center"/>
      <protection locked="0"/>
    </xf>
    <xf numFmtId="178" fontId="0" fillId="12" borderId="134" xfId="13" applyNumberFormat="1" applyFont="1" applyFill="1" applyBorder="1" applyAlignment="1" applyProtection="1">
      <alignment vertical="center"/>
      <protection locked="0"/>
    </xf>
    <xf numFmtId="178" fontId="29" fillId="12" borderId="245" xfId="13" applyNumberFormat="1" applyFont="1" applyFill="1" applyBorder="1" applyAlignment="1" applyProtection="1">
      <alignment vertical="center"/>
      <protection locked="0"/>
    </xf>
    <xf numFmtId="178" fontId="0" fillId="12" borderId="230" xfId="13" applyNumberFormat="1" applyFont="1" applyFill="1" applyBorder="1" applyAlignment="1" applyProtection="1">
      <alignment vertical="center"/>
      <protection locked="0"/>
    </xf>
    <xf numFmtId="178" fontId="0" fillId="12" borderId="104" xfId="13" applyNumberFormat="1" applyFont="1" applyFill="1" applyBorder="1" applyAlignment="1" applyProtection="1">
      <alignment vertical="center"/>
      <protection locked="0"/>
    </xf>
    <xf numFmtId="178" fontId="0" fillId="12" borderId="261" xfId="13" applyNumberFormat="1" applyFont="1" applyFill="1" applyBorder="1" applyAlignment="1" applyProtection="1">
      <alignment vertical="center"/>
      <protection locked="0"/>
    </xf>
    <xf numFmtId="178" fontId="0" fillId="12" borderId="231" xfId="13" applyNumberFormat="1" applyFont="1" applyFill="1" applyBorder="1" applyAlignment="1" applyProtection="1">
      <alignment vertical="center"/>
      <protection locked="0"/>
    </xf>
    <xf numFmtId="178" fontId="0" fillId="12" borderId="232" xfId="13" applyNumberFormat="1" applyFont="1" applyFill="1" applyBorder="1" applyAlignment="1" applyProtection="1">
      <alignment vertical="center"/>
      <protection locked="0"/>
    </xf>
    <xf numFmtId="177" fontId="0" fillId="29" borderId="119" xfId="0" applyNumberFormat="1" applyFont="1" applyFill="1" applyBorder="1" applyAlignment="1" applyProtection="1">
      <alignment vertical="center"/>
    </xf>
    <xf numFmtId="178" fontId="0" fillId="12" borderId="207" xfId="13" applyNumberFormat="1" applyFont="1" applyFill="1" applyBorder="1" applyAlignment="1" applyProtection="1">
      <alignment vertical="center"/>
      <protection locked="0"/>
    </xf>
    <xf numFmtId="178" fontId="0" fillId="12" borderId="253" xfId="13" applyNumberFormat="1" applyFont="1" applyFill="1" applyBorder="1" applyAlignment="1" applyProtection="1">
      <alignment vertical="center"/>
      <protection locked="0"/>
    </xf>
    <xf numFmtId="178" fontId="0" fillId="12" borderId="130" xfId="13" applyNumberFormat="1" applyFont="1" applyFill="1" applyBorder="1" applyAlignment="1" applyProtection="1">
      <alignment vertical="center"/>
      <protection locked="0"/>
    </xf>
    <xf numFmtId="168" fontId="29" fillId="12" borderId="100" xfId="13" applyNumberFormat="1" applyFont="1" applyFill="1" applyBorder="1" applyAlignment="1" applyProtection="1">
      <alignment vertical="center"/>
      <protection locked="0"/>
    </xf>
    <xf numFmtId="176" fontId="29" fillId="12" borderId="100" xfId="12" applyNumberFormat="1" applyFont="1" applyFill="1" applyBorder="1" applyAlignment="1" applyProtection="1">
      <alignment vertical="center"/>
      <protection locked="0"/>
    </xf>
    <xf numFmtId="0" fontId="29" fillId="12" borderId="222" xfId="0" applyFont="1" applyFill="1" applyBorder="1" applyAlignment="1" applyProtection="1">
      <alignment horizontal="left" vertical="center"/>
      <protection locked="0"/>
    </xf>
    <xf numFmtId="177" fontId="29" fillId="29" borderId="244" xfId="0" applyNumberFormat="1" applyFont="1" applyFill="1" applyBorder="1" applyAlignment="1" applyProtection="1">
      <alignment vertical="center"/>
    </xf>
    <xf numFmtId="178" fontId="29" fillId="12" borderId="217" xfId="13" applyNumberFormat="1" applyFont="1" applyFill="1" applyBorder="1" applyAlignment="1" applyProtection="1">
      <alignment vertical="center"/>
      <protection locked="0"/>
    </xf>
    <xf numFmtId="178" fontId="29" fillId="12" borderId="219" xfId="13" applyNumberFormat="1" applyFont="1" applyFill="1" applyBorder="1" applyAlignment="1" applyProtection="1">
      <alignment vertical="center"/>
      <protection locked="0"/>
    </xf>
    <xf numFmtId="178" fontId="14" fillId="12" borderId="245" xfId="13" applyNumberFormat="1" applyFont="1" applyFill="1" applyBorder="1" applyAlignment="1" applyProtection="1">
      <alignment vertical="center"/>
      <protection locked="0"/>
    </xf>
    <xf numFmtId="0" fontId="39" fillId="0" borderId="0" xfId="0" applyFont="1" applyProtection="1">
      <protection locked="0"/>
    </xf>
    <xf numFmtId="0" fontId="39" fillId="0" borderId="217" xfId="0" applyFont="1" applyBorder="1" applyProtection="1">
      <protection locked="0"/>
    </xf>
    <xf numFmtId="6" fontId="39" fillId="0" borderId="217" xfId="0" applyNumberFormat="1" applyFont="1" applyBorder="1" applyProtection="1">
      <protection locked="0"/>
    </xf>
    <xf numFmtId="42" fontId="39" fillId="0" borderId="217" xfId="31" applyFont="1" applyBorder="1" applyProtection="1">
      <protection locked="0"/>
    </xf>
    <xf numFmtId="176" fontId="29" fillId="12" borderId="217" xfId="12" applyNumberFormat="1" applyFont="1" applyFill="1" applyBorder="1"/>
    <xf numFmtId="168" fontId="29" fillId="29" borderId="100" xfId="13" applyNumberFormat="1" applyFont="1" applyFill="1" applyBorder="1" applyAlignment="1" applyProtection="1">
      <alignment vertical="center"/>
    </xf>
    <xf numFmtId="0" fontId="29" fillId="12" borderId="200" xfId="0" applyFont="1" applyFill="1" applyBorder="1" applyAlignment="1" applyProtection="1">
      <alignment horizontal="left" vertical="center"/>
      <protection locked="0"/>
    </xf>
    <xf numFmtId="0" fontId="29" fillId="12" borderId="134" xfId="0" applyFont="1" applyFill="1" applyBorder="1" applyAlignment="1" applyProtection="1">
      <alignment horizontal="left" vertical="center"/>
      <protection locked="0"/>
    </xf>
    <xf numFmtId="178" fontId="29" fillId="12" borderId="14" xfId="13" applyNumberFormat="1" applyFont="1" applyFill="1" applyBorder="1" applyAlignment="1" applyProtection="1">
      <alignment vertical="center"/>
      <protection locked="0"/>
    </xf>
    <xf numFmtId="0" fontId="21" fillId="0" borderId="0" xfId="20" applyFill="1" applyAlignment="1">
      <alignment horizont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8" fontId="0" fillId="9" borderId="268" xfId="13" applyNumberFormat="1" applyFont="1" applyFill="1" applyBorder="1" applyAlignment="1" applyProtection="1">
      <alignment horizontal="right" vertical="center"/>
    </xf>
    <xf numFmtId="168" fontId="0" fillId="9" borderId="246" xfId="13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42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8" fontId="13" fillId="15" borderId="158" xfId="0" applyNumberFormat="1" applyFont="1" applyFill="1" applyBorder="1" applyAlignment="1" applyProtection="1">
      <alignment horizontal="center" vertical="center"/>
    </xf>
    <xf numFmtId="168" fontId="13" fillId="15" borderId="146" xfId="0" applyNumberFormat="1" applyFont="1" applyFill="1" applyBorder="1" applyAlignment="1" applyProtection="1">
      <alignment horizontal="center" vertical="center"/>
    </xf>
    <xf numFmtId="168" fontId="23" fillId="38" borderId="264" xfId="0" applyNumberFormat="1" applyFont="1" applyFill="1" applyBorder="1" applyAlignment="1" applyProtection="1">
      <alignment horizontal="center" vertical="center" wrapText="1"/>
    </xf>
    <xf numFmtId="168" fontId="23" fillId="38" borderId="265" xfId="0" applyNumberFormat="1" applyFont="1" applyFill="1" applyBorder="1" applyAlignment="1" applyProtection="1">
      <alignment horizontal="center" vertical="center" wrapText="1"/>
    </xf>
    <xf numFmtId="168" fontId="23" fillId="38" borderId="238" xfId="0" applyNumberFormat="1" applyFont="1" applyFill="1" applyBorder="1" applyAlignment="1" applyProtection="1">
      <alignment horizontal="center" vertical="center" wrapText="1"/>
    </xf>
    <xf numFmtId="168" fontId="24" fillId="33" borderId="159" xfId="0" applyNumberFormat="1" applyFont="1" applyFill="1" applyBorder="1" applyAlignment="1" applyProtection="1">
      <alignment horizontal="center" vertical="center" wrapText="1"/>
    </xf>
    <xf numFmtId="168" fontId="24" fillId="33" borderId="265" xfId="0" applyNumberFormat="1" applyFont="1" applyFill="1" applyBorder="1" applyAlignment="1" applyProtection="1">
      <alignment horizontal="center" vertical="center" wrapText="1"/>
    </xf>
    <xf numFmtId="168" fontId="24" fillId="33" borderId="260" xfId="0" applyNumberFormat="1" applyFont="1" applyFill="1" applyBorder="1" applyAlignment="1" applyProtection="1">
      <alignment horizontal="center" vertical="center" wrapText="1"/>
    </xf>
    <xf numFmtId="168" fontId="27" fillId="44" borderId="267" xfId="0" applyNumberFormat="1" applyFont="1" applyFill="1" applyBorder="1" applyAlignment="1" applyProtection="1">
      <alignment horizontal="center" vertical="center" wrapText="1"/>
    </xf>
    <xf numFmtId="168" fontId="27" fillId="44" borderId="54" xfId="0" applyNumberFormat="1" applyFont="1" applyFill="1" applyBorder="1" applyAlignment="1" applyProtection="1">
      <alignment horizontal="center" vertical="center" wrapText="1"/>
    </xf>
    <xf numFmtId="168" fontId="18" fillId="33" borderId="170" xfId="0" applyNumberFormat="1" applyFont="1" applyFill="1" applyBorder="1" applyAlignment="1" applyProtection="1">
      <alignment horizontal="center" vertical="center" wrapText="1"/>
    </xf>
    <xf numFmtId="168" fontId="18" fillId="33" borderId="171" xfId="0" applyNumberFormat="1" applyFont="1" applyFill="1" applyBorder="1" applyAlignment="1" applyProtection="1">
      <alignment horizontal="center" vertical="center" wrapText="1"/>
    </xf>
    <xf numFmtId="168" fontId="18" fillId="33" borderId="160" xfId="0" applyNumberFormat="1" applyFont="1" applyFill="1" applyBorder="1" applyAlignment="1" applyProtection="1">
      <alignment horizontal="center" vertical="center" wrapText="1"/>
    </xf>
    <xf numFmtId="168" fontId="18" fillId="33" borderId="52" xfId="0" applyNumberFormat="1" applyFont="1" applyFill="1" applyBorder="1" applyAlignment="1" applyProtection="1">
      <alignment horizontal="center" vertical="center" wrapText="1"/>
    </xf>
    <xf numFmtId="168" fontId="18" fillId="33" borderId="207" xfId="0" applyNumberFormat="1" applyFont="1" applyFill="1" applyBorder="1" applyAlignment="1" applyProtection="1">
      <alignment horizontal="center" vertical="center" wrapText="1"/>
    </xf>
    <xf numFmtId="168" fontId="18" fillId="33" borderId="109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155" xfId="0" applyFont="1" applyFill="1" applyBorder="1" applyAlignment="1" applyProtection="1">
      <alignment horizontal="center" vertical="center" wrapText="1"/>
    </xf>
    <xf numFmtId="0" fontId="13" fillId="15" borderId="156" xfId="0" applyFont="1" applyFill="1" applyBorder="1" applyAlignment="1" applyProtection="1">
      <alignment horizontal="center" vertical="center" wrapText="1"/>
    </xf>
    <xf numFmtId="0" fontId="13" fillId="15" borderId="152" xfId="0" applyFont="1" applyFill="1" applyBorder="1" applyAlignment="1" applyProtection="1">
      <alignment horizontal="center" vertical="center" wrapText="1"/>
    </xf>
    <xf numFmtId="0" fontId="13" fillId="15" borderId="153" xfId="0" applyFont="1" applyFill="1" applyBorder="1" applyAlignment="1" applyProtection="1">
      <alignment horizontal="center" vertical="center" wrapText="1"/>
    </xf>
    <xf numFmtId="0" fontId="0" fillId="0" borderId="170" xfId="0" applyFont="1" applyFill="1" applyBorder="1" applyAlignment="1" applyProtection="1">
      <alignment horizontal="center" vertical="center" wrapText="1"/>
    </xf>
    <xf numFmtId="0" fontId="0" fillId="0" borderId="171" xfId="0" applyFont="1" applyFill="1" applyBorder="1" applyAlignment="1" applyProtection="1">
      <alignment horizontal="center" vertical="center" wrapText="1"/>
    </xf>
    <xf numFmtId="0" fontId="0" fillId="0" borderId="57" xfId="0" applyFont="1" applyFill="1" applyBorder="1" applyAlignment="1" applyProtection="1">
      <alignment horizontal="center" vertical="center" wrapText="1"/>
    </xf>
    <xf numFmtId="168" fontId="22" fillId="31" borderId="36" xfId="0" applyNumberFormat="1" applyFont="1" applyFill="1" applyBorder="1" applyAlignment="1" applyProtection="1">
      <alignment horizontal="center" vertical="center"/>
    </xf>
    <xf numFmtId="0" fontId="23" fillId="0" borderId="157" xfId="0" applyFont="1" applyFill="1" applyBorder="1" applyAlignment="1" applyProtection="1">
      <alignment horizontal="center" vertical="center" wrapText="1"/>
    </xf>
    <xf numFmtId="0" fontId="23" fillId="0" borderId="109" xfId="0" applyFont="1" applyFill="1" applyBorder="1" applyAlignment="1" applyProtection="1">
      <alignment horizontal="center"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0" fillId="0" borderId="154" xfId="0" applyFont="1" applyFill="1" applyBorder="1" applyAlignment="1" applyProtection="1">
      <alignment horizontal="center" vertical="center" wrapText="1"/>
    </xf>
    <xf numFmtId="0" fontId="0" fillId="0" borderId="55" xfId="0" applyFont="1" applyFill="1" applyBorder="1" applyAlignment="1" applyProtection="1">
      <alignment horizontal="center" vertical="center" wrapText="1"/>
    </xf>
    <xf numFmtId="0" fontId="0" fillId="0" borderId="149" xfId="0" applyFont="1" applyFill="1" applyBorder="1" applyAlignment="1" applyProtection="1">
      <alignment horizontal="center" vertical="center" wrapText="1"/>
    </xf>
    <xf numFmtId="168" fontId="22" fillId="31" borderId="85" xfId="0" applyNumberFormat="1" applyFont="1" applyFill="1" applyBorder="1" applyAlignment="1" applyProtection="1">
      <alignment horizontal="right" vertical="center"/>
    </xf>
    <xf numFmtId="168" fontId="22" fillId="31" borderId="147" xfId="0" applyNumberFormat="1" applyFont="1" applyFill="1" applyBorder="1" applyAlignment="1" applyProtection="1">
      <alignment horizontal="right" vertical="center"/>
    </xf>
    <xf numFmtId="0" fontId="23" fillId="43" borderId="157" xfId="0" applyFont="1" applyFill="1" applyBorder="1" applyAlignment="1" applyProtection="1">
      <alignment horizontal="center" vertical="center" wrapText="1"/>
    </xf>
    <xf numFmtId="0" fontId="23" fillId="43" borderId="109" xfId="0" applyFont="1" applyFill="1" applyBorder="1" applyAlignment="1" applyProtection="1">
      <alignment horizontal="center" vertical="center" wrapText="1"/>
    </xf>
    <xf numFmtId="0" fontId="23" fillId="43" borderId="45" xfId="0" applyFont="1" applyFill="1" applyBorder="1" applyAlignment="1" applyProtection="1">
      <alignment horizontal="center" vertical="center" wrapText="1"/>
    </xf>
    <xf numFmtId="168" fontId="22" fillId="31" borderId="147" xfId="0" applyNumberFormat="1" applyFont="1" applyFill="1" applyBorder="1" applyAlignment="1" applyProtection="1">
      <alignment horizontal="center" vertical="center"/>
    </xf>
    <xf numFmtId="168" fontId="0" fillId="9" borderId="270" xfId="13" applyNumberFormat="1" applyFont="1" applyFill="1" applyBorder="1" applyAlignment="1" applyProtection="1">
      <alignment horizontal="right" vertical="center"/>
    </xf>
    <xf numFmtId="168" fontId="24" fillId="33" borderId="86" xfId="0" applyNumberFormat="1" applyFont="1" applyFill="1" applyBorder="1" applyAlignment="1" applyProtection="1">
      <alignment horizontal="center" vertical="center" wrapText="1"/>
    </xf>
    <xf numFmtId="168" fontId="24" fillId="33" borderId="88" xfId="0" applyNumberFormat="1" applyFont="1" applyFill="1" applyBorder="1" applyAlignment="1" applyProtection="1">
      <alignment horizontal="center" vertical="center" wrapText="1"/>
    </xf>
    <xf numFmtId="168" fontId="24" fillId="33" borderId="238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8" fontId="13" fillId="15" borderId="36" xfId="0" applyNumberFormat="1" applyFont="1" applyFill="1" applyBorder="1" applyAlignment="1" applyProtection="1">
      <alignment horizontal="center" vertical="center" wrapText="1"/>
    </xf>
    <xf numFmtId="168" fontId="13" fillId="15" borderId="124" xfId="0" applyNumberFormat="1" applyFont="1" applyFill="1" applyBorder="1" applyAlignment="1" applyProtection="1">
      <alignment horizontal="center" vertical="center" wrapText="1"/>
    </xf>
    <xf numFmtId="0" fontId="22" fillId="45" borderId="204" xfId="0" applyFont="1" applyFill="1" applyBorder="1" applyAlignment="1" applyProtection="1">
      <alignment horizontal="center" vertical="center" wrapText="1"/>
    </xf>
    <xf numFmtId="0" fontId="22" fillId="45" borderId="133" xfId="0" applyFont="1" applyFill="1" applyBorder="1" applyAlignment="1" applyProtection="1">
      <alignment horizontal="center" vertical="center" wrapText="1"/>
    </xf>
    <xf numFmtId="0" fontId="22" fillId="45" borderId="105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78" fontId="0" fillId="57" borderId="244" xfId="13" applyNumberFormat="1" applyFont="1" applyFill="1" applyBorder="1" applyAlignment="1" applyProtection="1">
      <alignment horizontal="center" vertical="center"/>
    </xf>
    <xf numFmtId="178" fontId="0" fillId="57" borderId="245" xfId="13" applyNumberFormat="1" applyFont="1" applyFill="1" applyBorder="1" applyAlignment="1" applyProtection="1">
      <alignment horizontal="center" vertical="center"/>
    </xf>
    <xf numFmtId="178" fontId="0" fillId="57" borderId="246" xfId="13" applyNumberFormat="1" applyFont="1" applyFill="1" applyBorder="1" applyAlignment="1" applyProtection="1">
      <alignment horizontal="center" vertical="center"/>
    </xf>
    <xf numFmtId="0" fontId="22" fillId="43" borderId="174" xfId="0" applyFont="1" applyFill="1" applyBorder="1" applyAlignment="1">
      <alignment horizontal="center" vertical="center" wrapText="1"/>
    </xf>
    <xf numFmtId="0" fontId="22" fillId="43" borderId="113" xfId="0" applyFont="1" applyFill="1" applyBorder="1" applyAlignment="1">
      <alignment horizontal="center" vertical="center" wrapText="1"/>
    </xf>
    <xf numFmtId="0" fontId="22" fillId="43" borderId="175" xfId="0" applyFont="1" applyFill="1" applyBorder="1" applyAlignment="1">
      <alignment horizontal="center" vertical="center" wrapText="1"/>
    </xf>
    <xf numFmtId="0" fontId="22" fillId="0" borderId="107" xfId="0" applyFont="1" applyFill="1" applyBorder="1" applyAlignment="1" applyProtection="1">
      <alignment horizontal="center" vertical="center" wrapText="1"/>
    </xf>
    <xf numFmtId="0" fontId="22" fillId="0" borderId="38" xfId="0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3" fillId="13" borderId="126" xfId="0" applyFont="1" applyFill="1" applyBorder="1" applyAlignment="1" applyProtection="1">
      <alignment horizontal="center" vertical="center"/>
      <protection locked="0"/>
    </xf>
    <xf numFmtId="0" fontId="23" fillId="13" borderId="127" xfId="0" applyFont="1" applyFill="1" applyBorder="1" applyAlignment="1" applyProtection="1">
      <alignment horizontal="center" vertical="center"/>
      <protection locked="0"/>
    </xf>
    <xf numFmtId="168" fontId="24" fillId="33" borderId="39" xfId="0" applyNumberFormat="1" applyFont="1" applyFill="1" applyBorder="1" applyAlignment="1" applyProtection="1">
      <alignment horizontal="center" vertical="center" wrapText="1"/>
    </xf>
    <xf numFmtId="168" fontId="24" fillId="33" borderId="40" xfId="0" applyNumberFormat="1" applyFont="1" applyFill="1" applyBorder="1" applyAlignment="1" applyProtection="1">
      <alignment horizontal="center" vertical="center" wrapText="1"/>
    </xf>
    <xf numFmtId="168" fontId="24" fillId="33" borderId="248" xfId="0" applyNumberFormat="1" applyFont="1" applyFill="1" applyBorder="1" applyAlignment="1" applyProtection="1">
      <alignment horizontal="center" vertical="center" wrapText="1"/>
    </xf>
    <xf numFmtId="0" fontId="23" fillId="16" borderId="50" xfId="0" applyFont="1" applyFill="1" applyBorder="1" applyAlignment="1" applyProtection="1">
      <alignment horizontal="center" vertical="center" wrapText="1"/>
    </xf>
    <xf numFmtId="0" fontId="23" fillId="16" borderId="46" xfId="0" applyFont="1" applyFill="1" applyBorder="1" applyAlignment="1" applyProtection="1">
      <alignment horizontal="center" vertical="center" wrapText="1"/>
    </xf>
    <xf numFmtId="0" fontId="23" fillId="15" borderId="23" xfId="0" applyFont="1" applyFill="1" applyBorder="1" applyAlignment="1" applyProtection="1">
      <alignment horizontal="center" vertical="center" wrapText="1"/>
    </xf>
    <xf numFmtId="0" fontId="23" fillId="15" borderId="43" xfId="0" applyFont="1" applyFill="1" applyBorder="1" applyAlignment="1" applyProtection="1">
      <alignment horizontal="center" vertical="center" wrapText="1"/>
    </xf>
    <xf numFmtId="0" fontId="23" fillId="16" borderId="131" xfId="0" applyFont="1" applyFill="1" applyBorder="1" applyAlignment="1" applyProtection="1">
      <alignment horizontal="center" vertical="center" wrapText="1"/>
    </xf>
    <xf numFmtId="0" fontId="23" fillId="16" borderId="132" xfId="0" applyFont="1" applyFill="1" applyBorder="1" applyAlignment="1" applyProtection="1">
      <alignment horizontal="center" vertical="center" wrapText="1"/>
    </xf>
    <xf numFmtId="0" fontId="23" fillId="15" borderId="128" xfId="0" applyFont="1" applyFill="1" applyBorder="1" applyAlignment="1" applyProtection="1">
      <alignment horizontal="center" vertical="center" wrapText="1"/>
    </xf>
    <xf numFmtId="0" fontId="23" fillId="15" borderId="111" xfId="0" applyFont="1" applyFill="1" applyBorder="1" applyAlignment="1" applyProtection="1">
      <alignment horizontal="center" vertical="center" wrapText="1"/>
    </xf>
    <xf numFmtId="0" fontId="22" fillId="45" borderId="222" xfId="0" applyFont="1" applyFill="1" applyBorder="1" applyAlignment="1" applyProtection="1">
      <alignment horizontal="center" vertical="center" wrapText="1"/>
    </xf>
    <xf numFmtId="178" fontId="30" fillId="65" borderId="244" xfId="13" applyNumberFormat="1" applyFont="1" applyFill="1" applyBorder="1" applyAlignment="1" applyProtection="1">
      <alignment horizontal="center" vertical="center"/>
    </xf>
    <xf numFmtId="178" fontId="30" fillId="65" borderId="245" xfId="13" applyNumberFormat="1" applyFont="1" applyFill="1" applyBorder="1" applyAlignment="1" applyProtection="1">
      <alignment horizontal="center" vertical="center"/>
    </xf>
    <xf numFmtId="178" fontId="30" fillId="65" borderId="246" xfId="13" applyNumberFormat="1" applyFont="1" applyFill="1" applyBorder="1" applyAlignment="1" applyProtection="1">
      <alignment horizontal="center" vertical="center"/>
    </xf>
    <xf numFmtId="170" fontId="0" fillId="57" borderId="244" xfId="13" applyNumberFormat="1" applyFont="1" applyFill="1" applyBorder="1" applyAlignment="1" applyProtection="1">
      <alignment horizontal="center" vertical="center"/>
      <protection locked="0"/>
    </xf>
    <xf numFmtId="170" fontId="0" fillId="57" borderId="245" xfId="13" applyNumberFormat="1" applyFont="1" applyFill="1" applyBorder="1" applyAlignment="1" applyProtection="1">
      <alignment horizontal="center" vertical="center"/>
      <protection locked="0"/>
    </xf>
    <xf numFmtId="170" fontId="0" fillId="57" borderId="246" xfId="13" applyNumberFormat="1" applyFont="1" applyFill="1" applyBorder="1" applyAlignment="1" applyProtection="1">
      <alignment horizontal="center" vertical="center"/>
      <protection locked="0"/>
    </xf>
    <xf numFmtId="0" fontId="35" fillId="36" borderId="217" xfId="0" applyFont="1" applyFill="1" applyBorder="1" applyAlignment="1" applyProtection="1">
      <alignment horizontal="center" vertical="center"/>
    </xf>
    <xf numFmtId="0" fontId="34" fillId="50" borderId="224" xfId="0" applyFont="1" applyFill="1" applyBorder="1" applyAlignment="1" applyProtection="1">
      <alignment horizontal="center" vertical="center" wrapText="1"/>
    </xf>
    <xf numFmtId="0" fontId="34" fillId="50" borderId="150" xfId="0" applyFont="1" applyFill="1" applyBorder="1" applyAlignment="1" applyProtection="1">
      <alignment horizontal="center" vertical="center" wrapText="1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center" vertical="center"/>
      <protection locked="0"/>
    </xf>
    <xf numFmtId="0" fontId="11" fillId="17" borderId="100" xfId="0" applyFont="1" applyFill="1" applyBorder="1" applyAlignment="1" applyProtection="1">
      <alignment horizontal="center" vertical="center"/>
    </xf>
    <xf numFmtId="0" fontId="11" fillId="16" borderId="100" xfId="0" applyFont="1" applyFill="1" applyBorder="1" applyAlignment="1" applyProtection="1">
      <alignment horizontal="center" vertical="center" wrapText="1"/>
    </xf>
    <xf numFmtId="166" fontId="13" fillId="18" borderId="136" xfId="13" applyFont="1" applyFill="1" applyBorder="1" applyAlignment="1" applyProtection="1">
      <alignment horizontal="center" vertical="center" wrapText="1"/>
    </xf>
    <xf numFmtId="166" fontId="13" fillId="18" borderId="55" xfId="13" applyFont="1" applyFill="1" applyBorder="1" applyAlignment="1" applyProtection="1">
      <alignment horizontal="center" vertical="center" wrapText="1"/>
    </xf>
    <xf numFmtId="0" fontId="11" fillId="16" borderId="8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5" borderId="97" xfId="0" applyFont="1" applyFill="1" applyBorder="1" applyAlignment="1" applyProtection="1">
      <alignment horizontal="center" vertical="center"/>
    </xf>
    <xf numFmtId="0" fontId="11" fillId="15" borderId="139" xfId="0" applyFont="1" applyFill="1" applyBorder="1" applyAlignment="1" applyProtection="1">
      <alignment horizontal="center" vertical="center"/>
    </xf>
    <xf numFmtId="0" fontId="13" fillId="17" borderId="8" xfId="0" applyFont="1" applyFill="1" applyBorder="1" applyAlignment="1" applyProtection="1">
      <alignment horizontal="center" vertical="center"/>
    </xf>
    <xf numFmtId="0" fontId="13" fillId="17" borderId="13" xfId="0" applyFont="1" applyFill="1" applyBorder="1" applyAlignment="1" applyProtection="1">
      <alignment horizontal="center" vertical="center"/>
    </xf>
    <xf numFmtId="0" fontId="23" fillId="1" borderId="207" xfId="0" applyFont="1" applyFill="1" applyBorder="1" applyAlignment="1" applyProtection="1">
      <alignment horizontal="center" vertical="center" wrapText="1"/>
    </xf>
    <xf numFmtId="0" fontId="23" fillId="1" borderId="109" xfId="0" applyFont="1" applyFill="1" applyBorder="1" applyAlignment="1" applyProtection="1">
      <alignment horizontal="center" vertical="center" wrapText="1"/>
    </xf>
    <xf numFmtId="0" fontId="23" fillId="1" borderId="45" xfId="0" applyFont="1" applyFill="1" applyBorder="1" applyAlignment="1" applyProtection="1">
      <alignment horizontal="center" vertical="center" wrapText="1"/>
    </xf>
    <xf numFmtId="0" fontId="23" fillId="0" borderId="207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17" borderId="21" xfId="0" applyFont="1" applyFill="1" applyBorder="1" applyAlignment="1" applyProtection="1">
      <alignment horizontal="center" vertical="center" wrapText="1"/>
    </xf>
    <xf numFmtId="0" fontId="13" fillId="17" borderId="82" xfId="0" applyFont="1" applyFill="1" applyBorder="1" applyAlignment="1" applyProtection="1">
      <alignment horizontal="center" vertical="center" wrapText="1"/>
    </xf>
    <xf numFmtId="0" fontId="11" fillId="15" borderId="21" xfId="0" applyFont="1" applyFill="1" applyBorder="1" applyAlignment="1" applyProtection="1">
      <alignment horizontal="center" vertical="center" wrapText="1"/>
    </xf>
    <xf numFmtId="0" fontId="11" fillId="15" borderId="82" xfId="0" applyFont="1" applyFill="1" applyBorder="1" applyAlignment="1" applyProtection="1">
      <alignment horizontal="center" vertical="center" wrapText="1"/>
    </xf>
    <xf numFmtId="0" fontId="18" fillId="14" borderId="107" xfId="0" applyFont="1" applyFill="1" applyBorder="1" applyAlignment="1" applyProtection="1">
      <alignment horizontal="center" vertical="center"/>
    </xf>
    <xf numFmtId="0" fontId="18" fillId="14" borderId="78" xfId="0" applyFont="1" applyFill="1" applyBorder="1" applyAlignment="1" applyProtection="1">
      <alignment horizontal="center" vertical="center"/>
    </xf>
    <xf numFmtId="0" fontId="13" fillId="26" borderId="37" xfId="0" applyFont="1" applyFill="1" applyBorder="1" applyAlignment="1" applyProtection="1">
      <alignment horizontal="center" vertical="center" wrapText="1"/>
    </xf>
    <xf numFmtId="0" fontId="13" fillId="26" borderId="68" xfId="0" applyFont="1" applyFill="1" applyBorder="1" applyAlignment="1" applyProtection="1">
      <alignment horizontal="center" vertical="center" wrapText="1"/>
    </xf>
    <xf numFmtId="0" fontId="18" fillId="14" borderId="116" xfId="0" applyFont="1" applyFill="1" applyBorder="1" applyAlignment="1" applyProtection="1">
      <alignment horizontal="center" vertical="center"/>
    </xf>
    <xf numFmtId="0" fontId="18" fillId="47" borderId="107" xfId="0" applyFont="1" applyFill="1" applyBorder="1" applyAlignment="1" applyProtection="1">
      <alignment horizontal="center" vertical="center"/>
    </xf>
    <xf numFmtId="0" fontId="18" fillId="47" borderId="78" xfId="0" applyFont="1" applyFill="1" applyBorder="1" applyAlignment="1" applyProtection="1">
      <alignment horizontal="center" vertical="center"/>
    </xf>
    <xf numFmtId="0" fontId="18" fillId="46" borderId="116" xfId="0" applyFont="1" applyFill="1" applyBorder="1" applyAlignment="1" applyProtection="1">
      <alignment horizontal="center" vertical="center"/>
    </xf>
    <xf numFmtId="0" fontId="18" fillId="46" borderId="271" xfId="0" applyFont="1" applyFill="1" applyBorder="1" applyAlignment="1" applyProtection="1">
      <alignment horizontal="center" vertical="center"/>
    </xf>
    <xf numFmtId="0" fontId="13" fillId="16" borderId="208" xfId="0" applyFont="1" applyFill="1" applyBorder="1" applyAlignment="1" applyProtection="1">
      <alignment horizontal="center" vertical="center" wrapText="1"/>
    </xf>
    <xf numFmtId="0" fontId="13" fillId="16" borderId="225" xfId="0" applyFont="1" applyFill="1" applyBorder="1" applyAlignment="1" applyProtection="1">
      <alignment horizontal="center" vertical="center" wrapText="1"/>
    </xf>
    <xf numFmtId="0" fontId="13" fillId="16" borderId="198" xfId="0" applyFont="1" applyFill="1" applyBorder="1" applyAlignment="1" applyProtection="1">
      <alignment horizontal="center" vertical="center" wrapText="1"/>
    </xf>
    <xf numFmtId="0" fontId="13" fillId="16" borderId="234" xfId="0" applyFont="1" applyFill="1" applyBorder="1" applyAlignment="1" applyProtection="1">
      <alignment horizontal="center" vertical="center" wrapText="1"/>
    </xf>
    <xf numFmtId="0" fontId="13" fillId="16" borderId="187" xfId="0" applyFont="1" applyFill="1" applyBorder="1" applyAlignment="1" applyProtection="1">
      <alignment horizontal="center" vertical="center"/>
    </xf>
    <xf numFmtId="0" fontId="13" fillId="16" borderId="235" xfId="0" applyFont="1" applyFill="1" applyBorder="1" applyAlignment="1" applyProtection="1">
      <alignment horizontal="center" vertical="center"/>
    </xf>
    <xf numFmtId="0" fontId="13" fillId="16" borderId="187" xfId="0" applyFont="1" applyFill="1" applyBorder="1" applyAlignment="1" applyProtection="1">
      <alignment horizontal="center" vertical="center" wrapText="1"/>
    </xf>
    <xf numFmtId="0" fontId="13" fillId="16" borderId="235" xfId="0" applyFont="1" applyFill="1" applyBorder="1" applyAlignment="1" applyProtection="1">
      <alignment horizontal="center" vertical="center" wrapText="1"/>
    </xf>
    <xf numFmtId="0" fontId="22" fillId="16" borderId="188" xfId="0" applyFont="1" applyFill="1" applyBorder="1" applyAlignment="1" applyProtection="1">
      <alignment horizontal="center" vertical="center" wrapText="1"/>
    </xf>
    <xf numFmtId="0" fontId="22" fillId="16" borderId="124" xfId="0" applyFont="1" applyFill="1" applyBorder="1" applyAlignment="1" applyProtection="1">
      <alignment horizontal="center" vertical="center" wrapText="1"/>
    </xf>
    <xf numFmtId="0" fontId="22" fillId="16" borderId="12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3" fillId="46" borderId="66" xfId="0" applyFont="1" applyFill="1" applyBorder="1" applyAlignment="1" applyProtection="1">
      <alignment horizontal="center" vertical="center" textRotation="90" wrapText="1"/>
    </xf>
    <xf numFmtId="0" fontId="23" fillId="46" borderId="68" xfId="0" applyFont="1" applyFill="1" applyBorder="1" applyAlignment="1" applyProtection="1">
      <alignment horizontal="center" vertical="center" textRotation="90" wrapText="1"/>
    </xf>
    <xf numFmtId="0" fontId="23" fillId="46" borderId="45" xfId="0" applyFont="1" applyFill="1" applyBorder="1" applyAlignment="1" applyProtection="1">
      <alignment horizontal="center" vertical="center" textRotation="90" wrapText="1"/>
    </xf>
    <xf numFmtId="0" fontId="23" fillId="46" borderId="66" xfId="0" applyFont="1" applyFill="1" applyBorder="1" applyAlignment="1" applyProtection="1">
      <alignment horizontal="left" vertical="center" wrapText="1"/>
    </xf>
    <xf numFmtId="0" fontId="23" fillId="46" borderId="68" xfId="0" applyFont="1" applyFill="1" applyBorder="1" applyAlignment="1" applyProtection="1">
      <alignment horizontal="left" vertical="center" wrapText="1"/>
    </xf>
    <xf numFmtId="0" fontId="23" fillId="46" borderId="45" xfId="0" applyFont="1" applyFill="1" applyBorder="1" applyAlignment="1" applyProtection="1">
      <alignment horizontal="left" vertical="center" wrapText="1"/>
    </xf>
    <xf numFmtId="0" fontId="26" fillId="46" borderId="56" xfId="0" applyFont="1" applyFill="1" applyBorder="1" applyAlignment="1" applyProtection="1">
      <alignment horizontal="center" vertical="center" textRotation="90" wrapText="1"/>
    </xf>
    <xf numFmtId="0" fontId="26" fillId="46" borderId="53" xfId="0" applyFont="1" applyFill="1" applyBorder="1" applyAlignment="1" applyProtection="1">
      <alignment horizontal="center" vertical="center" textRotation="90" wrapText="1"/>
    </xf>
    <xf numFmtId="0" fontId="23" fillId="12" borderId="233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23" fillId="12" borderId="70" xfId="0" applyFont="1" applyFill="1" applyBorder="1" applyAlignment="1" applyProtection="1">
      <alignment horizontal="left" vertical="center" wrapText="1"/>
      <protection locked="0"/>
    </xf>
    <xf numFmtId="0" fontId="23" fillId="12" borderId="71" xfId="0" applyFont="1" applyFill="1" applyBorder="1" applyAlignment="1" applyProtection="1">
      <alignment horizontal="left" vertical="center" wrapText="1"/>
      <protection locked="0"/>
    </xf>
    <xf numFmtId="0" fontId="23" fillId="12" borderId="66" xfId="0" applyFont="1" applyFill="1" applyBorder="1" applyAlignment="1" applyProtection="1">
      <alignment horizontal="left" vertical="center" wrapText="1"/>
      <protection locked="0"/>
    </xf>
    <xf numFmtId="0" fontId="23" fillId="12" borderId="109" xfId="0" applyFont="1" applyFill="1" applyBorder="1" applyAlignment="1" applyProtection="1">
      <alignment horizontal="left" vertical="center" wrapText="1"/>
      <protection locked="0"/>
    </xf>
    <xf numFmtId="0" fontId="23" fillId="12" borderId="68" xfId="0" applyFont="1" applyFill="1" applyBorder="1" applyAlignment="1" applyProtection="1">
      <alignment horizontal="left" vertical="center" wrapText="1"/>
      <protection locked="0"/>
    </xf>
    <xf numFmtId="0" fontId="23" fillId="12" borderId="45" xfId="0" applyFont="1" applyFill="1" applyBorder="1" applyAlignment="1" applyProtection="1">
      <alignment horizontal="left" vertical="center" wrapText="1"/>
      <protection locked="0"/>
    </xf>
    <xf numFmtId="0" fontId="13" fillId="16" borderId="207" xfId="0" applyFont="1" applyFill="1" applyBorder="1" applyAlignment="1" applyProtection="1">
      <alignment horizontal="center" vertical="center" wrapText="1"/>
    </xf>
    <xf numFmtId="0" fontId="13" fillId="16" borderId="45" xfId="0" applyFont="1" applyFill="1" applyBorder="1" applyAlignment="1" applyProtection="1">
      <alignment horizontal="center" vertical="center" wrapText="1"/>
    </xf>
    <xf numFmtId="0" fontId="11" fillId="16" borderId="63" xfId="0" applyFont="1" applyFill="1" applyBorder="1" applyAlignment="1" applyProtection="1">
      <alignment horizontal="center" vertical="center" wrapText="1"/>
    </xf>
    <xf numFmtId="0" fontId="18" fillId="46" borderId="107" xfId="0" applyFont="1" applyFill="1" applyBorder="1" applyAlignment="1" applyProtection="1">
      <alignment horizontal="center" vertical="center"/>
    </xf>
    <xf numFmtId="0" fontId="18" fillId="46" borderId="78" xfId="0" applyFont="1" applyFill="1" applyBorder="1" applyAlignment="1" applyProtection="1">
      <alignment horizontal="center" vertical="center"/>
    </xf>
    <xf numFmtId="0" fontId="10" fillId="14" borderId="108" xfId="0" applyFont="1" applyFill="1" applyBorder="1" applyAlignment="1" applyProtection="1">
      <alignment horizontal="center" vertical="center"/>
    </xf>
    <xf numFmtId="0" fontId="10" fillId="14" borderId="119" xfId="0" applyFont="1" applyFill="1" applyBorder="1" applyAlignment="1" applyProtection="1">
      <alignment horizontal="center" vertical="center"/>
    </xf>
    <xf numFmtId="0" fontId="18" fillId="14" borderId="77" xfId="0" applyFont="1" applyFill="1" applyBorder="1" applyAlignment="1" applyProtection="1">
      <alignment horizontal="center" vertical="center"/>
    </xf>
    <xf numFmtId="0" fontId="18" fillId="14" borderId="67" xfId="0" applyFont="1" applyFill="1" applyBorder="1" applyAlignment="1" applyProtection="1">
      <alignment horizontal="center" vertical="center"/>
    </xf>
    <xf numFmtId="0" fontId="18" fillId="47" borderId="77" xfId="0" applyFont="1" applyFill="1" applyBorder="1" applyAlignment="1" applyProtection="1">
      <alignment horizontal="center" vertical="center"/>
    </xf>
    <xf numFmtId="0" fontId="18" fillId="47" borderId="99" xfId="0" applyFont="1" applyFill="1" applyBorder="1" applyAlignment="1" applyProtection="1">
      <alignment horizontal="center" vertical="center"/>
    </xf>
    <xf numFmtId="0" fontId="18" fillId="46" borderId="79" xfId="0" applyFont="1" applyFill="1" applyBorder="1" applyAlignment="1" applyProtection="1">
      <alignment horizontal="center" vertical="center"/>
    </xf>
    <xf numFmtId="0" fontId="18" fillId="46" borderId="99" xfId="0" applyFont="1" applyFill="1" applyBorder="1" applyAlignment="1" applyProtection="1">
      <alignment horizontal="center" vertical="center"/>
    </xf>
    <xf numFmtId="177" fontId="0" fillId="26" borderId="107" xfId="0" applyNumberFormat="1" applyFont="1" applyFill="1" applyBorder="1" applyAlignment="1" applyProtection="1">
      <alignment horizontal="center" vertical="center"/>
    </xf>
    <xf numFmtId="177" fontId="0" fillId="26" borderId="78" xfId="0" applyNumberFormat="1" applyFont="1" applyFill="1" applyBorder="1" applyAlignment="1" applyProtection="1">
      <alignment horizontal="center" vertical="center"/>
    </xf>
    <xf numFmtId="0" fontId="10" fillId="47" borderId="108" xfId="0" applyFont="1" applyFill="1" applyBorder="1" applyAlignment="1" applyProtection="1">
      <alignment horizontal="center" vertical="center"/>
    </xf>
    <xf numFmtId="0" fontId="10" fillId="47" borderId="119" xfId="0" applyFont="1" applyFill="1" applyBorder="1" applyAlignment="1" applyProtection="1">
      <alignment horizontal="center" vertical="center"/>
    </xf>
    <xf numFmtId="0" fontId="10" fillId="46" borderId="108" xfId="0" applyFont="1" applyFill="1" applyBorder="1" applyAlignment="1" applyProtection="1">
      <alignment horizontal="center" vertical="center"/>
    </xf>
    <xf numFmtId="0" fontId="10" fillId="46" borderId="119" xfId="0" applyFont="1" applyFill="1" applyBorder="1" applyAlignment="1" applyProtection="1">
      <alignment horizontal="center" vertical="center"/>
    </xf>
    <xf numFmtId="177" fontId="0" fillId="26" borderId="79" xfId="0" applyNumberFormat="1" applyFont="1" applyFill="1" applyBorder="1" applyAlignment="1" applyProtection="1">
      <alignment horizontal="center" vertical="center"/>
    </xf>
    <xf numFmtId="0" fontId="23" fillId="43" borderId="113" xfId="0" applyFont="1" applyFill="1" applyBorder="1" applyAlignment="1" applyProtection="1">
      <alignment horizontal="left" vertical="center" wrapText="1"/>
    </xf>
    <xf numFmtId="0" fontId="23" fillId="43" borderId="175" xfId="0" applyFont="1" applyFill="1" applyBorder="1" applyAlignment="1" applyProtection="1">
      <alignment horizontal="left" vertical="center" wrapText="1"/>
    </xf>
    <xf numFmtId="0" fontId="23" fillId="0" borderId="208" xfId="0" applyFont="1" applyFill="1" applyBorder="1" applyAlignment="1" applyProtection="1">
      <alignment horizontal="left" vertical="center" wrapText="1"/>
    </xf>
    <xf numFmtId="0" fontId="23" fillId="0" borderId="113" xfId="0" applyFont="1" applyFill="1" applyBorder="1" applyAlignment="1" applyProtection="1">
      <alignment horizontal="left" vertical="center" wrapText="1"/>
    </xf>
    <xf numFmtId="0" fontId="23" fillId="0" borderId="198" xfId="0" applyFont="1" applyFill="1" applyBorder="1" applyAlignment="1" applyProtection="1">
      <alignment horizontal="left" vertical="center" wrapText="1"/>
    </xf>
    <xf numFmtId="0" fontId="23" fillId="16" borderId="137" xfId="0" applyFont="1" applyFill="1" applyBorder="1" applyAlignment="1" applyProtection="1">
      <alignment horizontal="center" vertical="center"/>
    </xf>
    <xf numFmtId="0" fontId="23" fillId="16" borderId="135" xfId="0" applyFont="1" applyFill="1" applyBorder="1" applyAlignment="1" applyProtection="1">
      <alignment horizontal="center" vertical="center"/>
    </xf>
    <xf numFmtId="0" fontId="23" fillId="16" borderId="239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8" fontId="23" fillId="17" borderId="86" xfId="0" applyNumberFormat="1" applyFont="1" applyFill="1" applyBorder="1" applyAlignment="1" applyProtection="1">
      <alignment horizontal="center" vertical="center" wrapText="1"/>
    </xf>
    <xf numFmtId="168" fontId="23" fillId="17" borderId="88" xfId="0" applyNumberFormat="1" applyFont="1" applyFill="1" applyBorder="1" applyAlignment="1" applyProtection="1">
      <alignment horizontal="center" vertical="center" wrapText="1"/>
    </xf>
    <xf numFmtId="168" fontId="23" fillId="17" borderId="238" xfId="0" applyNumberFormat="1" applyFont="1" applyFill="1" applyBorder="1" applyAlignment="1" applyProtection="1">
      <alignment horizontal="center" vertical="center" wrapText="1"/>
    </xf>
    <xf numFmtId="168" fontId="24" fillId="33" borderId="30" xfId="0" applyNumberFormat="1" applyFont="1" applyFill="1" applyBorder="1" applyAlignment="1" applyProtection="1">
      <alignment horizontal="center" vertical="center" wrapText="1"/>
    </xf>
    <xf numFmtId="168" fontId="24" fillId="33" borderId="22" xfId="0" applyNumberFormat="1" applyFont="1" applyFill="1" applyBorder="1" applyAlignment="1" applyProtection="1">
      <alignment horizontal="center" vertical="center" wrapText="1"/>
    </xf>
    <xf numFmtId="168" fontId="24" fillId="33" borderId="158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71" xfId="0" applyFont="1" applyFill="1" applyBorder="1" applyAlignment="1" applyProtection="1">
      <alignment horizontal="center" vertical="center" wrapText="1"/>
    </xf>
    <xf numFmtId="0" fontId="13" fillId="15" borderId="73" xfId="0" applyFont="1" applyFill="1" applyBorder="1" applyAlignment="1" applyProtection="1">
      <alignment horizontal="center" vertical="center" wrapText="1"/>
    </xf>
    <xf numFmtId="0" fontId="13" fillId="15" borderId="78" xfId="0" applyFont="1" applyFill="1" applyBorder="1" applyAlignment="1" applyProtection="1">
      <alignment horizontal="center" vertical="center" wrapText="1"/>
    </xf>
    <xf numFmtId="0" fontId="13" fillId="15" borderId="3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3" fillId="11" borderId="208" xfId="0" applyFont="1" applyFill="1" applyBorder="1" applyAlignment="1" applyProtection="1">
      <alignment horizontal="center" vertical="center" wrapText="1"/>
    </xf>
    <xf numFmtId="0" fontId="23" fillId="11" borderId="113" xfId="0" applyFont="1" applyFill="1" applyBorder="1" applyAlignment="1" applyProtection="1">
      <alignment horizontal="center" vertical="center" wrapText="1"/>
    </xf>
    <xf numFmtId="177" fontId="23" fillId="29" borderId="115" xfId="0" applyNumberFormat="1" applyFont="1" applyFill="1" applyBorder="1" applyAlignment="1" applyProtection="1">
      <alignment horizontal="right" vertical="center"/>
    </xf>
    <xf numFmtId="177" fontId="23" fillId="29" borderId="68" xfId="0" applyNumberFormat="1" applyFont="1" applyFill="1" applyBorder="1" applyAlignment="1" applyProtection="1">
      <alignment horizontal="right" vertical="center"/>
    </xf>
    <xf numFmtId="177" fontId="23" fillId="29" borderId="109" xfId="0" applyNumberFormat="1" applyFont="1" applyFill="1" applyBorder="1" applyAlignment="1" applyProtection="1">
      <alignment horizontal="right" vertical="center"/>
    </xf>
    <xf numFmtId="0" fontId="13" fillId="16" borderId="206" xfId="0" applyFont="1" applyFill="1" applyBorder="1" applyAlignment="1" applyProtection="1">
      <alignment horizontal="center" vertical="center" wrapText="1"/>
    </xf>
    <xf numFmtId="0" fontId="13" fillId="16" borderId="230" xfId="0" applyFont="1" applyFill="1" applyBorder="1" applyAlignment="1" applyProtection="1">
      <alignment horizontal="center" vertical="center" wrapText="1"/>
    </xf>
    <xf numFmtId="0" fontId="13" fillId="16" borderId="113" xfId="0" applyFont="1" applyFill="1" applyBorder="1" applyAlignment="1" applyProtection="1">
      <alignment horizontal="center" vertical="center" wrapText="1"/>
    </xf>
    <xf numFmtId="0" fontId="13" fillId="16" borderId="214" xfId="0" applyFont="1" applyFill="1" applyBorder="1" applyAlignment="1" applyProtection="1">
      <alignment horizontal="center" vertical="center"/>
    </xf>
    <xf numFmtId="0" fontId="13" fillId="16" borderId="173" xfId="0" applyFont="1" applyFill="1" applyBorder="1" applyAlignment="1" applyProtection="1">
      <alignment horizontal="center" vertical="center"/>
    </xf>
    <xf numFmtId="0" fontId="13" fillId="16" borderId="141" xfId="0" applyFont="1" applyFill="1" applyBorder="1" applyAlignment="1" applyProtection="1">
      <alignment horizontal="center" vertical="center"/>
    </xf>
    <xf numFmtId="0" fontId="13" fillId="16" borderId="141" xfId="0" applyFont="1" applyFill="1" applyBorder="1" applyAlignment="1" applyProtection="1">
      <alignment horizontal="center" vertical="center" wrapText="1"/>
    </xf>
    <xf numFmtId="0" fontId="29" fillId="0" borderId="113" xfId="0" applyFont="1" applyFill="1" applyBorder="1" applyAlignment="1" applyProtection="1">
      <alignment horizontal="center" wrapText="1" shrinkToFit="1"/>
    </xf>
    <xf numFmtId="0" fontId="23" fillId="43" borderId="208" xfId="0" applyFont="1" applyFill="1" applyBorder="1" applyAlignment="1" applyProtection="1">
      <alignment horizontal="center" vertical="center" wrapText="1"/>
    </xf>
    <xf numFmtId="0" fontId="23" fillId="43" borderId="113" xfId="0" applyFont="1" applyFill="1" applyBorder="1" applyAlignment="1" applyProtection="1">
      <alignment horizontal="center" vertical="center" wrapText="1"/>
    </xf>
    <xf numFmtId="0" fontId="23" fillId="43" borderId="198" xfId="0" applyFont="1" applyFill="1" applyBorder="1" applyAlignment="1" applyProtection="1">
      <alignment horizontal="center" vertical="center" wrapText="1"/>
    </xf>
    <xf numFmtId="177" fontId="23" fillId="57" borderId="207" xfId="0" applyNumberFormat="1" applyFont="1" applyFill="1" applyBorder="1" applyAlignment="1" applyProtection="1">
      <alignment horizontal="right" vertical="center"/>
    </xf>
    <xf numFmtId="177" fontId="23" fillId="57" borderId="109" xfId="0" applyNumberFormat="1" applyFont="1" applyFill="1" applyBorder="1" applyAlignment="1" applyProtection="1">
      <alignment horizontal="right" vertical="center"/>
    </xf>
    <xf numFmtId="177" fontId="23" fillId="57" borderId="45" xfId="0" applyNumberFormat="1" applyFont="1" applyFill="1" applyBorder="1" applyAlignment="1" applyProtection="1">
      <alignment horizontal="right" vertical="center"/>
    </xf>
    <xf numFmtId="177" fontId="23" fillId="29" borderId="207" xfId="0" applyNumberFormat="1" applyFont="1" applyFill="1" applyBorder="1" applyAlignment="1" applyProtection="1">
      <alignment horizontal="right" vertical="center"/>
    </xf>
    <xf numFmtId="177" fontId="23" fillId="29" borderId="45" xfId="0" applyNumberFormat="1" applyFont="1" applyFill="1" applyBorder="1" applyAlignment="1" applyProtection="1">
      <alignment horizontal="right" vertical="center"/>
    </xf>
    <xf numFmtId="0" fontId="13" fillId="27" borderId="207" xfId="0" applyFont="1" applyFill="1" applyBorder="1" applyAlignment="1" applyProtection="1">
      <alignment horizontal="center" vertical="center" wrapText="1"/>
    </xf>
    <xf numFmtId="0" fontId="13" fillId="27" borderId="45" xfId="0" applyFont="1" applyFill="1" applyBorder="1" applyAlignment="1" applyProtection="1">
      <alignment horizontal="center" vertical="center" wrapText="1"/>
    </xf>
    <xf numFmtId="0" fontId="13" fillId="27" borderId="115" xfId="0" applyFont="1" applyFill="1" applyBorder="1" applyAlignment="1" applyProtection="1">
      <alignment horizontal="center" vertical="center" wrapText="1"/>
    </xf>
    <xf numFmtId="0" fontId="13" fillId="27" borderId="68" xfId="0" applyFont="1" applyFill="1" applyBorder="1" applyAlignment="1" applyProtection="1">
      <alignment horizontal="center" vertical="center" wrapText="1"/>
    </xf>
    <xf numFmtId="0" fontId="13" fillId="16" borderId="109" xfId="0" applyFont="1" applyFill="1" applyBorder="1" applyAlignment="1" applyProtection="1">
      <alignment horizontal="center" vertical="center" wrapText="1"/>
    </xf>
    <xf numFmtId="0" fontId="13" fillId="16" borderId="36" xfId="0" applyFont="1" applyFill="1" applyBorder="1" applyAlignment="1" applyProtection="1">
      <alignment horizontal="center" vertical="center" wrapText="1"/>
    </xf>
    <xf numFmtId="0" fontId="13" fillId="16" borderId="0" xfId="0" applyFont="1" applyFill="1" applyBorder="1" applyAlignment="1" applyProtection="1">
      <alignment horizontal="center" vertical="center" wrapText="1"/>
    </xf>
    <xf numFmtId="0" fontId="13" fillId="27" borderId="109" xfId="0" applyFont="1" applyFill="1" applyBorder="1" applyAlignment="1" applyProtection="1">
      <alignment horizontal="center" vertical="center" wrapText="1"/>
    </xf>
    <xf numFmtId="0" fontId="22" fillId="0" borderId="183" xfId="0" applyFont="1" applyFill="1" applyBorder="1" applyAlignment="1" applyProtection="1">
      <alignment horizontal="center" vertical="center" wrapText="1"/>
    </xf>
    <xf numFmtId="0" fontId="22" fillId="0" borderId="184" xfId="0" applyFont="1" applyFill="1" applyBorder="1" applyAlignment="1" applyProtection="1">
      <alignment horizontal="center" vertical="center" wrapText="1"/>
    </xf>
    <xf numFmtId="0" fontId="22" fillId="0" borderId="185" xfId="0" applyFont="1" applyFill="1" applyBorder="1" applyAlignment="1" applyProtection="1">
      <alignment horizontal="center" vertical="center" wrapText="1"/>
    </xf>
    <xf numFmtId="0" fontId="13" fillId="16" borderId="94" xfId="0" applyFont="1" applyFill="1" applyBorder="1" applyAlignment="1" applyProtection="1">
      <alignment horizontal="center" vertical="center" wrapText="1"/>
    </xf>
    <xf numFmtId="0" fontId="13" fillId="16" borderId="95" xfId="0" applyFont="1" applyFill="1" applyBorder="1" applyAlignment="1" applyProtection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3" fillId="16" borderId="135" xfId="0" applyFont="1" applyFill="1" applyBorder="1" applyAlignment="1" applyProtection="1">
      <alignment horizontal="center" vertical="center"/>
    </xf>
    <xf numFmtId="0" fontId="13" fillId="16" borderId="93" xfId="0" applyFont="1" applyFill="1" applyBorder="1" applyAlignment="1" applyProtection="1">
      <alignment horizontal="center" vertical="center"/>
    </xf>
    <xf numFmtId="0" fontId="23" fillId="15" borderId="86" xfId="0" applyFont="1" applyFill="1" applyBorder="1" applyAlignment="1" applyProtection="1">
      <alignment horizontal="center" vertical="center" wrapText="1"/>
    </xf>
    <xf numFmtId="0" fontId="23" fillId="15" borderId="177" xfId="0" applyFont="1" applyFill="1" applyBorder="1" applyAlignment="1" applyProtection="1">
      <alignment horizontal="center" vertical="center" wrapText="1"/>
    </xf>
    <xf numFmtId="0" fontId="23" fillId="15" borderId="90" xfId="0" applyFont="1" applyFill="1" applyBorder="1" applyAlignment="1" applyProtection="1">
      <alignment horizontal="center" vertical="center" wrapText="1"/>
    </xf>
    <xf numFmtId="0" fontId="23" fillId="15" borderId="186" xfId="0" applyFont="1" applyFill="1" applyBorder="1" applyAlignment="1" applyProtection="1">
      <alignment horizontal="center" vertical="center" wrapText="1"/>
    </xf>
    <xf numFmtId="0" fontId="13" fillId="16" borderId="137" xfId="0" applyFont="1" applyFill="1" applyBorder="1" applyAlignment="1" applyProtection="1">
      <alignment horizontal="center" vertical="center"/>
    </xf>
    <xf numFmtId="0" fontId="13" fillId="16" borderId="89" xfId="0" applyFont="1" applyFill="1" applyBorder="1" applyAlignment="1" applyProtection="1">
      <alignment horizontal="center" vertical="center"/>
    </xf>
    <xf numFmtId="168" fontId="24" fillId="33" borderId="91" xfId="0" applyNumberFormat="1" applyFont="1" applyFill="1" applyBorder="1" applyAlignment="1" applyProtection="1">
      <alignment horizontal="center" vertical="center" wrapText="1"/>
    </xf>
    <xf numFmtId="168" fontId="13" fillId="17" borderId="92" xfId="0" applyNumberFormat="1" applyFont="1" applyFill="1" applyBorder="1" applyAlignment="1" applyProtection="1">
      <alignment horizontal="center" vertical="center" wrapText="1"/>
    </xf>
    <xf numFmtId="168" fontId="13" fillId="17" borderId="88" xfId="0" applyNumberFormat="1" applyFont="1" applyFill="1" applyBorder="1" applyAlignment="1" applyProtection="1">
      <alignment horizontal="center" vertical="center" wrapText="1"/>
    </xf>
    <xf numFmtId="168" fontId="13" fillId="17" borderId="87" xfId="0" applyNumberFormat="1" applyFont="1" applyFill="1" applyBorder="1" applyAlignment="1" applyProtection="1">
      <alignment horizontal="center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31" xfId="0" applyFont="1" applyFill="1" applyBorder="1" applyAlignment="1" applyProtection="1">
      <alignment horizontal="left" vertical="center" wrapText="1"/>
    </xf>
    <xf numFmtId="0" fontId="0" fillId="37" borderId="25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18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0" fillId="37" borderId="15" xfId="0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center" indent="2"/>
    </xf>
  </cellXfs>
  <cellStyles count="60">
    <cellStyle name="Accent" xfId="1"/>
    <cellStyle name="Accent 1" xfId="2"/>
    <cellStyle name="Accent 1 1" xfId="37"/>
    <cellStyle name="Accent 2" xfId="3"/>
    <cellStyle name="Accent 2 1" xfId="38"/>
    <cellStyle name="Accent 3" xfId="4"/>
    <cellStyle name="Accent 3 1" xfId="39"/>
    <cellStyle name="Accent 4" xfId="40"/>
    <cellStyle name="Bad" xfId="5"/>
    <cellStyle name="Bad 1" xfId="41"/>
    <cellStyle name="Error" xfId="6"/>
    <cellStyle name="Error 1" xfId="42"/>
    <cellStyle name="Euro" xfId="21"/>
    <cellStyle name="Euro 2" xfId="22"/>
    <cellStyle name="Euro 2 2" xfId="44"/>
    <cellStyle name="Euro 3" xfId="23"/>
    <cellStyle name="Euro 3 2" xfId="45"/>
    <cellStyle name="Euro 4" xfId="43"/>
    <cellStyle name="Footnote" xfId="7"/>
    <cellStyle name="Footnote 1" xfId="46"/>
    <cellStyle name="Good" xfId="8"/>
    <cellStyle name="Good 1" xfId="47"/>
    <cellStyle name="Heading" xfId="9"/>
    <cellStyle name="Heading 1" xfId="10"/>
    <cellStyle name="Heading 1 1" xfId="48"/>
    <cellStyle name="Heading 2" xfId="11"/>
    <cellStyle name="Heading 2 1" xfId="49"/>
    <cellStyle name="Heading 3" xfId="50"/>
    <cellStyle name="Hipervínculo" xfId="20" builtinId="8"/>
    <cellStyle name="Hipervínculo 2" xfId="51"/>
    <cellStyle name="Millares" xfId="12" builtinId="3"/>
    <cellStyle name="Millares 2" xfId="24"/>
    <cellStyle name="Millares 3" xfId="59"/>
    <cellStyle name="Moneda" xfId="13" builtinId="4"/>
    <cellStyle name="Moneda [0]" xfId="31" builtinId="7"/>
    <cellStyle name="Moneda 2" xfId="26"/>
    <cellStyle name="Moneda 2 2" xfId="52"/>
    <cellStyle name="Moneda 3" xfId="25"/>
    <cellStyle name="Neutral" xfId="14" builtinId="28" customBuiltin="1"/>
    <cellStyle name="Normal" xfId="0" builtinId="0"/>
    <cellStyle name="Normal 2" xfId="27"/>
    <cellStyle name="Normal 3" xfId="28"/>
    <cellStyle name="Normal 4" xfId="29"/>
    <cellStyle name="Normal 5" xfId="58"/>
    <cellStyle name="Note" xfId="15"/>
    <cellStyle name="Note 1" xfId="53"/>
    <cellStyle name="Note 2" xfId="33"/>
    <cellStyle name="Note 3" xfId="34"/>
    <cellStyle name="Note 4" xfId="32"/>
    <cellStyle name="Note 5" xfId="36"/>
    <cellStyle name="Note 6" xfId="35"/>
    <cellStyle name="Porcentaje" xfId="16" builtinId="5"/>
    <cellStyle name="Porcentaje 2" xfId="30"/>
    <cellStyle name="Porcentaje 2 2" xfId="54"/>
    <cellStyle name="Status" xfId="17"/>
    <cellStyle name="Status 1" xfId="55"/>
    <cellStyle name="Text" xfId="18"/>
    <cellStyle name="Text 1" xfId="56"/>
    <cellStyle name="Warning" xfId="19"/>
    <cellStyle name="Warning 1" xfId="57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909"/>
      <color rgb="FFCC00FF"/>
      <color rgb="FF0000CC"/>
      <color rgb="FFCCFFCC"/>
      <color rgb="FFFF9933"/>
      <color rgb="FF000099"/>
      <color rgb="FF69D8FF"/>
      <color rgb="FFFFFF66"/>
      <color rgb="FF00A24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325597</xdr:colOff>
      <xdr:row>56</xdr:row>
      <xdr:rowOff>80472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A7804-37AC-48B1-96F0-3D0FB9B2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50"/>
          <a:ext cx="12517597" cy="78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354176</xdr:colOff>
      <xdr:row>108</xdr:row>
      <xdr:rowOff>45564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4FA197B-D508-4AD8-B1AB-8EE4B2D7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546176" cy="7983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17</xdr:col>
      <xdr:colOff>306544</xdr:colOff>
      <xdr:row>159</xdr:row>
      <xdr:rowOff>137630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95B879-6D81-4F15-8D6F-B98073F3C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462500"/>
          <a:ext cx="12498544" cy="79163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48482</xdr:colOff>
      <xdr:row>210</xdr:row>
      <xdr:rowOff>137630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502D262-5715-438D-8511-698A18E03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558750"/>
          <a:ext cx="6144482" cy="7916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C1:J52"/>
  <sheetViews>
    <sheetView showGridLines="0" zoomScale="90" zoomScaleNormal="90" workbookViewId="0">
      <selection activeCell="V29" sqref="V29"/>
    </sheetView>
  </sheetViews>
  <sheetFormatPr baseColWidth="10" defaultColWidth="11.42578125" defaultRowHeight="12.75" x14ac:dyDescent="0.2"/>
  <cols>
    <col min="1" max="16384" width="11.42578125" style="61"/>
  </cols>
  <sheetData>
    <row r="1" spans="3:10" x14ac:dyDescent="0.2">
      <c r="J1" s="60"/>
    </row>
    <row r="2" spans="3:10" x14ac:dyDescent="0.2">
      <c r="J2" s="60" t="s">
        <v>83</v>
      </c>
    </row>
    <row r="3" spans="3:10" x14ac:dyDescent="0.2">
      <c r="J3" s="60"/>
    </row>
    <row r="5" spans="3:10" x14ac:dyDescent="0.2">
      <c r="C5" s="62"/>
      <c r="D5" s="62"/>
      <c r="E5" s="62"/>
      <c r="F5" s="62"/>
      <c r="G5" s="62"/>
      <c r="H5" s="62"/>
      <c r="I5" s="62"/>
      <c r="J5" s="62"/>
    </row>
    <row r="6" spans="3:10" x14ac:dyDescent="0.2">
      <c r="C6" s="62"/>
      <c r="D6" s="62"/>
      <c r="E6" s="62"/>
      <c r="F6" s="62"/>
      <c r="G6" s="62"/>
      <c r="H6" s="62"/>
      <c r="I6" s="62"/>
      <c r="J6" s="62"/>
    </row>
    <row r="7" spans="3:10" x14ac:dyDescent="0.2">
      <c r="C7" s="62"/>
      <c r="D7" s="62"/>
      <c r="E7" s="62"/>
      <c r="F7" s="62"/>
      <c r="G7" s="62"/>
      <c r="H7" s="62"/>
      <c r="I7" s="62"/>
      <c r="J7" s="62"/>
    </row>
    <row r="8" spans="3:10" x14ac:dyDescent="0.2">
      <c r="C8" s="62"/>
      <c r="D8" s="62"/>
      <c r="E8" s="62"/>
      <c r="F8" s="62"/>
      <c r="G8" s="62"/>
      <c r="H8" s="62"/>
      <c r="I8" s="62"/>
      <c r="J8" s="62"/>
    </row>
    <row r="9" spans="3:10" x14ac:dyDescent="0.2">
      <c r="C9" s="62"/>
      <c r="D9" s="62"/>
      <c r="E9" s="62"/>
      <c r="F9" s="62"/>
      <c r="G9" s="62"/>
      <c r="H9" s="62"/>
      <c r="I9" s="62"/>
      <c r="J9" s="62"/>
    </row>
    <row r="10" spans="3:10" x14ac:dyDescent="0.2">
      <c r="C10" s="62"/>
      <c r="D10" s="62"/>
      <c r="E10" s="62"/>
      <c r="F10" s="62"/>
      <c r="G10" s="62"/>
      <c r="H10" s="62"/>
      <c r="I10" s="62"/>
      <c r="J10" s="62"/>
    </row>
    <row r="11" spans="3:10" x14ac:dyDescent="0.2">
      <c r="C11" s="62"/>
      <c r="D11" s="62"/>
      <c r="E11" s="62"/>
      <c r="F11" s="62"/>
      <c r="G11" s="62"/>
      <c r="H11" s="62"/>
      <c r="I11" s="62"/>
      <c r="J11" s="62"/>
    </row>
    <row r="12" spans="3:10" x14ac:dyDescent="0.2">
      <c r="C12" s="62"/>
      <c r="D12" s="62"/>
      <c r="E12" s="62"/>
      <c r="F12" s="62"/>
      <c r="G12" s="62"/>
      <c r="H12" s="62"/>
      <c r="I12" s="62"/>
      <c r="J12" s="62"/>
    </row>
    <row r="13" spans="3:10" x14ac:dyDescent="0.2">
      <c r="C13" s="62"/>
      <c r="D13" s="62"/>
      <c r="E13" s="62"/>
      <c r="F13" s="62"/>
      <c r="G13" s="62"/>
      <c r="H13" s="62"/>
      <c r="I13" s="62"/>
      <c r="J13" s="62"/>
    </row>
    <row r="14" spans="3:10" x14ac:dyDescent="0.2">
      <c r="C14" s="62"/>
      <c r="D14" s="62"/>
      <c r="E14" s="62"/>
      <c r="F14" s="62"/>
      <c r="G14" s="62"/>
      <c r="H14" s="62"/>
      <c r="I14" s="62"/>
      <c r="J14" s="62"/>
    </row>
    <row r="15" spans="3:10" x14ac:dyDescent="0.2">
      <c r="C15" s="62"/>
      <c r="D15" s="62"/>
      <c r="E15" s="62"/>
      <c r="F15" s="62"/>
      <c r="G15" s="62"/>
      <c r="H15" s="62"/>
      <c r="I15" s="62"/>
      <c r="J15" s="62"/>
    </row>
    <row r="16" spans="3:10" x14ac:dyDescent="0.2">
      <c r="C16" s="62"/>
      <c r="D16" s="62"/>
      <c r="E16" s="62"/>
      <c r="F16" s="62"/>
      <c r="G16" s="62"/>
      <c r="H16" s="62"/>
      <c r="I16" s="62"/>
      <c r="J16" s="62"/>
    </row>
    <row r="17" spans="3:10" x14ac:dyDescent="0.2">
      <c r="C17" s="62"/>
      <c r="D17" s="62"/>
      <c r="E17" s="62"/>
      <c r="F17" s="62"/>
      <c r="G17" s="62"/>
      <c r="H17" s="62"/>
      <c r="I17" s="62"/>
      <c r="J17" s="62"/>
    </row>
    <row r="18" spans="3:10" x14ac:dyDescent="0.2">
      <c r="C18" s="62"/>
      <c r="D18" s="62"/>
      <c r="E18" s="62"/>
      <c r="F18" s="62"/>
      <c r="G18" s="62"/>
      <c r="H18" s="62"/>
      <c r="I18" s="62"/>
      <c r="J18" s="62"/>
    </row>
    <row r="19" spans="3:10" x14ac:dyDescent="0.2">
      <c r="C19" s="62"/>
      <c r="D19" s="62"/>
      <c r="E19" s="62"/>
      <c r="F19" s="62"/>
      <c r="G19" s="62"/>
      <c r="H19" s="62"/>
      <c r="I19" s="62"/>
      <c r="J19" s="62"/>
    </row>
    <row r="20" spans="3:10" x14ac:dyDescent="0.2">
      <c r="C20" s="62"/>
      <c r="D20" s="62"/>
      <c r="E20" s="62"/>
      <c r="F20" s="62"/>
      <c r="G20" s="62"/>
      <c r="H20" s="62"/>
      <c r="I20" s="62"/>
      <c r="J20" s="62"/>
    </row>
    <row r="21" spans="3:10" x14ac:dyDescent="0.2">
      <c r="C21" s="62"/>
      <c r="D21" s="62"/>
      <c r="E21" s="62"/>
      <c r="F21" s="62"/>
      <c r="G21" s="62"/>
      <c r="H21" s="62"/>
      <c r="I21" s="62"/>
      <c r="J21" s="62"/>
    </row>
    <row r="22" spans="3:10" x14ac:dyDescent="0.2">
      <c r="C22" s="62"/>
      <c r="D22" s="62"/>
      <c r="E22" s="62"/>
      <c r="F22" s="62"/>
      <c r="G22" s="62"/>
      <c r="H22" s="62"/>
      <c r="I22" s="62"/>
      <c r="J22" s="62"/>
    </row>
    <row r="23" spans="3:10" x14ac:dyDescent="0.2">
      <c r="C23" s="62"/>
      <c r="D23" s="62"/>
      <c r="E23" s="62"/>
      <c r="F23" s="62"/>
      <c r="G23" s="62"/>
      <c r="H23" s="62"/>
      <c r="I23" s="62"/>
      <c r="J23" s="62"/>
    </row>
    <row r="24" spans="3:10" x14ac:dyDescent="0.2">
      <c r="C24" s="62"/>
      <c r="D24" s="62"/>
      <c r="E24" s="62"/>
      <c r="F24" s="62"/>
      <c r="G24" s="62"/>
      <c r="H24" s="62"/>
      <c r="I24" s="62"/>
      <c r="J24" s="62"/>
    </row>
    <row r="25" spans="3:10" x14ac:dyDescent="0.2">
      <c r="C25" s="62"/>
      <c r="D25" s="62"/>
      <c r="E25" s="62"/>
      <c r="F25" s="62"/>
      <c r="G25" s="62"/>
      <c r="H25" s="62"/>
      <c r="I25" s="62"/>
      <c r="J25" s="62"/>
    </row>
    <row r="26" spans="3:10" x14ac:dyDescent="0.2">
      <c r="C26" s="62"/>
      <c r="D26" s="62"/>
      <c r="E26" s="62"/>
      <c r="F26" s="62"/>
      <c r="G26" s="62"/>
      <c r="H26" s="62"/>
      <c r="I26" s="62"/>
      <c r="J26" s="62"/>
    </row>
    <row r="27" spans="3:10" x14ac:dyDescent="0.2">
      <c r="C27" s="62"/>
      <c r="D27" s="62"/>
      <c r="E27" s="62"/>
      <c r="F27" s="62"/>
      <c r="G27" s="62"/>
      <c r="H27" s="62"/>
      <c r="I27" s="62"/>
      <c r="J27" s="62"/>
    </row>
    <row r="28" spans="3:10" x14ac:dyDescent="0.2">
      <c r="C28" s="62"/>
      <c r="D28" s="62"/>
      <c r="E28" s="62"/>
      <c r="F28" s="62"/>
      <c r="G28" s="62"/>
      <c r="H28" s="62"/>
      <c r="I28" s="62"/>
      <c r="J28" s="62"/>
    </row>
    <row r="29" spans="3:10" x14ac:dyDescent="0.2">
      <c r="C29" s="62"/>
      <c r="D29" s="62"/>
      <c r="E29" s="62"/>
      <c r="F29" s="62"/>
      <c r="G29" s="62"/>
      <c r="H29" s="62"/>
      <c r="I29" s="62"/>
      <c r="J29" s="62"/>
    </row>
    <row r="30" spans="3:10" x14ac:dyDescent="0.2">
      <c r="C30" s="62"/>
      <c r="D30" s="62"/>
      <c r="E30" s="62"/>
      <c r="F30" s="62"/>
      <c r="G30" s="62"/>
      <c r="H30" s="62"/>
      <c r="I30" s="62"/>
      <c r="J30" s="62"/>
    </row>
    <row r="31" spans="3:10" x14ac:dyDescent="0.2">
      <c r="C31" s="62"/>
      <c r="D31" s="62"/>
      <c r="E31" s="62"/>
      <c r="F31" s="62"/>
      <c r="G31" s="62"/>
      <c r="H31" s="62"/>
      <c r="I31" s="62"/>
      <c r="J31" s="62"/>
    </row>
    <row r="32" spans="3:10" x14ac:dyDescent="0.2">
      <c r="C32" s="62"/>
      <c r="D32" s="62"/>
      <c r="E32" s="62"/>
      <c r="F32" s="62"/>
      <c r="G32" s="62"/>
      <c r="H32" s="62"/>
      <c r="I32" s="62"/>
      <c r="J32" s="62"/>
    </row>
    <row r="33" spans="3:10" x14ac:dyDescent="0.2">
      <c r="C33" s="62"/>
      <c r="D33" s="62"/>
      <c r="E33" s="62"/>
      <c r="F33" s="62"/>
      <c r="G33" s="62"/>
      <c r="H33" s="62"/>
      <c r="I33" s="62"/>
      <c r="J33" s="62"/>
    </row>
    <row r="34" spans="3:10" x14ac:dyDescent="0.2">
      <c r="C34" s="62"/>
      <c r="D34" s="62"/>
      <c r="E34" s="62"/>
      <c r="F34" s="62"/>
      <c r="G34" s="62"/>
      <c r="H34" s="62"/>
      <c r="I34" s="62"/>
      <c r="J34" s="62"/>
    </row>
    <row r="35" spans="3:10" x14ac:dyDescent="0.2">
      <c r="C35" s="62"/>
      <c r="D35" s="62"/>
      <c r="E35" s="62"/>
      <c r="F35" s="62"/>
      <c r="G35" s="62"/>
      <c r="H35" s="62"/>
      <c r="I35" s="62"/>
      <c r="J35" s="62"/>
    </row>
    <row r="36" spans="3:10" x14ac:dyDescent="0.2">
      <c r="C36" s="62"/>
      <c r="D36" s="62"/>
      <c r="E36" s="62"/>
      <c r="F36" s="62"/>
      <c r="G36" s="62"/>
      <c r="H36" s="62"/>
      <c r="I36" s="62"/>
      <c r="J36" s="62"/>
    </row>
    <row r="37" spans="3:10" x14ac:dyDescent="0.2">
      <c r="C37" s="62"/>
      <c r="D37" s="62"/>
      <c r="E37" s="62"/>
      <c r="F37" s="62"/>
      <c r="G37" s="62"/>
      <c r="H37" s="62"/>
      <c r="I37" s="62"/>
      <c r="J37" s="62"/>
    </row>
    <row r="38" spans="3:10" x14ac:dyDescent="0.2">
      <c r="C38" s="62"/>
      <c r="D38" s="62"/>
      <c r="E38" s="62"/>
      <c r="F38" s="62"/>
      <c r="G38" s="62"/>
      <c r="H38" s="62"/>
      <c r="I38" s="62"/>
      <c r="J38" s="62"/>
    </row>
    <row r="39" spans="3:10" x14ac:dyDescent="0.2">
      <c r="C39" s="62"/>
      <c r="D39" s="62"/>
      <c r="E39" s="62"/>
      <c r="F39" s="62"/>
      <c r="G39" s="62"/>
      <c r="H39" s="62"/>
      <c r="I39" s="62"/>
      <c r="J39" s="62"/>
    </row>
    <row r="40" spans="3:10" x14ac:dyDescent="0.2">
      <c r="C40" s="62"/>
      <c r="D40" s="62"/>
      <c r="E40" s="62"/>
      <c r="F40" s="62"/>
      <c r="G40" s="62"/>
      <c r="H40" s="62"/>
      <c r="I40" s="62"/>
      <c r="J40" s="62"/>
    </row>
    <row r="41" spans="3:10" x14ac:dyDescent="0.2">
      <c r="C41" s="62"/>
      <c r="D41" s="62"/>
      <c r="E41" s="62"/>
      <c r="F41" s="62"/>
      <c r="G41" s="62"/>
      <c r="H41" s="62"/>
      <c r="I41" s="62"/>
      <c r="J41" s="62"/>
    </row>
    <row r="42" spans="3:10" x14ac:dyDescent="0.2">
      <c r="C42" s="62"/>
      <c r="D42" s="62"/>
      <c r="E42" s="62"/>
      <c r="F42" s="62"/>
      <c r="G42" s="62"/>
      <c r="H42" s="62"/>
      <c r="I42" s="62"/>
      <c r="J42" s="62"/>
    </row>
    <row r="43" spans="3:10" x14ac:dyDescent="0.2">
      <c r="C43" s="62"/>
      <c r="D43" s="62"/>
      <c r="E43" s="62"/>
      <c r="F43" s="62"/>
      <c r="G43" s="62"/>
      <c r="H43" s="62"/>
      <c r="I43" s="62"/>
      <c r="J43" s="62"/>
    </row>
    <row r="44" spans="3:10" x14ac:dyDescent="0.2">
      <c r="C44" s="62"/>
      <c r="D44" s="62"/>
      <c r="E44" s="62"/>
      <c r="F44" s="62"/>
      <c r="G44" s="62"/>
      <c r="H44" s="62"/>
      <c r="I44" s="62"/>
      <c r="J44" s="62"/>
    </row>
    <row r="45" spans="3:10" x14ac:dyDescent="0.2">
      <c r="C45" s="62"/>
      <c r="D45" s="62"/>
      <c r="E45" s="62"/>
      <c r="F45" s="62"/>
      <c r="G45" s="62"/>
      <c r="H45" s="62"/>
      <c r="I45" s="62"/>
      <c r="J45" s="62"/>
    </row>
    <row r="46" spans="3:10" x14ac:dyDescent="0.2">
      <c r="C46" s="62"/>
      <c r="D46" s="62"/>
      <c r="E46" s="62"/>
      <c r="F46" s="62"/>
      <c r="G46" s="62"/>
      <c r="H46" s="62"/>
      <c r="I46" s="62"/>
      <c r="J46" s="62"/>
    </row>
    <row r="47" spans="3:10" x14ac:dyDescent="0.2">
      <c r="C47" s="62"/>
      <c r="D47" s="62"/>
      <c r="E47" s="62"/>
      <c r="F47" s="62"/>
      <c r="G47" s="62"/>
      <c r="H47" s="62"/>
      <c r="I47" s="62"/>
      <c r="J47" s="62"/>
    </row>
    <row r="48" spans="3:10" x14ac:dyDescent="0.2">
      <c r="C48" s="62"/>
      <c r="D48" s="62"/>
      <c r="E48" s="62"/>
      <c r="F48" s="62"/>
      <c r="G48" s="62"/>
      <c r="H48" s="62"/>
      <c r="I48" s="62"/>
      <c r="J48" s="62"/>
    </row>
    <row r="49" spans="3:10" x14ac:dyDescent="0.2">
      <c r="C49" s="62"/>
      <c r="D49" s="62"/>
      <c r="E49" s="62"/>
      <c r="F49" s="62"/>
      <c r="G49" s="62"/>
      <c r="H49" s="62"/>
      <c r="I49" s="62"/>
      <c r="J49" s="62"/>
    </row>
    <row r="50" spans="3:10" x14ac:dyDescent="0.2">
      <c r="C50" s="62"/>
      <c r="D50" s="62"/>
      <c r="E50" s="62"/>
      <c r="F50" s="62"/>
      <c r="G50" s="62"/>
      <c r="H50" s="62"/>
      <c r="I50" s="62"/>
      <c r="J50" s="62"/>
    </row>
    <row r="51" spans="3:10" x14ac:dyDescent="0.2">
      <c r="C51" s="62"/>
      <c r="D51" s="62"/>
      <c r="E51" s="62"/>
      <c r="F51" s="62"/>
      <c r="G51" s="62"/>
      <c r="H51" s="62"/>
      <c r="I51" s="62"/>
      <c r="J51" s="62"/>
    </row>
    <row r="52" spans="3:10" x14ac:dyDescent="0.2">
      <c r="C52" s="62"/>
      <c r="D52" s="62"/>
      <c r="E52" s="62"/>
      <c r="F52" s="62"/>
      <c r="G52" s="62"/>
      <c r="H52" s="62"/>
      <c r="I52" s="62"/>
      <c r="J52" s="62"/>
    </row>
  </sheetData>
  <sheetProtection algorithmName="SHA-512" hashValue="kmrh6akiTmCU3SAqskB/QQPgeRi3iy1oFgb2GDDTlmwU9GEruWSo+onPCcO7kR0AzermSeJxuiUjhp22pGv1Vg==" saltValue="vf/R+FzUCQxu4wczvfuZA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Q72"/>
  <sheetViews>
    <sheetView showGridLines="0" topLeftCell="A43" zoomScale="80" zoomScaleNormal="80" workbookViewId="0">
      <selection activeCell="G79" sqref="G79"/>
    </sheetView>
  </sheetViews>
  <sheetFormatPr baseColWidth="10" defaultColWidth="11.42578125" defaultRowHeight="12.75" x14ac:dyDescent="0.2"/>
  <cols>
    <col min="1" max="1" width="12.28515625" style="72" bestFit="1" customWidth="1"/>
    <col min="2" max="9" width="11.42578125" style="72"/>
    <col min="10" max="11" width="13.28515625" style="72" customWidth="1"/>
    <col min="12" max="16384" width="11.42578125" style="72"/>
  </cols>
  <sheetData>
    <row r="1" spans="1:16" x14ac:dyDescent="0.2">
      <c r="J1" s="213"/>
      <c r="K1" s="216"/>
    </row>
    <row r="2" spans="1:16" x14ac:dyDescent="0.2">
      <c r="J2" s="213" t="s">
        <v>205</v>
      </c>
      <c r="K2" s="216"/>
    </row>
    <row r="4" spans="1:16" ht="19.5" customHeight="1" x14ac:dyDescent="0.2">
      <c r="I4" s="214" t="s">
        <v>0</v>
      </c>
      <c r="J4" s="940" t="str">
        <f>+'B) Reajuste Tarifas y Ocupación'!F5</f>
        <v>(DEPTO./DELEG.)</v>
      </c>
      <c r="K4" s="941"/>
    </row>
    <row r="6" spans="1:16" ht="12.75" customHeight="1" x14ac:dyDescent="0.2">
      <c r="A6" s="215" t="s">
        <v>122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2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x14ac:dyDescent="0.2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25.5" x14ac:dyDescent="0.2">
      <c r="A9" s="73" t="s">
        <v>290</v>
      </c>
      <c r="B9" s="73"/>
      <c r="C9" s="73"/>
      <c r="D9" s="73"/>
      <c r="E9" s="73"/>
      <c r="F9" s="73"/>
      <c r="G9" s="73"/>
      <c r="H9" s="73"/>
      <c r="I9" s="73"/>
    </row>
    <row r="10" spans="1:16" x14ac:dyDescent="0.2">
      <c r="A10" s="72" t="s">
        <v>284</v>
      </c>
    </row>
    <row r="11" spans="1:16" x14ac:dyDescent="0.2">
      <c r="A11" s="72" t="s">
        <v>285</v>
      </c>
    </row>
    <row r="12" spans="1:16" x14ac:dyDescent="0.2">
      <c r="A12" s="72" t="s">
        <v>286</v>
      </c>
    </row>
    <row r="13" spans="1:16" x14ac:dyDescent="0.2">
      <c r="A13" s="72" t="s">
        <v>287</v>
      </c>
    </row>
    <row r="14" spans="1:16" x14ac:dyDescent="0.2">
      <c r="A14" s="72" t="s">
        <v>288</v>
      </c>
    </row>
    <row r="15" spans="1:16" x14ac:dyDescent="0.2">
      <c r="A15" s="72" t="s">
        <v>289</v>
      </c>
    </row>
    <row r="18" spans="1:3" x14ac:dyDescent="0.2">
      <c r="A18" s="72" t="s">
        <v>291</v>
      </c>
    </row>
    <row r="19" spans="1:3" x14ac:dyDescent="0.2">
      <c r="A19" s="72" t="s">
        <v>361</v>
      </c>
    </row>
    <row r="21" spans="1:3" x14ac:dyDescent="0.2">
      <c r="A21" s="72" t="s">
        <v>292</v>
      </c>
    </row>
    <row r="22" spans="1:3" x14ac:dyDescent="0.2">
      <c r="A22" s="72" t="s">
        <v>293</v>
      </c>
    </row>
    <row r="23" spans="1:3" x14ac:dyDescent="0.2">
      <c r="A23" s="72" t="s">
        <v>294</v>
      </c>
      <c r="C23" s="72" t="s">
        <v>296</v>
      </c>
    </row>
    <row r="24" spans="1:3" x14ac:dyDescent="0.2">
      <c r="A24" s="72" t="s">
        <v>295</v>
      </c>
      <c r="C24" s="72" t="s">
        <v>297</v>
      </c>
    </row>
    <row r="26" spans="1:3" x14ac:dyDescent="0.2">
      <c r="A26" s="72" t="s">
        <v>298</v>
      </c>
    </row>
    <row r="27" spans="1:3" x14ac:dyDescent="0.2">
      <c r="A27" s="72" t="s">
        <v>302</v>
      </c>
    </row>
    <row r="28" spans="1:3" x14ac:dyDescent="0.2">
      <c r="A28" s="72" t="s">
        <v>299</v>
      </c>
    </row>
    <row r="29" spans="1:3" x14ac:dyDescent="0.2">
      <c r="A29" s="72" t="s">
        <v>300</v>
      </c>
    </row>
    <row r="30" spans="1:3" x14ac:dyDescent="0.2">
      <c r="A30" s="72" t="s">
        <v>301</v>
      </c>
    </row>
    <row r="32" spans="1:3" x14ac:dyDescent="0.2">
      <c r="A32" s="72" t="s">
        <v>303</v>
      </c>
    </row>
    <row r="33" spans="1:1" x14ac:dyDescent="0.2">
      <c r="A33" s="72" t="s">
        <v>304</v>
      </c>
    </row>
    <row r="34" spans="1:1" x14ac:dyDescent="0.2">
      <c r="A34" s="72" t="s">
        <v>306</v>
      </c>
    </row>
    <row r="35" spans="1:1" x14ac:dyDescent="0.2">
      <c r="A35" s="72" t="s">
        <v>305</v>
      </c>
    </row>
    <row r="40" spans="1:1" x14ac:dyDescent="0.2">
      <c r="A40" s="72" t="s">
        <v>307</v>
      </c>
    </row>
    <row r="41" spans="1:1" x14ac:dyDescent="0.2">
      <c r="A41" s="72" t="s">
        <v>294</v>
      </c>
    </row>
    <row r="47" spans="1:1" x14ac:dyDescent="0.2">
      <c r="A47" s="72" t="s">
        <v>309</v>
      </c>
    </row>
    <row r="48" spans="1:1" x14ac:dyDescent="0.2">
      <c r="A48" s="72" t="s">
        <v>311</v>
      </c>
    </row>
    <row r="49" spans="1:17" x14ac:dyDescent="0.2">
      <c r="A49" s="72" t="s">
        <v>310</v>
      </c>
    </row>
    <row r="52" spans="1:17" x14ac:dyDescent="0.2">
      <c r="A52" s="72" t="s">
        <v>312</v>
      </c>
    </row>
    <row r="53" spans="1:17" x14ac:dyDescent="0.2">
      <c r="A53" s="72" t="s">
        <v>313</v>
      </c>
    </row>
    <row r="54" spans="1:17" x14ac:dyDescent="0.2">
      <c r="A54" s="72" t="s">
        <v>314</v>
      </c>
    </row>
    <row r="57" spans="1:17" x14ac:dyDescent="0.2">
      <c r="A57" s="72" t="s">
        <v>322</v>
      </c>
    </row>
    <row r="58" spans="1:17" x14ac:dyDescent="0.2">
      <c r="H58" s="751" t="s">
        <v>364</v>
      </c>
      <c r="I58" s="751"/>
      <c r="J58" s="751"/>
      <c r="K58" s="751"/>
      <c r="L58" s="751"/>
      <c r="M58" s="751"/>
      <c r="N58" s="751"/>
      <c r="O58" s="751"/>
      <c r="P58" s="751"/>
      <c r="Q58" s="751"/>
    </row>
    <row r="59" spans="1:17" x14ac:dyDescent="0.2">
      <c r="A59" s="697" t="s">
        <v>323</v>
      </c>
      <c r="B59" s="697" t="s">
        <v>330</v>
      </c>
      <c r="C59" s="697" t="s">
        <v>328</v>
      </c>
      <c r="D59" s="697" t="s">
        <v>329</v>
      </c>
      <c r="H59" s="752"/>
      <c r="I59" s="752" t="s">
        <v>332</v>
      </c>
      <c r="J59" s="752" t="s">
        <v>333</v>
      </c>
      <c r="K59" s="752"/>
      <c r="L59" s="752"/>
      <c r="M59" s="752"/>
      <c r="N59" s="752"/>
      <c r="O59" s="751"/>
      <c r="P59" s="751"/>
      <c r="Q59" s="751"/>
    </row>
    <row r="60" spans="1:17" x14ac:dyDescent="0.2">
      <c r="A60" s="697" t="s">
        <v>324</v>
      </c>
      <c r="B60" s="697">
        <v>20</v>
      </c>
      <c r="C60" s="697">
        <v>1</v>
      </c>
      <c r="D60" s="697">
        <v>2</v>
      </c>
      <c r="H60" s="752" t="s">
        <v>331</v>
      </c>
      <c r="I60" s="753">
        <v>6600000</v>
      </c>
      <c r="J60" s="753">
        <v>550000</v>
      </c>
      <c r="K60" s="752" t="s">
        <v>334</v>
      </c>
      <c r="L60" s="752"/>
      <c r="M60" s="752"/>
      <c r="N60" s="754">
        <f>123800*5</f>
        <v>619000</v>
      </c>
      <c r="O60" s="751"/>
      <c r="P60" s="751"/>
      <c r="Q60" s="751"/>
    </row>
    <row r="61" spans="1:17" ht="76.5" x14ac:dyDescent="0.2">
      <c r="A61" s="697" t="s">
        <v>325</v>
      </c>
      <c r="B61" s="698">
        <v>14</v>
      </c>
      <c r="C61" s="697">
        <v>1</v>
      </c>
      <c r="D61" s="697">
        <v>1</v>
      </c>
      <c r="E61" s="699" t="s">
        <v>336</v>
      </c>
      <c r="H61" s="72" t="s">
        <v>335</v>
      </c>
    </row>
    <row r="62" spans="1:17" x14ac:dyDescent="0.2">
      <c r="A62" s="697" t="s">
        <v>326</v>
      </c>
      <c r="B62" s="697">
        <v>20</v>
      </c>
      <c r="C62" s="697">
        <v>1</v>
      </c>
      <c r="D62" s="697">
        <v>1</v>
      </c>
    </row>
    <row r="63" spans="1:17" x14ac:dyDescent="0.2">
      <c r="A63" s="697" t="s">
        <v>327</v>
      </c>
      <c r="B63" s="697">
        <v>20</v>
      </c>
      <c r="C63" s="697">
        <v>1</v>
      </c>
      <c r="D63" s="697">
        <v>1</v>
      </c>
    </row>
    <row r="64" spans="1:17" x14ac:dyDescent="0.2">
      <c r="A64" s="697"/>
      <c r="B64" s="697">
        <f>SUM(B60:B63)</f>
        <v>74</v>
      </c>
      <c r="C64" s="697">
        <f t="shared" ref="C64:D64" si="0">SUM(C60:C63)</f>
        <v>4</v>
      </c>
      <c r="D64" s="697">
        <f t="shared" si="0"/>
        <v>5</v>
      </c>
    </row>
    <row r="66" spans="1:8" x14ac:dyDescent="0.2">
      <c r="F66" s="700" t="s">
        <v>333</v>
      </c>
      <c r="G66" s="700" t="s">
        <v>329</v>
      </c>
      <c r="H66" s="700" t="s">
        <v>338</v>
      </c>
    </row>
    <row r="67" spans="1:8" x14ac:dyDescent="0.2">
      <c r="A67" s="697" t="s">
        <v>337</v>
      </c>
      <c r="B67" s="697">
        <v>16</v>
      </c>
      <c r="C67" s="697">
        <v>1</v>
      </c>
      <c r="D67" s="697">
        <v>3</v>
      </c>
      <c r="F67" s="701">
        <v>327700</v>
      </c>
      <c r="G67" s="701">
        <v>550000</v>
      </c>
      <c r="H67" s="701">
        <f>F67*2</f>
        <v>655400</v>
      </c>
    </row>
    <row r="68" spans="1:8" x14ac:dyDescent="0.2">
      <c r="F68" s="700"/>
      <c r="G68" s="700"/>
      <c r="H68" s="700" t="s">
        <v>339</v>
      </c>
    </row>
    <row r="69" spans="1:8" x14ac:dyDescent="0.2">
      <c r="B69" s="697"/>
      <c r="C69" s="697">
        <f>C67+C64</f>
        <v>5</v>
      </c>
      <c r="D69" s="697">
        <f>D67+D64</f>
        <v>8</v>
      </c>
      <c r="F69" s="700"/>
      <c r="G69" s="700"/>
      <c r="H69" s="700"/>
    </row>
    <row r="70" spans="1:8" x14ac:dyDescent="0.2">
      <c r="B70" s="697" t="s">
        <v>340</v>
      </c>
      <c r="C70" s="697">
        <v>2</v>
      </c>
      <c r="D70" s="697"/>
    </row>
    <row r="71" spans="1:8" x14ac:dyDescent="0.2">
      <c r="B71" s="697" t="s">
        <v>341</v>
      </c>
      <c r="C71" s="697">
        <v>1</v>
      </c>
      <c r="D71" s="697"/>
    </row>
    <row r="72" spans="1:8" x14ac:dyDescent="0.2">
      <c r="B72" s="697"/>
      <c r="C72" s="704">
        <f>SUM(C69:C71)</f>
        <v>8</v>
      </c>
      <c r="D72" s="704">
        <f>D69</f>
        <v>8</v>
      </c>
    </row>
  </sheetData>
  <mergeCells count="1">
    <mergeCell ref="J4:K4"/>
  </mergeCells>
  <pageMargins left="0.7" right="0.7" top="0.75" bottom="0.75" header="0.3" footer="0.3"/>
  <pageSetup paperSize="9" orientation="portrait" r:id="rId1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O25"/>
  <sheetViews>
    <sheetView tabSelected="1" zoomScale="90" zoomScaleNormal="90" workbookViewId="0">
      <selection activeCell="L24" sqref="L24"/>
    </sheetView>
  </sheetViews>
  <sheetFormatPr baseColWidth="10" defaultRowHeight="15" x14ac:dyDescent="0.25"/>
  <cols>
    <col min="1" max="1" width="38.140625" style="510" bestFit="1" customWidth="1"/>
    <col min="2" max="2" width="14.85546875" style="510" bestFit="1" customWidth="1"/>
    <col min="3" max="13" width="13.85546875" style="510" bestFit="1" customWidth="1"/>
    <col min="14" max="14" width="14.85546875" style="510" bestFit="1" customWidth="1"/>
    <col min="15" max="15" width="13.85546875" style="510" bestFit="1" customWidth="1"/>
    <col min="16" max="16384" width="11.42578125" style="510"/>
  </cols>
  <sheetData>
    <row r="2" spans="1:15" ht="15.75" x14ac:dyDescent="0.25">
      <c r="A2" s="1011" t="s">
        <v>268</v>
      </c>
      <c r="B2" s="1011"/>
      <c r="C2" s="1011"/>
      <c r="D2" s="1011"/>
    </row>
    <row r="4" spans="1:15" x14ac:dyDescent="0.25">
      <c r="A4" s="511" t="s">
        <v>276</v>
      </c>
      <c r="B4" s="512" t="s">
        <v>251</v>
      </c>
      <c r="C4" s="512" t="s">
        <v>252</v>
      </c>
      <c r="D4" s="512" t="s">
        <v>253</v>
      </c>
      <c r="E4" s="512" t="s">
        <v>254</v>
      </c>
      <c r="F4" s="512" t="s">
        <v>255</v>
      </c>
      <c r="G4" s="512" t="s">
        <v>256</v>
      </c>
      <c r="H4" s="512" t="s">
        <v>257</v>
      </c>
      <c r="I4" s="512" t="s">
        <v>258</v>
      </c>
      <c r="J4" s="512" t="s">
        <v>259</v>
      </c>
      <c r="K4" s="512" t="s">
        <v>260</v>
      </c>
      <c r="L4" s="512" t="s">
        <v>261</v>
      </c>
      <c r="M4" s="512" t="s">
        <v>262</v>
      </c>
    </row>
    <row r="5" spans="1:15" x14ac:dyDescent="0.25">
      <c r="A5" s="513" t="s">
        <v>269</v>
      </c>
      <c r="B5" s="514"/>
      <c r="C5" s="514"/>
      <c r="D5" s="514">
        <f>+'B) Reajuste Tarifas y Ocupación'!$I$25</f>
        <v>74</v>
      </c>
      <c r="E5" s="514">
        <f>+'B) Reajuste Tarifas y Ocupación'!$I$25</f>
        <v>74</v>
      </c>
      <c r="F5" s="514">
        <f>+'B) Reajuste Tarifas y Ocupación'!$I$25</f>
        <v>74</v>
      </c>
      <c r="G5" s="514">
        <f>+'B) Reajuste Tarifas y Ocupación'!$I$25</f>
        <v>74</v>
      </c>
      <c r="H5" s="514">
        <f>+'B) Reajuste Tarifas y Ocupación'!$I$25</f>
        <v>74</v>
      </c>
      <c r="I5" s="514">
        <f>+'B) Reajuste Tarifas y Ocupación'!$I$25</f>
        <v>74</v>
      </c>
      <c r="J5" s="514">
        <f>+'B) Reajuste Tarifas y Ocupación'!$I$25</f>
        <v>74</v>
      </c>
      <c r="K5" s="514">
        <f>+'B) Reajuste Tarifas y Ocupación'!$I$25</f>
        <v>74</v>
      </c>
      <c r="L5" s="514">
        <f>+'B) Reajuste Tarifas y Ocupación'!$I$25</f>
        <v>74</v>
      </c>
      <c r="M5" s="514">
        <f>+'B) Reajuste Tarifas y Ocupación'!$I$25</f>
        <v>74</v>
      </c>
    </row>
    <row r="6" spans="1:15" x14ac:dyDescent="0.25">
      <c r="A6" s="513" t="s">
        <v>270</v>
      </c>
      <c r="B6" s="514">
        <f>+COUNTA('F) Remuneraciones'!$C$11:$C$27)</f>
        <v>11</v>
      </c>
      <c r="C6" s="514">
        <f>+COUNTA('F) Remuneraciones'!$C$11:$C$27)</f>
        <v>11</v>
      </c>
      <c r="D6" s="514">
        <f>+COUNTA('F) Remuneraciones'!$C$11:$C$27)</f>
        <v>11</v>
      </c>
      <c r="E6" s="514">
        <f>+COUNTA('F) Remuneraciones'!$C$11:$C$27)</f>
        <v>11</v>
      </c>
      <c r="F6" s="514">
        <f>+COUNTA('F) Remuneraciones'!$C$11:$C$27)</f>
        <v>11</v>
      </c>
      <c r="G6" s="514">
        <f>+COUNTA('F) Remuneraciones'!$C$11:$C$27)</f>
        <v>11</v>
      </c>
      <c r="H6" s="514">
        <f>+COUNTA('F) Remuneraciones'!$C$11:$C$27)</f>
        <v>11</v>
      </c>
      <c r="I6" s="514">
        <f>+COUNTA('F) Remuneraciones'!$C$11:$C$27)</f>
        <v>11</v>
      </c>
      <c r="J6" s="514">
        <f>+COUNTA('F) Remuneraciones'!$C$11:$C$27)</f>
        <v>11</v>
      </c>
      <c r="K6" s="514">
        <f>+COUNTA('F) Remuneraciones'!$C$11:$C$27)</f>
        <v>11</v>
      </c>
      <c r="L6" s="514">
        <f>+COUNTA('F) Remuneraciones'!$C$11:$C$27)</f>
        <v>11</v>
      </c>
      <c r="M6" s="514">
        <f>+COUNTA('F) Remuneraciones'!$C$11:$C$27)</f>
        <v>11</v>
      </c>
    </row>
    <row r="7" spans="1:15" x14ac:dyDescent="0.25">
      <c r="A7" s="513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</row>
    <row r="8" spans="1:15" ht="30" x14ac:dyDescent="0.25">
      <c r="A8" s="516" t="str">
        <f>+'A) Resumen Ingresos y Egresos'!A21</f>
        <v>Jardín Infantil Pequeños Héroes</v>
      </c>
      <c r="B8" s="512" t="s">
        <v>251</v>
      </c>
      <c r="C8" s="512" t="s">
        <v>252</v>
      </c>
      <c r="D8" s="512" t="s">
        <v>253</v>
      </c>
      <c r="E8" s="512" t="s">
        <v>254</v>
      </c>
      <c r="F8" s="512" t="s">
        <v>255</v>
      </c>
      <c r="G8" s="512" t="s">
        <v>256</v>
      </c>
      <c r="H8" s="512" t="s">
        <v>257</v>
      </c>
      <c r="I8" s="512" t="s">
        <v>258</v>
      </c>
      <c r="J8" s="512" t="s">
        <v>259</v>
      </c>
      <c r="K8" s="512" t="s">
        <v>260</v>
      </c>
      <c r="L8" s="512" t="s">
        <v>261</v>
      </c>
      <c r="M8" s="512" t="s">
        <v>262</v>
      </c>
      <c r="N8" s="512" t="s">
        <v>271</v>
      </c>
    </row>
    <row r="9" spans="1:15" x14ac:dyDescent="0.25">
      <c r="A9" s="517" t="s">
        <v>263</v>
      </c>
      <c r="B9" s="518">
        <f>+'A) Resumen Ingresos y Egresos'!P30</f>
        <v>936800</v>
      </c>
      <c r="C9" s="518">
        <f>+'A) Resumen Ingresos y Egresos'!N30*0.7</f>
        <v>6173440</v>
      </c>
      <c r="D9" s="518">
        <f>+'A) Resumen Ingresos y Egresos'!N30*0.3+'A) Resumen Ingresos y Egresos'!O30*0.1</f>
        <v>11464960</v>
      </c>
      <c r="E9" s="518">
        <f>+'A) Resumen Ingresos y Egresos'!$O$30*0.1</f>
        <v>8819200</v>
      </c>
      <c r="F9" s="518">
        <f>+'A) Resumen Ingresos y Egresos'!$O$30*0.1</f>
        <v>8819200</v>
      </c>
      <c r="G9" s="518">
        <f>+'A) Resumen Ingresos y Egresos'!$O$30*0.1</f>
        <v>8819200</v>
      </c>
      <c r="H9" s="518">
        <f>+'A) Resumen Ingresos y Egresos'!$O$30*0.1</f>
        <v>8819200</v>
      </c>
      <c r="I9" s="518">
        <f>+'A) Resumen Ingresos y Egresos'!$O$30*0.1</f>
        <v>8819200</v>
      </c>
      <c r="J9" s="518">
        <f>+'A) Resumen Ingresos y Egresos'!$O$30*0.1</f>
        <v>8819200</v>
      </c>
      <c r="K9" s="518">
        <f>+'A) Resumen Ingresos y Egresos'!$O$30*0.1</f>
        <v>8819200</v>
      </c>
      <c r="L9" s="518">
        <f>+'A) Resumen Ingresos y Egresos'!$O$30*0.1</f>
        <v>8819200</v>
      </c>
      <c r="M9" s="518">
        <f>+'A) Resumen Ingresos y Egresos'!$O$30*0.1</f>
        <v>8819200</v>
      </c>
      <c r="N9" s="519">
        <f>SUM(B9:M9)</f>
        <v>97948000</v>
      </c>
    </row>
    <row r="10" spans="1:15" x14ac:dyDescent="0.25">
      <c r="A10" s="517" t="s">
        <v>264</v>
      </c>
      <c r="B10" s="518">
        <f>SUM('F) Remuneraciones'!$H$11:$H$27)/12</f>
        <v>4479743.8457777798</v>
      </c>
      <c r="C10" s="518">
        <f>SUM('F) Remuneraciones'!$H$11:$H$27)/12</f>
        <v>4479743.8457777798</v>
      </c>
      <c r="D10" s="518">
        <f>SUM('F) Remuneraciones'!$H$11:$H$27)/12</f>
        <v>4479743.8457777798</v>
      </c>
      <c r="E10" s="518">
        <f>SUM('F) Remuneraciones'!$H$11:$H$27)/12</f>
        <v>4479743.8457777798</v>
      </c>
      <c r="F10" s="518">
        <f>SUM('F) Remuneraciones'!$H$11:$H$27)/12</f>
        <v>4479743.8457777798</v>
      </c>
      <c r="G10" s="518">
        <f>SUM('F) Remuneraciones'!$H$11:$H$27)/12</f>
        <v>4479743.8457777798</v>
      </c>
      <c r="H10" s="518">
        <f>SUM('F) Remuneraciones'!$H$11:$H$27)/12</f>
        <v>4479743.8457777798</v>
      </c>
      <c r="I10" s="518">
        <f>SUM('F) Remuneraciones'!$H$11:$H$27)/12</f>
        <v>4479743.8457777798</v>
      </c>
      <c r="J10" s="518">
        <f>SUM('F) Remuneraciones'!$H$11:$H$27)/12</f>
        <v>4479743.8457777798</v>
      </c>
      <c r="K10" s="518">
        <f>SUM('F) Remuneraciones'!$H$11:$H$27)/12</f>
        <v>4479743.8457777798</v>
      </c>
      <c r="L10" s="518">
        <f>SUM('F) Remuneraciones'!$H$11:$H$27)/12</f>
        <v>4479743.8457777798</v>
      </c>
      <c r="M10" s="518">
        <f>SUM('F) Remuneraciones'!$H$11:$H$27)/12</f>
        <v>4479743.8457777798</v>
      </c>
      <c r="N10" s="519">
        <f t="shared" ref="N10:N12" si="0">SUM(B10:M10)</f>
        <v>53756926.149333358</v>
      </c>
    </row>
    <row r="11" spans="1:15" x14ac:dyDescent="0.25">
      <c r="A11" s="517" t="s">
        <v>265</v>
      </c>
      <c r="B11" s="518">
        <f>SUM('F) Remuneraciones'!I11:I27)*0.5</f>
        <v>1200000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f>SUM('F) Remuneraciones'!J11:J27*0.5)</f>
        <v>66199</v>
      </c>
      <c r="K11" s="518">
        <v>0</v>
      </c>
      <c r="L11" s="518">
        <v>0</v>
      </c>
      <c r="M11" s="518">
        <f>+B11+J11</f>
        <v>1266199</v>
      </c>
      <c r="N11" s="519">
        <f t="shared" si="0"/>
        <v>2532398</v>
      </c>
    </row>
    <row r="12" spans="1:15" x14ac:dyDescent="0.25">
      <c r="A12" s="517" t="s">
        <v>266</v>
      </c>
      <c r="B12" s="518">
        <f>(+'C) Costos Directos'!$H$75-'C) Costos Directos'!$D$14)*0.05</f>
        <v>1540520</v>
      </c>
      <c r="C12" s="518">
        <f>(+'C) Costos Directos'!$H$75-'C) Costos Directos'!$D$14)*0.05</f>
        <v>1540520</v>
      </c>
      <c r="D12" s="518">
        <f>(+'C) Costos Directos'!$H$75-'C) Costos Directos'!$D$14)*0.09</f>
        <v>2772936</v>
      </c>
      <c r="E12" s="518">
        <f>(+'C) Costos Directos'!$H$75-'C) Costos Directos'!$D$14)*0.09</f>
        <v>2772936</v>
      </c>
      <c r="F12" s="518">
        <f>(+'C) Costos Directos'!$H$75-'C) Costos Directos'!$D$14)*0.09</f>
        <v>2772936</v>
      </c>
      <c r="G12" s="518">
        <f>(+'C) Costos Directos'!$H$75-'C) Costos Directos'!$D$14)*0.09</f>
        <v>2772936</v>
      </c>
      <c r="H12" s="518">
        <f>(+'C) Costos Directos'!$H$75-'C) Costos Directos'!$D$14)*0.09</f>
        <v>2772936</v>
      </c>
      <c r="I12" s="518">
        <f>(+'C) Costos Directos'!$H$75-'C) Costos Directos'!$D$14)*0.09</f>
        <v>2772936</v>
      </c>
      <c r="J12" s="518">
        <f>(+'C) Costos Directos'!$H$75-'C) Costos Directos'!$D$14)*0.09</f>
        <v>2772936</v>
      </c>
      <c r="K12" s="518">
        <f>(+'C) Costos Directos'!$H$75-'C) Costos Directos'!$D$14)*0.09</f>
        <v>2772936</v>
      </c>
      <c r="L12" s="518">
        <f>(+'C) Costos Directos'!$H$75-'C) Costos Directos'!$D$14)*0.09</f>
        <v>2772936</v>
      </c>
      <c r="M12" s="518">
        <f>(+'C) Costos Directos'!$H$75-'C) Costos Directos'!$D$14)*0.09</f>
        <v>2772936</v>
      </c>
      <c r="N12" s="519">
        <f t="shared" si="0"/>
        <v>30810400</v>
      </c>
      <c r="O12" s="518"/>
    </row>
    <row r="13" spans="1:15" x14ac:dyDescent="0.25">
      <c r="A13" s="520" t="s">
        <v>272</v>
      </c>
      <c r="B13" s="521">
        <f t="shared" ref="B13:M13" si="1">+B9-B10-B11-B12</f>
        <v>-6283463.8457777798</v>
      </c>
      <c r="C13" s="521">
        <f t="shared" si="1"/>
        <v>153176.15422222018</v>
      </c>
      <c r="D13" s="521">
        <f t="shared" si="1"/>
        <v>4212280.1542222202</v>
      </c>
      <c r="E13" s="521">
        <f t="shared" si="1"/>
        <v>1566520.1542222202</v>
      </c>
      <c r="F13" s="521">
        <f t="shared" si="1"/>
        <v>1566520.1542222202</v>
      </c>
      <c r="G13" s="521">
        <f t="shared" si="1"/>
        <v>1566520.1542222202</v>
      </c>
      <c r="H13" s="521">
        <f t="shared" si="1"/>
        <v>1566520.1542222202</v>
      </c>
      <c r="I13" s="521">
        <f t="shared" si="1"/>
        <v>1566520.1542222202</v>
      </c>
      <c r="J13" s="521">
        <f t="shared" si="1"/>
        <v>1500321.1542222202</v>
      </c>
      <c r="K13" s="521">
        <f t="shared" si="1"/>
        <v>1566520.1542222202</v>
      </c>
      <c r="L13" s="521">
        <f t="shared" si="1"/>
        <v>1566520.1542222202</v>
      </c>
      <c r="M13" s="521">
        <f t="shared" si="1"/>
        <v>300321.15422222018</v>
      </c>
      <c r="N13" s="521">
        <f>+N9-N10-N11-N12</f>
        <v>10848275.850666642</v>
      </c>
      <c r="O13" s="518"/>
    </row>
    <row r="16" spans="1:15" x14ac:dyDescent="0.25">
      <c r="A16" s="511" t="s">
        <v>276</v>
      </c>
      <c r="B16" s="512" t="s">
        <v>251</v>
      </c>
      <c r="C16" s="512" t="s">
        <v>252</v>
      </c>
      <c r="D16" s="512" t="s">
        <v>253</v>
      </c>
      <c r="E16" s="512" t="s">
        <v>254</v>
      </c>
      <c r="F16" s="512" t="s">
        <v>255</v>
      </c>
      <c r="G16" s="512" t="s">
        <v>256</v>
      </c>
      <c r="H16" s="512" t="s">
        <v>257</v>
      </c>
      <c r="I16" s="512" t="s">
        <v>258</v>
      </c>
      <c r="J16" s="512" t="s">
        <v>259</v>
      </c>
      <c r="K16" s="512" t="s">
        <v>260</v>
      </c>
      <c r="L16" s="512" t="s">
        <v>261</v>
      </c>
      <c r="M16" s="512" t="s">
        <v>262</v>
      </c>
    </row>
    <row r="17" spans="1:14" x14ac:dyDescent="0.25">
      <c r="A17" s="513" t="s">
        <v>269</v>
      </c>
      <c r="B17" s="514"/>
      <c r="C17" s="514"/>
      <c r="D17" s="514">
        <f>+'B) Reajuste Tarifas y Ocupación'!$I$28</f>
        <v>8</v>
      </c>
      <c r="E17" s="514">
        <f>+'B) Reajuste Tarifas y Ocupación'!$I$28</f>
        <v>8</v>
      </c>
      <c r="F17" s="514">
        <f>+'B) Reajuste Tarifas y Ocupación'!$I$28</f>
        <v>8</v>
      </c>
      <c r="G17" s="514">
        <f>+'B) Reajuste Tarifas y Ocupación'!$I$28</f>
        <v>8</v>
      </c>
      <c r="H17" s="514">
        <f>+'B) Reajuste Tarifas y Ocupación'!$I$28</f>
        <v>8</v>
      </c>
      <c r="I17" s="514">
        <f>+'B) Reajuste Tarifas y Ocupación'!$I$28</f>
        <v>8</v>
      </c>
      <c r="J17" s="514">
        <f>+'B) Reajuste Tarifas y Ocupación'!$I$28</f>
        <v>8</v>
      </c>
      <c r="K17" s="514">
        <f>+'B) Reajuste Tarifas y Ocupación'!$I$28</f>
        <v>8</v>
      </c>
      <c r="L17" s="514">
        <f>+'B) Reajuste Tarifas y Ocupación'!$I$28</f>
        <v>8</v>
      </c>
      <c r="M17" s="514">
        <f>+'B) Reajuste Tarifas y Ocupación'!$I$28</f>
        <v>8</v>
      </c>
    </row>
    <row r="18" spans="1:14" x14ac:dyDescent="0.25">
      <c r="A18" s="513" t="s">
        <v>270</v>
      </c>
      <c r="B18" s="514">
        <f>+COUNTA('F) Remuneraciones'!$C$28:$C$35)</f>
        <v>4</v>
      </c>
      <c r="C18" s="514">
        <f>+COUNTA('F) Remuneraciones'!$C$28:$C$35)</f>
        <v>4</v>
      </c>
      <c r="D18" s="514">
        <f>+COUNTA('F) Remuneraciones'!$C$28:$C$35)</f>
        <v>4</v>
      </c>
      <c r="E18" s="514">
        <f>+COUNTA('F) Remuneraciones'!$C$28:$C$35)</f>
        <v>4</v>
      </c>
      <c r="F18" s="514">
        <f>+COUNTA('F) Remuneraciones'!$C$28:$C$35)</f>
        <v>4</v>
      </c>
      <c r="G18" s="514">
        <f>+COUNTA('F) Remuneraciones'!$C$28:$C$35)</f>
        <v>4</v>
      </c>
      <c r="H18" s="514">
        <f>+COUNTA('F) Remuneraciones'!$C$28:$C$35)</f>
        <v>4</v>
      </c>
      <c r="I18" s="514">
        <f>+COUNTA('F) Remuneraciones'!$C$28:$C$35)</f>
        <v>4</v>
      </c>
      <c r="J18" s="514">
        <f>+COUNTA('F) Remuneraciones'!$C$28:$C$35)</f>
        <v>4</v>
      </c>
      <c r="K18" s="514">
        <f>+COUNTA('F) Remuneraciones'!$C$28:$C$35)</f>
        <v>4</v>
      </c>
      <c r="L18" s="514">
        <f>+COUNTA('F) Remuneraciones'!$C$28:$C$35)</f>
        <v>4</v>
      </c>
      <c r="M18" s="514">
        <f>+COUNTA('F) Remuneraciones'!$C$28:$C$35)</f>
        <v>4</v>
      </c>
    </row>
    <row r="19" spans="1:14" x14ac:dyDescent="0.25">
      <c r="A19" s="513"/>
      <c r="B19" s="515"/>
      <c r="C19" s="515"/>
      <c r="D19" s="515"/>
      <c r="E19" s="515"/>
      <c r="F19" s="515"/>
      <c r="G19" s="515"/>
      <c r="H19" s="515"/>
      <c r="I19" s="515"/>
      <c r="J19" s="515"/>
      <c r="K19" s="515"/>
      <c r="L19" s="515"/>
      <c r="M19" s="515"/>
    </row>
    <row r="20" spans="1:14" ht="30" x14ac:dyDescent="0.25">
      <c r="A20" s="516" t="str">
        <f>+'A) Resumen Ingresos y Egresos'!A31</f>
        <v>Sala Cuna Pequeños Héroes</v>
      </c>
      <c r="B20" s="512" t="s">
        <v>251</v>
      </c>
      <c r="C20" s="512" t="s">
        <v>252</v>
      </c>
      <c r="D20" s="512" t="s">
        <v>253</v>
      </c>
      <c r="E20" s="512" t="s">
        <v>254</v>
      </c>
      <c r="F20" s="512" t="s">
        <v>255</v>
      </c>
      <c r="G20" s="512" t="s">
        <v>256</v>
      </c>
      <c r="H20" s="512" t="s">
        <v>257</v>
      </c>
      <c r="I20" s="512" t="s">
        <v>258</v>
      </c>
      <c r="J20" s="512" t="s">
        <v>259</v>
      </c>
      <c r="K20" s="512" t="s">
        <v>260</v>
      </c>
      <c r="L20" s="512" t="s">
        <v>261</v>
      </c>
      <c r="M20" s="512" t="s">
        <v>262</v>
      </c>
      <c r="N20" s="512" t="s">
        <v>271</v>
      </c>
    </row>
    <row r="21" spans="1:14" x14ac:dyDescent="0.25">
      <c r="A21" s="517" t="s">
        <v>263</v>
      </c>
      <c r="B21" s="518">
        <f>(+'A) Resumen Ingresos y Egresos'!$N$40)/12+('A) Resumen Ingresos y Egresos'!$O$40)/12</f>
        <v>2621600</v>
      </c>
      <c r="C21" s="518">
        <f>(+'A) Resumen Ingresos y Egresos'!$N$40)/12+('A) Resumen Ingresos y Egresos'!$O$40)/12</f>
        <v>2621600</v>
      </c>
      <c r="D21" s="518">
        <f>(+'A) Resumen Ingresos y Egresos'!$N$40)/12+('A) Resumen Ingresos y Egresos'!$O$40)/12</f>
        <v>2621600</v>
      </c>
      <c r="E21" s="518">
        <f>(+'A) Resumen Ingresos y Egresos'!$N$40)/12+('A) Resumen Ingresos y Egresos'!$O$40)/12</f>
        <v>2621600</v>
      </c>
      <c r="F21" s="518">
        <f>(+'A) Resumen Ingresos y Egresos'!$N$40)/12+('A) Resumen Ingresos y Egresos'!$O$40)/12</f>
        <v>2621600</v>
      </c>
      <c r="G21" s="518">
        <f>(+'A) Resumen Ingresos y Egresos'!$N$40)/12+('A) Resumen Ingresos y Egresos'!$O$40)/12</f>
        <v>2621600</v>
      </c>
      <c r="H21" s="518">
        <f>(+'A) Resumen Ingresos y Egresos'!$N$40)/12+('A) Resumen Ingresos y Egresos'!$O$40)/12</f>
        <v>2621600</v>
      </c>
      <c r="I21" s="518">
        <f>(+'A) Resumen Ingresos y Egresos'!$N$40)/12+('A) Resumen Ingresos y Egresos'!$O$40)/12</f>
        <v>2621600</v>
      </c>
      <c r="J21" s="518">
        <f>(+'A) Resumen Ingresos y Egresos'!$N$40)/12+('A) Resumen Ingresos y Egresos'!$O$40)/12</f>
        <v>2621600</v>
      </c>
      <c r="K21" s="518">
        <f>(+'A) Resumen Ingresos y Egresos'!$N$40)/12+('A) Resumen Ingresos y Egresos'!$O$40)/12</f>
        <v>2621600</v>
      </c>
      <c r="L21" s="518">
        <f>(+'A) Resumen Ingresos y Egresos'!$N$40)/12+('A) Resumen Ingresos y Egresos'!$O$40)/12</f>
        <v>2621600</v>
      </c>
      <c r="M21" s="518">
        <f>(+'A) Resumen Ingresos y Egresos'!$N$40)/12+('A) Resumen Ingresos y Egresos'!$O$40)/12</f>
        <v>2621600</v>
      </c>
      <c r="N21" s="519">
        <f>SUM(B21:M21)</f>
        <v>31459200</v>
      </c>
    </row>
    <row r="22" spans="1:14" x14ac:dyDescent="0.25">
      <c r="A22" s="517" t="s">
        <v>264</v>
      </c>
      <c r="B22" s="518">
        <f>SUM('F) Remuneraciones'!$H$28:$H$35)/12</f>
        <v>1767874.5960000001</v>
      </c>
      <c r="C22" s="518">
        <f>SUM('F) Remuneraciones'!$H$28:$H$35)/12</f>
        <v>1767874.5960000001</v>
      </c>
      <c r="D22" s="518">
        <f>SUM('F) Remuneraciones'!$H$28:$H$35)/12</f>
        <v>1767874.5960000001</v>
      </c>
      <c r="E22" s="518">
        <f>SUM('F) Remuneraciones'!$H$28:$H$35)/12</f>
        <v>1767874.5960000001</v>
      </c>
      <c r="F22" s="518">
        <f>SUM('F) Remuneraciones'!$H$28:$H$35)/12</f>
        <v>1767874.5960000001</v>
      </c>
      <c r="G22" s="518">
        <f>SUM('F) Remuneraciones'!$H$28:$H$35)/12</f>
        <v>1767874.5960000001</v>
      </c>
      <c r="H22" s="518">
        <f>SUM('F) Remuneraciones'!$H$28:$H$35)/12</f>
        <v>1767874.5960000001</v>
      </c>
      <c r="I22" s="518">
        <f>SUM('F) Remuneraciones'!$H$28:$H$35)/12</f>
        <v>1767874.5960000001</v>
      </c>
      <c r="J22" s="518">
        <f>SUM('F) Remuneraciones'!$H$28:$H$35)/12</f>
        <v>1767874.5960000001</v>
      </c>
      <c r="K22" s="518">
        <f>SUM('F) Remuneraciones'!$H$28:$H$35)/12</f>
        <v>1767874.5960000001</v>
      </c>
      <c r="L22" s="518">
        <f>SUM('F) Remuneraciones'!$H$28:$H$35)/12</f>
        <v>1767874.5960000001</v>
      </c>
      <c r="M22" s="518">
        <f>SUM('F) Remuneraciones'!$H$28:$H$35)/12</f>
        <v>1767874.5960000001</v>
      </c>
      <c r="N22" s="519">
        <f t="shared" ref="N22:N24" si="2">SUM(B22:M22)</f>
        <v>21214495.152000006</v>
      </c>
    </row>
    <row r="23" spans="1:14" x14ac:dyDescent="0.25">
      <c r="A23" s="517" t="s">
        <v>265</v>
      </c>
      <c r="B23" s="518">
        <f>SUM('F) Remuneraciones'!I28:I35)*0.5</f>
        <v>485000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f>SUM('F) Remuneraciones'!J28:J35)*0.5</f>
        <v>199243</v>
      </c>
      <c r="K23" s="518">
        <v>0</v>
      </c>
      <c r="L23" s="518">
        <v>0</v>
      </c>
      <c r="M23" s="518">
        <f>+B23+J23</f>
        <v>684243</v>
      </c>
      <c r="N23" s="519">
        <f t="shared" si="2"/>
        <v>1368486</v>
      </c>
    </row>
    <row r="24" spans="1:14" x14ac:dyDescent="0.25">
      <c r="A24" s="517" t="s">
        <v>266</v>
      </c>
      <c r="B24" s="518">
        <f>(+'C) Costos Directos'!$H$139-'C) Costos Directos'!$D$78)/12</f>
        <v>711816.66666666663</v>
      </c>
      <c r="C24" s="518">
        <f>(+'C) Costos Directos'!$H$139-'C) Costos Directos'!$D$78)/12</f>
        <v>711816.66666666663</v>
      </c>
      <c r="D24" s="518">
        <f>(+'C) Costos Directos'!$H$139-'C) Costos Directos'!$D$78)/12</f>
        <v>711816.66666666663</v>
      </c>
      <c r="E24" s="518">
        <f>(+'C) Costos Directos'!$H$139-'C) Costos Directos'!$D$78)/12</f>
        <v>711816.66666666663</v>
      </c>
      <c r="F24" s="518">
        <f>(+'C) Costos Directos'!$H$139-'C) Costos Directos'!$D$78)/12</f>
        <v>711816.66666666663</v>
      </c>
      <c r="G24" s="518">
        <f>(+'C) Costos Directos'!$H$139-'C) Costos Directos'!$D$78)/12</f>
        <v>711816.66666666663</v>
      </c>
      <c r="H24" s="518">
        <f>(+'C) Costos Directos'!$H$139-'C) Costos Directos'!$D$78)/12</f>
        <v>711816.66666666663</v>
      </c>
      <c r="I24" s="518">
        <f>(+'C) Costos Directos'!$H$139-'C) Costos Directos'!$D$78)/12</f>
        <v>711816.66666666663</v>
      </c>
      <c r="J24" s="518">
        <f>(+'C) Costos Directos'!$H$139-'C) Costos Directos'!$D$78)/12</f>
        <v>711816.66666666663</v>
      </c>
      <c r="K24" s="518">
        <f>(+'C) Costos Directos'!$H$139-'C) Costos Directos'!$D$78)/12</f>
        <v>711816.66666666663</v>
      </c>
      <c r="L24" s="518">
        <f>(+'C) Costos Directos'!$H$139-'C) Costos Directos'!$D$78)/12</f>
        <v>711816.66666666663</v>
      </c>
      <c r="M24" s="518">
        <f>(+'C) Costos Directos'!$H$139-'C) Costos Directos'!$D$78)/12</f>
        <v>711816.66666666663</v>
      </c>
      <c r="N24" s="519">
        <f t="shared" si="2"/>
        <v>8541800.0000000019</v>
      </c>
    </row>
    <row r="25" spans="1:14" x14ac:dyDescent="0.25">
      <c r="A25" s="520" t="s">
        <v>272</v>
      </c>
      <c r="B25" s="521">
        <f t="shared" ref="B25:M25" si="3">+B21-B22-B23-B24</f>
        <v>-343091.26266666676</v>
      </c>
      <c r="C25" s="521">
        <f t="shared" si="3"/>
        <v>141908.73733333324</v>
      </c>
      <c r="D25" s="521">
        <f t="shared" si="3"/>
        <v>141908.73733333324</v>
      </c>
      <c r="E25" s="521">
        <f t="shared" si="3"/>
        <v>141908.73733333324</v>
      </c>
      <c r="F25" s="521">
        <f t="shared" si="3"/>
        <v>141908.73733333324</v>
      </c>
      <c r="G25" s="521">
        <f t="shared" si="3"/>
        <v>141908.73733333324</v>
      </c>
      <c r="H25" s="521">
        <f t="shared" si="3"/>
        <v>141908.73733333324</v>
      </c>
      <c r="I25" s="521">
        <f t="shared" si="3"/>
        <v>141908.73733333324</v>
      </c>
      <c r="J25" s="521">
        <f t="shared" si="3"/>
        <v>-57334.262666666764</v>
      </c>
      <c r="K25" s="521">
        <f t="shared" si="3"/>
        <v>141908.73733333324</v>
      </c>
      <c r="L25" s="521">
        <f t="shared" si="3"/>
        <v>141908.73733333324</v>
      </c>
      <c r="M25" s="521">
        <f t="shared" si="3"/>
        <v>-542334.26266666676</v>
      </c>
      <c r="N25" s="521">
        <f>+N21-N22-N23-N24</f>
        <v>334418.84799999185</v>
      </c>
    </row>
  </sheetData>
  <sheetProtection algorithmName="SHA-512" hashValue="NvHZQt/nHIWaNV39jmmnPOoU5vrNud7t4plKeLpdqLEAAo6EimsfzvxMIs+GeuzYCLVd0SEZOYf7wHZkBGtPBg==" saltValue="jQlFyLirbSfWWsSsP7PapQ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B1:S56"/>
  <sheetViews>
    <sheetView showGridLines="0" topLeftCell="A16" zoomScale="80" zoomScaleNormal="80" workbookViewId="0">
      <selection activeCell="K59" sqref="K59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1"/>
    </row>
    <row r="2" spans="2:11" x14ac:dyDescent="0.2">
      <c r="H2" s="41" t="s">
        <v>84</v>
      </c>
    </row>
    <row r="5" spans="2:11" x14ac:dyDescent="0.2">
      <c r="B5" s="763" t="s">
        <v>167</v>
      </c>
      <c r="C5" s="763"/>
      <c r="D5" s="763"/>
      <c r="E5" s="763"/>
      <c r="F5" s="763"/>
    </row>
    <row r="7" spans="2:11" x14ac:dyDescent="0.2">
      <c r="C7" s="194" t="s">
        <v>152</v>
      </c>
      <c r="D7" s="194"/>
      <c r="E7" s="194"/>
      <c r="F7" s="194"/>
      <c r="G7" s="194"/>
      <c r="H7" s="194"/>
      <c r="I7" s="194"/>
      <c r="J7" s="194"/>
      <c r="K7" s="194"/>
    </row>
    <row r="9" spans="2:11" x14ac:dyDescent="0.2">
      <c r="C9" s="194" t="s">
        <v>153</v>
      </c>
      <c r="D9" s="194"/>
      <c r="E9" s="194"/>
      <c r="F9" s="194"/>
      <c r="G9" s="194"/>
      <c r="H9" s="194"/>
      <c r="I9" s="193"/>
      <c r="J9" s="193"/>
      <c r="K9" s="193"/>
    </row>
    <row r="11" spans="2:11" x14ac:dyDescent="0.2">
      <c r="B11" s="761" t="s">
        <v>168</v>
      </c>
      <c r="C11" s="761"/>
      <c r="D11" s="761"/>
      <c r="E11" s="761"/>
      <c r="F11" s="761"/>
    </row>
    <row r="13" spans="2:11" x14ac:dyDescent="0.2">
      <c r="C13" s="195" t="s">
        <v>154</v>
      </c>
      <c r="D13" s="195"/>
      <c r="E13" s="195"/>
      <c r="F13" s="195"/>
      <c r="G13" s="195"/>
      <c r="H13" s="195"/>
    </row>
    <row r="15" spans="2:11" x14ac:dyDescent="0.2">
      <c r="C15" s="195" t="s">
        <v>155</v>
      </c>
      <c r="D15" s="195"/>
      <c r="E15" s="195"/>
      <c r="F15" s="195"/>
      <c r="G15" s="195"/>
      <c r="H15" s="195"/>
      <c r="I15" s="193"/>
      <c r="J15" s="193"/>
      <c r="K15" s="193"/>
    </row>
    <row r="19" spans="2:16" x14ac:dyDescent="0.2">
      <c r="B19" s="761" t="s">
        <v>169</v>
      </c>
      <c r="C19" s="761"/>
      <c r="D19" s="761"/>
      <c r="E19" s="761"/>
      <c r="F19" s="761"/>
    </row>
    <row r="21" spans="2:16" x14ac:dyDescent="0.2">
      <c r="C21" s="195" t="s">
        <v>157</v>
      </c>
      <c r="D21" s="195"/>
      <c r="E21" s="195"/>
      <c r="F21" s="196"/>
      <c r="G21" s="196"/>
      <c r="H21" s="196"/>
    </row>
    <row r="22" spans="2:16" x14ac:dyDescent="0.2">
      <c r="C22" s="762"/>
      <c r="D22" s="762"/>
      <c r="E22" s="762"/>
      <c r="F22" s="762"/>
      <c r="G22" s="762"/>
      <c r="H22" s="762"/>
      <c r="I22" s="762"/>
      <c r="J22" s="762"/>
      <c r="K22" s="762"/>
    </row>
    <row r="24" spans="2:16" x14ac:dyDescent="0.2">
      <c r="B24" s="761" t="s">
        <v>170</v>
      </c>
      <c r="C24" s="761"/>
      <c r="D24" s="761"/>
      <c r="E24" s="761"/>
      <c r="F24" s="761"/>
    </row>
    <row r="26" spans="2:16" x14ac:dyDescent="0.2">
      <c r="C26" s="197" t="s">
        <v>158</v>
      </c>
      <c r="D26" s="197"/>
      <c r="E26" s="197"/>
      <c r="F26" s="197"/>
      <c r="G26" s="197"/>
      <c r="H26" s="197"/>
      <c r="I26" s="197"/>
      <c r="J26" s="197"/>
    </row>
    <row r="27" spans="2:16" ht="12.75" customHeight="1" x14ac:dyDescent="0.2">
      <c r="C27" s="764" t="s">
        <v>159</v>
      </c>
      <c r="D27" s="764"/>
      <c r="E27" s="764"/>
      <c r="F27" s="764"/>
      <c r="G27" s="764"/>
      <c r="H27" s="764"/>
      <c r="I27" s="764"/>
      <c r="J27" s="764"/>
      <c r="K27" s="764"/>
      <c r="L27" s="764"/>
      <c r="M27" s="764"/>
    </row>
    <row r="28" spans="2:16" ht="12.75" customHeight="1" x14ac:dyDescent="0.2">
      <c r="C28" s="764"/>
      <c r="D28" s="764"/>
      <c r="E28" s="764"/>
      <c r="F28" s="764"/>
      <c r="G28" s="764"/>
      <c r="H28" s="764"/>
      <c r="I28" s="764"/>
      <c r="J28" s="764"/>
      <c r="K28" s="764"/>
      <c r="L28" s="764"/>
      <c r="M28" s="764"/>
    </row>
    <row r="29" spans="2:16" ht="12.75" customHeight="1" x14ac:dyDescent="0.2">
      <c r="C29" s="197" t="s">
        <v>160</v>
      </c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6"/>
    </row>
    <row r="30" spans="2:16" ht="12.75" customHeight="1" x14ac:dyDescent="0.2"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6"/>
    </row>
    <row r="31" spans="2:16" ht="12.75" customHeight="1" x14ac:dyDescent="0.2">
      <c r="C31" s="201" t="s">
        <v>161</v>
      </c>
      <c r="D31" s="198"/>
      <c r="E31" s="198"/>
      <c r="F31" s="200"/>
      <c r="G31" s="198"/>
      <c r="H31" s="198"/>
      <c r="I31" s="198"/>
      <c r="J31" s="198"/>
      <c r="K31" s="198"/>
      <c r="L31" s="198"/>
      <c r="M31" s="198"/>
      <c r="N31" s="196"/>
      <c r="O31" s="196"/>
      <c r="P31" s="196"/>
    </row>
    <row r="32" spans="2:16" ht="12.75" customHeight="1" x14ac:dyDescent="0.2">
      <c r="C32" s="199"/>
      <c r="D32" s="199"/>
      <c r="E32" s="199"/>
      <c r="F32" s="199"/>
      <c r="G32" s="199"/>
      <c r="H32" s="199"/>
      <c r="I32" s="198"/>
      <c r="J32" s="198"/>
      <c r="K32" s="198"/>
      <c r="L32" s="198"/>
      <c r="M32" s="198"/>
      <c r="N32" s="196"/>
    </row>
    <row r="33" spans="2:19" ht="12.75" customHeight="1" x14ac:dyDescent="0.2">
      <c r="C33" s="765" t="s">
        <v>162</v>
      </c>
      <c r="D33" s="765"/>
      <c r="E33" s="765"/>
      <c r="F33" s="765"/>
      <c r="G33" s="765"/>
      <c r="H33" s="765"/>
      <c r="I33" s="765"/>
      <c r="J33" s="765"/>
      <c r="K33" s="765"/>
      <c r="L33" s="765"/>
      <c r="M33" s="765"/>
      <c r="N33" s="196"/>
    </row>
    <row r="34" spans="2:19" ht="12.75" customHeight="1" x14ac:dyDescent="0.2">
      <c r="C34" s="159"/>
      <c r="D34" s="159"/>
      <c r="E34" s="159"/>
      <c r="F34" s="159"/>
      <c r="G34" s="159"/>
      <c r="H34" s="159"/>
      <c r="I34" s="197"/>
      <c r="J34" s="197"/>
      <c r="K34" s="197"/>
      <c r="L34" s="197"/>
      <c r="M34" s="197"/>
      <c r="N34" s="196"/>
    </row>
    <row r="35" spans="2:19" ht="12.75" customHeight="1" x14ac:dyDescent="0.2">
      <c r="C35" s="198" t="s">
        <v>163</v>
      </c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6"/>
    </row>
    <row r="36" spans="2:19" ht="12.75" customHeight="1" x14ac:dyDescent="0.2">
      <c r="C36" s="199"/>
      <c r="D36" s="199"/>
      <c r="E36" s="199"/>
      <c r="F36" s="199"/>
      <c r="G36" s="199"/>
      <c r="H36" s="199"/>
      <c r="I36" s="198"/>
      <c r="J36" s="198"/>
      <c r="K36" s="198"/>
      <c r="L36" s="198"/>
      <c r="M36" s="198"/>
      <c r="N36" s="196"/>
    </row>
    <row r="37" spans="2:19" ht="12.75" customHeight="1" x14ac:dyDescent="0.2"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</row>
    <row r="38" spans="2:19" ht="12.75" customHeight="1" x14ac:dyDescent="0.2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</row>
    <row r="39" spans="2:19" ht="12.75" customHeight="1" x14ac:dyDescent="0.2">
      <c r="B39" s="201" t="s">
        <v>171</v>
      </c>
      <c r="C39" s="197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2:19" x14ac:dyDescent="0.2">
      <c r="O40" s="762"/>
      <c r="P40" s="762"/>
      <c r="Q40" s="762"/>
      <c r="R40" s="762"/>
      <c r="S40" s="762"/>
    </row>
    <row r="41" spans="2:19" x14ac:dyDescent="0.2">
      <c r="C41" s="766" t="s">
        <v>164</v>
      </c>
      <c r="D41" s="766"/>
      <c r="E41" s="766"/>
      <c r="F41" s="766"/>
    </row>
    <row r="42" spans="2:19" x14ac:dyDescent="0.2">
      <c r="C42" s="762"/>
      <c r="D42" s="762"/>
      <c r="E42" s="762"/>
      <c r="F42" s="762"/>
      <c r="G42" s="762"/>
      <c r="H42" s="762"/>
      <c r="I42" s="762"/>
      <c r="J42" s="762"/>
    </row>
    <row r="44" spans="2:19" x14ac:dyDescent="0.2">
      <c r="B44" s="761" t="s">
        <v>172</v>
      </c>
      <c r="C44" s="761"/>
      <c r="D44" s="761"/>
      <c r="E44" s="761"/>
      <c r="F44" s="761"/>
    </row>
    <row r="46" spans="2:19" x14ac:dyDescent="0.2">
      <c r="C46" s="202" t="s">
        <v>165</v>
      </c>
      <c r="D46" s="202"/>
      <c r="E46" s="202"/>
      <c r="F46" s="202"/>
      <c r="G46" s="202"/>
      <c r="H46" s="202"/>
      <c r="I46" s="202"/>
      <c r="J46" s="202"/>
      <c r="K46" s="203"/>
      <c r="L46" s="203"/>
      <c r="M46" s="203"/>
    </row>
    <row r="50" spans="2:13" x14ac:dyDescent="0.2">
      <c r="B50" s="761" t="s">
        <v>173</v>
      </c>
      <c r="C50" s="761"/>
      <c r="D50" s="761"/>
      <c r="E50" s="761"/>
      <c r="F50" s="761"/>
    </row>
    <row r="52" spans="2:13" x14ac:dyDescent="0.2">
      <c r="C52" s="197" t="s">
        <v>166</v>
      </c>
      <c r="D52" s="197"/>
      <c r="E52" s="197"/>
      <c r="F52" s="197"/>
      <c r="G52" s="196"/>
      <c r="H52" s="196"/>
      <c r="I52" s="196"/>
      <c r="J52" s="196"/>
      <c r="K52" s="196"/>
      <c r="L52" s="196"/>
      <c r="M52" s="196"/>
    </row>
    <row r="54" spans="2:13" x14ac:dyDescent="0.2">
      <c r="B54" s="196" t="s">
        <v>174</v>
      </c>
      <c r="C54" s="196"/>
    </row>
    <row r="56" spans="2:13" x14ac:dyDescent="0.2">
      <c r="B56" s="760" t="s">
        <v>267</v>
      </c>
      <c r="C56" s="760"/>
    </row>
  </sheetData>
  <sheetProtection algorithmName="SHA-512" hashValue="gsuTfhXdQ5Aq2LFo+5dSbz0yE3BoTjlYeFufxLMRBJUl7+n0QNnCocVKtPWQZsV+KKN68V3CCa2VhRp9pf7xGg==" saltValue="MEl+88ouKhomUMHnTTKWmQ==" spinCount="100000" sheet="1" objects="1" scenarios="1"/>
  <mergeCells count="13">
    <mergeCell ref="B5:F5"/>
    <mergeCell ref="C22:K22"/>
    <mergeCell ref="B50:F50"/>
    <mergeCell ref="C42:J42"/>
    <mergeCell ref="B44:F44"/>
    <mergeCell ref="C27:M28"/>
    <mergeCell ref="C33:M33"/>
    <mergeCell ref="C41:F41"/>
    <mergeCell ref="B56:C56"/>
    <mergeCell ref="B11:F11"/>
    <mergeCell ref="O40:S40"/>
    <mergeCell ref="B19:F19"/>
    <mergeCell ref="B24:F24"/>
  </mergeCells>
  <hyperlinks>
    <hyperlink ref="B5:F5" location="'A) Resumen Ingresos y Egresos'!Área_de_impresión" display="A) Resumen Ingresos y Egresos"/>
    <hyperlink ref="B11:F11" location="'B) Reajuste Tarifas y Ocupación'!A1" display="B) Reajuste Tarifas y Ocupación"/>
    <hyperlink ref="C7:F7" location="'A) Resumen Ingresos y Egresos'!A6" display="TABLA 1: RESUMEN DE INGRESOS Y EGRESOS DE CENTROS DE BENEFICIOS"/>
    <hyperlink ref="C9:F9" location="'A) Resumen Ingresos y Egresos'!A22" display="TABLA 2: DETALLE DE INGRESOS POR PRESTACIÓN Y SEGMENTO"/>
    <hyperlink ref="C13:F13" location="'B) Reajuste Tarifas y Ocupación'!A8" display="TABLA 3: REAJUSTE DE TARIFAS POR PRESTACIÓN Y SEGMENTO"/>
    <hyperlink ref="C15:H15" location="'B) Reajuste Tarifas y Ocupación'!A32" display="TABLA 4: METAS DE OCUPACIÓN POR PRESTACIÓN Y SEGMENTO"/>
    <hyperlink ref="B19:F19" location="'C) Costos Directos'!Área_de_impresión" display="C) Costos Directos"/>
    <hyperlink ref="C21:E21" location="'C) Costos Directos'!Área_de_impresión" display="TABLA 5: COSTOS DIRECTOS DE CENTROS DE BENEFICIOS"/>
    <hyperlink ref="C21:H21" location="'C) Costos Directos'!Área_de_impresión" display="TABLA 5: COSTOS DIRECTOS DE CENTROS DE BENEFICIOS"/>
    <hyperlink ref="C21" location="'C) Costos Directos'!A8" display="TABLA 5: COSTOS DIRECTOS DE CENTROS DE BENEFICIOS"/>
    <hyperlink ref="B24:F24" location="'D) Costos Indirectos'!A1" display="D) Costos Indirectos"/>
    <hyperlink ref="C26:J26" location="'D) Costos Indirectos'!A9" display="TABLA 6: REMUNERACIONES DEL PERSONAL LEY 18.712 ADMINISTRACION CENTRAL Y APOYO ADMINISTRATIVO ASISTENCIA EDUCACIONAL"/>
    <hyperlink ref="C27:M28" location="'D) Costos Indirectos'!M9" display="TABLA 7: DISTRIBUCION COSTOS REMUNERACIONES ADMINISTRACION CENTRAL Y APOYO ADMINISTRATIVO A. EDUCACIONAL"/>
    <hyperlink ref="C29:N29" location="'D) Costos Indirectos'!U9" display="TABLA 8: COSTOS DE OPERACION ADMINISTRACIÓN CENTRAL Y  APOYO ADMINISTRATIVO ASISTENCIA EDUCACIONAL"/>
    <hyperlink ref="C31:M31" location="'D) Costos Indirectos'!Z9" display="TABLA 9: RESUMEN DISTRIBUCION COSTOS REMUNERACIONES ADMINISTRACION CENTRAL Y APOYO ADMINISTRATIVO A. EDUCACIONAL"/>
    <hyperlink ref="C33:M33" location="'D) Costos Indirectos'!AG9" display="TABLA 10: RESUMEN DISTRIBUCION COSTOS OPERACIÓN ADMINISTRACION CENTRAL  Y APOYO ADMINISTRATIVO A. EDUCACIONAL"/>
    <hyperlink ref="C35:N35" location="'D) Costos Indirectos'!AN9" display="'D) Costos Indirectos'!AN9"/>
    <hyperlink ref="B39:C39" location="'E) Resumen Tarifado '!A1" display="E) Resumen Tarifado"/>
    <hyperlink ref="B44:F44" location="'F) Remuneraciones'!A1" display="F) Remuneraciones"/>
    <hyperlink ref="B50:F50" location="'G) Comparación Mercado'!A1" display="G) Comparación Mercado"/>
    <hyperlink ref="B54:C54" location="'H) Detalle Datos'!A1" display="H) Detalle Gastos"/>
    <hyperlink ref="C41:F41" location="'E) Resumen Tarifado '!A6" display="TABLA 12: RESUMEN DE TARIFADO"/>
    <hyperlink ref="C46:M46" location="'F) Remuneraciones'!B7" display="TABLA 13: REMUNERACIONES DEL PERSONAL LEY 18.712 DE CENTROS DE BENEFICIOS"/>
    <hyperlink ref="C52:M52" location="'G) Comparación Mercado'!A12" display="TABLA 14: COMPARACIÓN TARIFAS CON PRECIOS DE MERCADO"/>
    <hyperlink ref="B56" location="'I) Proyección mensual'!A1" display="i) Proyección Mensual"/>
    <hyperlink ref="B56:C56" location="'I) Proyección Mensual.'!A2" display="i) Proyección Mensual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M41"/>
  <sheetViews>
    <sheetView showGridLines="0" topLeftCell="A16" zoomScale="80" zoomScaleNormal="80" workbookViewId="0">
      <selection activeCell="K28" sqref="K28"/>
    </sheetView>
  </sheetViews>
  <sheetFormatPr baseColWidth="10" defaultColWidth="11.42578125" defaultRowHeight="12.75" x14ac:dyDescent="0.2"/>
  <cols>
    <col min="1" max="1" width="38.85546875" style="4" bestFit="1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20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1" t="s">
        <v>206</v>
      </c>
      <c r="F1" s="41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1" t="s">
        <v>199</v>
      </c>
      <c r="F2" s="41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69" t="s">
        <v>0</v>
      </c>
      <c r="D4" s="769"/>
      <c r="E4" s="770" t="s">
        <v>148</v>
      </c>
      <c r="F4" s="771"/>
      <c r="G4" s="772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04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89" t="s">
        <v>152</v>
      </c>
      <c r="B6" s="789"/>
      <c r="C6" s="789"/>
      <c r="D6" s="789"/>
      <c r="E6" s="4"/>
      <c r="F6" s="4"/>
      <c r="G6" s="9"/>
      <c r="H6" s="204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4"/>
      <c r="C7" s="44"/>
      <c r="E7" s="44"/>
      <c r="F7" s="44"/>
      <c r="G7" s="44"/>
      <c r="H7" s="44"/>
      <c r="I7" s="44"/>
      <c r="M7" s="45"/>
    </row>
    <row r="8" spans="1:247" ht="39" customHeight="1" x14ac:dyDescent="0.2">
      <c r="A8" s="225" t="s">
        <v>113</v>
      </c>
      <c r="B8" s="226" t="str">
        <f>+N19</f>
        <v>Ingreso por Matrícula</v>
      </c>
      <c r="C8" s="227" t="str">
        <f>+O19</f>
        <v>Ingreso por Mensualidad</v>
      </c>
      <c r="D8" s="227" t="s">
        <v>126</v>
      </c>
      <c r="E8" s="228" t="s">
        <v>82</v>
      </c>
      <c r="F8" s="229" t="s">
        <v>79</v>
      </c>
      <c r="G8" s="230" t="s">
        <v>80</v>
      </c>
      <c r="H8" s="231" t="s">
        <v>107</v>
      </c>
      <c r="I8" s="232" t="s">
        <v>112</v>
      </c>
      <c r="L8" s="52" t="s">
        <v>111</v>
      </c>
      <c r="N8" s="79"/>
    </row>
    <row r="9" spans="1:247" x14ac:dyDescent="0.2">
      <c r="A9" s="233" t="str">
        <f>+'B) Reajuste Tarifas y Ocupación'!A12</f>
        <v>Jardín Infantil Pequeños Héroes</v>
      </c>
      <c r="B9" s="234">
        <f>+N30</f>
        <v>8819200</v>
      </c>
      <c r="C9" s="235">
        <f>+O30</f>
        <v>88192000</v>
      </c>
      <c r="D9" s="234">
        <f>+P30</f>
        <v>936800</v>
      </c>
      <c r="E9" s="236">
        <f>+B9+D9+C9</f>
        <v>97948000</v>
      </c>
      <c r="F9" s="237">
        <f>+'C) Costos Directos'!H75</f>
        <v>84175437.765333354</v>
      </c>
      <c r="G9" s="238">
        <f>+'D) Costos Indirectos'!$AP$15*(F9/$F$12)</f>
        <v>25562037.932</v>
      </c>
      <c r="H9" s="239">
        <f>+F9+G9</f>
        <v>109737475.69733335</v>
      </c>
      <c r="I9" s="240">
        <f>E9-H9</f>
        <v>-11789475.697333351</v>
      </c>
      <c r="L9" s="70">
        <f>+IFERROR(G9/$G$12,0)</f>
        <v>0.73005444877502357</v>
      </c>
      <c r="N9" s="80"/>
    </row>
    <row r="10" spans="1:247" x14ac:dyDescent="0.2">
      <c r="A10" s="319" t="s">
        <v>237</v>
      </c>
      <c r="B10" s="234">
        <f>+N33+'A) Resumen Ingresos y Egresos'!N39</f>
        <v>0</v>
      </c>
      <c r="C10" s="235">
        <f>O33+O39</f>
        <v>31459200</v>
      </c>
      <c r="D10" s="451"/>
      <c r="E10" s="236">
        <f>+B10+D10+C10</f>
        <v>31459200</v>
      </c>
      <c r="F10" s="237">
        <f>'C) Costos Directos'!H139</f>
        <v>31124781.152000003</v>
      </c>
      <c r="G10" s="238">
        <f>+'D) Costos Indirectos'!$AP$15*(F10/$F$12)</f>
        <v>9451840.7929241136</v>
      </c>
      <c r="H10" s="239">
        <f>+F10+G10</f>
        <v>40576621.944924116</v>
      </c>
      <c r="I10" s="240">
        <f t="shared" ref="I10" si="0">E10-H10</f>
        <v>-9117421.9449241161</v>
      </c>
      <c r="L10" s="70">
        <f>+IFERROR(G10/$G$12,0)</f>
        <v>0.26994555122497638</v>
      </c>
      <c r="N10" s="80"/>
    </row>
    <row r="11" spans="1:247" x14ac:dyDescent="0.2">
      <c r="A11" s="319" t="s">
        <v>238</v>
      </c>
      <c r="B11" s="488"/>
      <c r="C11" s="489"/>
      <c r="D11" s="451"/>
      <c r="E11" s="490"/>
      <c r="F11" s="491"/>
      <c r="G11" s="492"/>
      <c r="H11" s="493"/>
      <c r="I11" s="494"/>
      <c r="L11" s="70">
        <f>+IFERROR(G11/$G$12,0)</f>
        <v>0</v>
      </c>
      <c r="N11" s="80"/>
    </row>
    <row r="12" spans="1:247" s="6" customFormat="1" ht="15.75" thickBot="1" x14ac:dyDescent="0.25">
      <c r="A12" s="241" t="s">
        <v>1</v>
      </c>
      <c r="B12" s="242">
        <f>SUM(B9:B11)</f>
        <v>8819200</v>
      </c>
      <c r="C12" s="242">
        <f t="shared" ref="C12:G12" si="1">SUM(C9:C11)</f>
        <v>119651200</v>
      </c>
      <c r="D12" s="242">
        <f t="shared" si="1"/>
        <v>936800</v>
      </c>
      <c r="E12" s="242">
        <f t="shared" si="1"/>
        <v>129407200</v>
      </c>
      <c r="F12" s="242">
        <f t="shared" si="1"/>
        <v>115300218.91733336</v>
      </c>
      <c r="G12" s="242">
        <f t="shared" si="1"/>
        <v>35013878.724924117</v>
      </c>
      <c r="H12" s="242">
        <f>SUM(H9:H11)</f>
        <v>150314097.64225745</v>
      </c>
      <c r="I12" s="242">
        <f>SUM(I9:I11)</f>
        <v>-20906897.642257467</v>
      </c>
      <c r="L12" s="71">
        <f>SUM(L9:L11)</f>
        <v>1</v>
      </c>
      <c r="N12" s="45"/>
      <c r="O12" s="217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2"/>
      <c r="D13" s="12"/>
      <c r="E13" s="12"/>
      <c r="F13" s="12"/>
      <c r="G13" s="70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18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789" t="s">
        <v>153</v>
      </c>
      <c r="B17" s="789"/>
      <c r="C17" s="789"/>
      <c r="D17" s="789"/>
      <c r="E17" s="12"/>
      <c r="F17" s="12"/>
      <c r="G17" s="12"/>
      <c r="H17" s="12"/>
      <c r="I17" s="12"/>
      <c r="J17" s="12"/>
      <c r="K17" s="12"/>
      <c r="L17" s="12"/>
      <c r="M17" s="12"/>
      <c r="N17" s="12"/>
      <c r="IB17" s="4"/>
      <c r="IC17" s="4"/>
      <c r="ID17" s="4"/>
      <c r="IE17" s="4"/>
      <c r="IF17" s="4"/>
      <c r="IG17" s="4"/>
      <c r="IH17" s="4"/>
    </row>
    <row r="18" spans="1:247" s="14" customFormat="1" ht="13.5" thickBot="1" x14ac:dyDescent="0.25">
      <c r="B18" s="44"/>
      <c r="C18" s="44"/>
      <c r="D18" s="44"/>
      <c r="E18" s="44"/>
      <c r="F18" s="44"/>
      <c r="G18" s="44"/>
      <c r="H18" s="44"/>
      <c r="I18" s="13"/>
      <c r="J18" s="13"/>
      <c r="K18" s="13"/>
      <c r="L18" s="3"/>
      <c r="M18" s="3"/>
      <c r="O18" s="15"/>
      <c r="P18" s="15"/>
      <c r="IL18" s="10"/>
      <c r="IM18" s="10"/>
    </row>
    <row r="19" spans="1:247" s="16" customFormat="1" ht="15.75" customHeight="1" x14ac:dyDescent="0.2">
      <c r="A19" s="790" t="s">
        <v>113</v>
      </c>
      <c r="B19" s="792" t="s">
        <v>5</v>
      </c>
      <c r="C19" s="773" t="s">
        <v>2</v>
      </c>
      <c r="D19" s="775" t="s">
        <v>241</v>
      </c>
      <c r="E19" s="776"/>
      <c r="F19" s="776"/>
      <c r="G19" s="776"/>
      <c r="H19" s="777"/>
      <c r="I19" s="778" t="s">
        <v>242</v>
      </c>
      <c r="J19" s="779"/>
      <c r="K19" s="779"/>
      <c r="L19" s="779"/>
      <c r="M19" s="780"/>
      <c r="N19" s="783" t="s">
        <v>89</v>
      </c>
      <c r="O19" s="785" t="s">
        <v>90</v>
      </c>
      <c r="P19" s="781" t="s">
        <v>126</v>
      </c>
      <c r="Q19" s="787" t="s">
        <v>106</v>
      </c>
    </row>
    <row r="20" spans="1:247" s="16" customFormat="1" ht="39" thickBot="1" x14ac:dyDescent="0.25">
      <c r="A20" s="791"/>
      <c r="B20" s="793"/>
      <c r="C20" s="774"/>
      <c r="D20" s="387" t="s">
        <v>86</v>
      </c>
      <c r="E20" s="388" t="s">
        <v>142</v>
      </c>
      <c r="F20" s="388" t="s">
        <v>143</v>
      </c>
      <c r="G20" s="388" t="s">
        <v>87</v>
      </c>
      <c r="H20" s="389" t="s">
        <v>88</v>
      </c>
      <c r="I20" s="631" t="s">
        <v>86</v>
      </c>
      <c r="J20" s="388" t="s">
        <v>142</v>
      </c>
      <c r="K20" s="388" t="s">
        <v>143</v>
      </c>
      <c r="L20" s="388" t="s">
        <v>87</v>
      </c>
      <c r="M20" s="452" t="s">
        <v>88</v>
      </c>
      <c r="N20" s="784"/>
      <c r="O20" s="786"/>
      <c r="P20" s="782"/>
      <c r="Q20" s="788"/>
    </row>
    <row r="21" spans="1:247" ht="12.75" customHeight="1" x14ac:dyDescent="0.2">
      <c r="A21" s="798" t="str">
        <f>+'B) Reajuste Tarifas y Ocupación'!A12</f>
        <v>Jardín Infantil Pequeños Héroes</v>
      </c>
      <c r="B21" s="801" t="str">
        <f>+'B) Reajuste Tarifas y Ocupación'!B12</f>
        <v>Media jornada</v>
      </c>
      <c r="C21" s="471" t="s">
        <v>243</v>
      </c>
      <c r="D21" s="346">
        <f t="shared" ref="D21:F22" si="2">+I21</f>
        <v>74300</v>
      </c>
      <c r="E21" s="350">
        <f t="shared" si="2"/>
        <v>89100</v>
      </c>
      <c r="F21" s="350">
        <f t="shared" si="2"/>
        <v>89100</v>
      </c>
      <c r="G21" s="350">
        <f t="shared" ref="G21:H22" si="3">+L21</f>
        <v>127300</v>
      </c>
      <c r="H21" s="351">
        <f t="shared" si="3"/>
        <v>187200</v>
      </c>
      <c r="I21" s="632">
        <f>+'B) Reajuste Tarifas y Ocupación'!M12</f>
        <v>74300</v>
      </c>
      <c r="J21" s="350">
        <f>+'B) Reajuste Tarifas y Ocupación'!N12</f>
        <v>89100</v>
      </c>
      <c r="K21" s="350">
        <f>+'B) Reajuste Tarifas y Ocupación'!O12</f>
        <v>89100</v>
      </c>
      <c r="L21" s="350">
        <f>+'B) Reajuste Tarifas y Ocupación'!P12</f>
        <v>127300</v>
      </c>
      <c r="M21" s="628">
        <f>+'B) Reajuste Tarifas y Ocupación'!Q12</f>
        <v>187200</v>
      </c>
      <c r="N21" s="645"/>
      <c r="O21" s="655"/>
      <c r="P21" s="664">
        <f>+'B) Reajuste Tarifas y Ocupación'!C12</f>
        <v>70200</v>
      </c>
      <c r="Q21" s="767"/>
    </row>
    <row r="22" spans="1:247" x14ac:dyDescent="0.2">
      <c r="A22" s="799"/>
      <c r="B22" s="802"/>
      <c r="C22" s="221" t="s">
        <v>7</v>
      </c>
      <c r="D22" s="358">
        <f t="shared" si="2"/>
        <v>7</v>
      </c>
      <c r="E22" s="354">
        <f t="shared" si="2"/>
        <v>1</v>
      </c>
      <c r="F22" s="354">
        <f t="shared" si="2"/>
        <v>0</v>
      </c>
      <c r="G22" s="354">
        <f t="shared" si="3"/>
        <v>0</v>
      </c>
      <c r="H22" s="355">
        <f t="shared" si="3"/>
        <v>0</v>
      </c>
      <c r="I22" s="633">
        <f>+'B) Reajuste Tarifas y Ocupación'!C23</f>
        <v>7</v>
      </c>
      <c r="J22" s="354">
        <f>+'B) Reajuste Tarifas y Ocupación'!D23</f>
        <v>1</v>
      </c>
      <c r="K22" s="354">
        <f>+'B) Reajuste Tarifas y Ocupación'!E23</f>
        <v>0</v>
      </c>
      <c r="L22" s="354">
        <f>+'B) Reajuste Tarifas y Ocupación'!F23</f>
        <v>0</v>
      </c>
      <c r="M22" s="396">
        <f>+'B) Reajuste Tarifas y Ocupación'!G23</f>
        <v>0</v>
      </c>
      <c r="N22" s="646"/>
      <c r="O22" s="656"/>
      <c r="P22" s="665">
        <v>0</v>
      </c>
      <c r="Q22" s="768"/>
    </row>
    <row r="23" spans="1:247" ht="13.5" thickBot="1" x14ac:dyDescent="0.25">
      <c r="A23" s="799"/>
      <c r="B23" s="803"/>
      <c r="C23" s="222" t="s">
        <v>9</v>
      </c>
      <c r="D23" s="223">
        <f>D22*D21</f>
        <v>520100</v>
      </c>
      <c r="E23" s="357">
        <f>E22*E21</f>
        <v>89100</v>
      </c>
      <c r="F23" s="357">
        <f t="shared" ref="F23" si="4">F22*F21</f>
        <v>0</v>
      </c>
      <c r="G23" s="357">
        <f t="shared" ref="G23:H23" si="5">G22*G21</f>
        <v>0</v>
      </c>
      <c r="H23" s="224">
        <f t="shared" si="5"/>
        <v>0</v>
      </c>
      <c r="I23" s="634">
        <f>I22*I21*10</f>
        <v>5201000</v>
      </c>
      <c r="J23" s="619">
        <f t="shared" ref="J23:M23" si="6">J22*J21*10</f>
        <v>891000</v>
      </c>
      <c r="K23" s="619">
        <f t="shared" ref="K23" si="7">K22*K21*10</f>
        <v>0</v>
      </c>
      <c r="L23" s="619">
        <f t="shared" si="6"/>
        <v>0</v>
      </c>
      <c r="M23" s="620">
        <f t="shared" si="6"/>
        <v>0</v>
      </c>
      <c r="N23" s="647">
        <f>SUM(D23:H23)</f>
        <v>609200</v>
      </c>
      <c r="O23" s="657">
        <f>SUM(I23:M23)</f>
        <v>6092000</v>
      </c>
      <c r="P23" s="666">
        <f>P22*P21</f>
        <v>0</v>
      </c>
      <c r="Q23" s="660">
        <f>N23+O23+P23</f>
        <v>6701200</v>
      </c>
    </row>
    <row r="24" spans="1:247" x14ac:dyDescent="0.2">
      <c r="A24" s="799"/>
      <c r="B24" s="794" t="s">
        <v>213</v>
      </c>
      <c r="C24" s="471" t="s">
        <v>243</v>
      </c>
      <c r="D24" s="346">
        <f t="shared" ref="D24:D25" si="8">+I24</f>
        <v>106200</v>
      </c>
      <c r="E24" s="350">
        <f t="shared" ref="E24:E25" si="9">+J24</f>
        <v>127400</v>
      </c>
      <c r="F24" s="350">
        <f t="shared" ref="F24:F25" si="10">+K24</f>
        <v>127400</v>
      </c>
      <c r="G24" s="350">
        <f t="shared" ref="G24:G25" si="11">+L24</f>
        <v>173100</v>
      </c>
      <c r="H24" s="351">
        <f t="shared" ref="H24:H25" si="12">+M24</f>
        <v>270000</v>
      </c>
      <c r="I24" s="632">
        <f>+'B) Reajuste Tarifas y Ocupación'!M13</f>
        <v>106200</v>
      </c>
      <c r="J24" s="350">
        <f>+'B) Reajuste Tarifas y Ocupación'!N13</f>
        <v>127400</v>
      </c>
      <c r="K24" s="350">
        <f>+'B) Reajuste Tarifas y Ocupación'!O13</f>
        <v>127400</v>
      </c>
      <c r="L24" s="350">
        <f>+'B) Reajuste Tarifas y Ocupación'!P13</f>
        <v>173100</v>
      </c>
      <c r="M24" s="628">
        <f>+'B) Reajuste Tarifas y Ocupación'!Q13</f>
        <v>270000</v>
      </c>
      <c r="N24" s="645"/>
      <c r="O24" s="655"/>
      <c r="P24" s="664">
        <f>+'B) Reajuste Tarifas y Ocupación'!C13</f>
        <v>100400</v>
      </c>
      <c r="Q24" s="767"/>
    </row>
    <row r="25" spans="1:247" x14ac:dyDescent="0.2">
      <c r="A25" s="799"/>
      <c r="B25" s="795"/>
      <c r="C25" s="221" t="s">
        <v>7</v>
      </c>
      <c r="D25" s="358">
        <f t="shared" si="8"/>
        <v>2</v>
      </c>
      <c r="E25" s="354">
        <f t="shared" si="9"/>
        <v>0</v>
      </c>
      <c r="F25" s="354">
        <f t="shared" si="10"/>
        <v>0</v>
      </c>
      <c r="G25" s="354">
        <f t="shared" si="11"/>
        <v>0</v>
      </c>
      <c r="H25" s="355">
        <f t="shared" si="12"/>
        <v>0</v>
      </c>
      <c r="I25" s="633">
        <f>+'B) Reajuste Tarifas y Ocupación'!C24</f>
        <v>2</v>
      </c>
      <c r="J25" s="354">
        <f>+'B) Reajuste Tarifas y Ocupación'!D24</f>
        <v>0</v>
      </c>
      <c r="K25" s="354">
        <f>+'B) Reajuste Tarifas y Ocupación'!E24</f>
        <v>0</v>
      </c>
      <c r="L25" s="354">
        <f>+'B) Reajuste Tarifas y Ocupación'!F24</f>
        <v>0</v>
      </c>
      <c r="M25" s="396">
        <f>+'B) Reajuste Tarifas y Ocupación'!G24</f>
        <v>0</v>
      </c>
      <c r="N25" s="646"/>
      <c r="O25" s="656"/>
      <c r="P25" s="665">
        <v>0</v>
      </c>
      <c r="Q25" s="768"/>
    </row>
    <row r="26" spans="1:247" ht="13.5" thickBot="1" x14ac:dyDescent="0.25">
      <c r="A26" s="799"/>
      <c r="B26" s="796"/>
      <c r="C26" s="222" t="s">
        <v>9</v>
      </c>
      <c r="D26" s="223">
        <f>D25*D24</f>
        <v>212400</v>
      </c>
      <c r="E26" s="357">
        <f>E25*E24</f>
        <v>0</v>
      </c>
      <c r="F26" s="357">
        <f t="shared" ref="F26:H26" si="13">F25*F24</f>
        <v>0</v>
      </c>
      <c r="G26" s="357">
        <f t="shared" si="13"/>
        <v>0</v>
      </c>
      <c r="H26" s="224">
        <f t="shared" si="13"/>
        <v>0</v>
      </c>
      <c r="I26" s="635">
        <f>I25*I24*10</f>
        <v>2124000</v>
      </c>
      <c r="J26" s="357">
        <f t="shared" ref="J26:M26" si="14">J25*J24*10</f>
        <v>0</v>
      </c>
      <c r="K26" s="357">
        <f t="shared" si="14"/>
        <v>0</v>
      </c>
      <c r="L26" s="357">
        <f t="shared" si="14"/>
        <v>0</v>
      </c>
      <c r="M26" s="397">
        <f t="shared" si="14"/>
        <v>0</v>
      </c>
      <c r="N26" s="647">
        <f>SUM(D26:H26)</f>
        <v>212400</v>
      </c>
      <c r="O26" s="657">
        <f>SUM(I26:M26)</f>
        <v>2124000</v>
      </c>
      <c r="P26" s="666">
        <f>P25*P24</f>
        <v>0</v>
      </c>
      <c r="Q26" s="660">
        <f>N26+O26+P26</f>
        <v>2336400</v>
      </c>
    </row>
    <row r="27" spans="1:247" x14ac:dyDescent="0.2">
      <c r="A27" s="799"/>
      <c r="B27" s="801" t="str">
        <f>+'B) Reajuste Tarifas y Ocupación'!B14</f>
        <v>Jornada Completa</v>
      </c>
      <c r="C27" s="471" t="s">
        <v>243</v>
      </c>
      <c r="D27" s="346">
        <f t="shared" ref="D27:F28" si="15">+I27</f>
        <v>123800</v>
      </c>
      <c r="E27" s="350">
        <f t="shared" si="15"/>
        <v>148600</v>
      </c>
      <c r="F27" s="350">
        <f t="shared" si="15"/>
        <v>148600</v>
      </c>
      <c r="G27" s="350">
        <f t="shared" ref="G27:H28" si="16">+L27</f>
        <v>208300</v>
      </c>
      <c r="H27" s="351">
        <f t="shared" si="16"/>
        <v>331000</v>
      </c>
      <c r="I27" s="636">
        <f>+'B) Reajuste Tarifas y Ocupación'!M14</f>
        <v>123800</v>
      </c>
      <c r="J27" s="392">
        <f>+'B) Reajuste Tarifas y Ocupación'!N14</f>
        <v>148600</v>
      </c>
      <c r="K27" s="392">
        <f>+'B) Reajuste Tarifas y Ocupación'!O14</f>
        <v>148600</v>
      </c>
      <c r="L27" s="392">
        <f>+'B) Reajuste Tarifas y Ocupación'!P14</f>
        <v>208300</v>
      </c>
      <c r="M27" s="642">
        <f>+'B) Reajuste Tarifas y Ocupación'!Q14</f>
        <v>331000</v>
      </c>
      <c r="N27" s="645"/>
      <c r="O27" s="655"/>
      <c r="P27" s="664">
        <f>+'B) Reajuste Tarifas y Ocupación'!C14</f>
        <v>117100</v>
      </c>
      <c r="Q27" s="767"/>
    </row>
    <row r="28" spans="1:247" x14ac:dyDescent="0.2">
      <c r="A28" s="799"/>
      <c r="B28" s="802"/>
      <c r="C28" s="221" t="s">
        <v>7</v>
      </c>
      <c r="D28" s="358">
        <f t="shared" si="15"/>
        <v>61</v>
      </c>
      <c r="E28" s="354">
        <f t="shared" si="15"/>
        <v>1</v>
      </c>
      <c r="F28" s="354">
        <f t="shared" si="15"/>
        <v>2</v>
      </c>
      <c r="G28" s="354">
        <f t="shared" si="16"/>
        <v>0</v>
      </c>
      <c r="H28" s="355">
        <f t="shared" si="16"/>
        <v>0</v>
      </c>
      <c r="I28" s="633">
        <f>+'B) Reajuste Tarifas y Ocupación'!C25</f>
        <v>61</v>
      </c>
      <c r="J28" s="354">
        <f>+'B) Reajuste Tarifas y Ocupación'!D25</f>
        <v>1</v>
      </c>
      <c r="K28" s="354">
        <f>+'B) Reajuste Tarifas y Ocupación'!E25</f>
        <v>2</v>
      </c>
      <c r="L28" s="354">
        <f>+'B) Reajuste Tarifas y Ocupación'!F25</f>
        <v>0</v>
      </c>
      <c r="M28" s="396">
        <f>+'B) Reajuste Tarifas y Ocupación'!G25</f>
        <v>0</v>
      </c>
      <c r="N28" s="646"/>
      <c r="O28" s="656"/>
      <c r="P28" s="665">
        <v>8</v>
      </c>
      <c r="Q28" s="768"/>
    </row>
    <row r="29" spans="1:247" ht="13.5" thickBot="1" x14ac:dyDescent="0.25">
      <c r="A29" s="799"/>
      <c r="B29" s="803"/>
      <c r="C29" s="222" t="s">
        <v>9</v>
      </c>
      <c r="D29" s="390">
        <f t="shared" ref="D29:H29" si="17">D28*D27</f>
        <v>7551800</v>
      </c>
      <c r="E29" s="619">
        <f t="shared" si="17"/>
        <v>148600</v>
      </c>
      <c r="F29" s="619">
        <f t="shared" ref="F29" si="18">F28*F27</f>
        <v>297200</v>
      </c>
      <c r="G29" s="619">
        <f t="shared" si="17"/>
        <v>0</v>
      </c>
      <c r="H29" s="391">
        <f t="shared" si="17"/>
        <v>0</v>
      </c>
      <c r="I29" s="634">
        <f t="shared" ref="I29:M29" si="19">I28*I27*10</f>
        <v>75518000</v>
      </c>
      <c r="J29" s="619">
        <f t="shared" si="19"/>
        <v>1486000</v>
      </c>
      <c r="K29" s="619">
        <f t="shared" ref="K29" si="20">K28*K27*10</f>
        <v>2972000</v>
      </c>
      <c r="L29" s="619">
        <f t="shared" si="19"/>
        <v>0</v>
      </c>
      <c r="M29" s="620">
        <f t="shared" si="19"/>
        <v>0</v>
      </c>
      <c r="N29" s="648">
        <f>SUM(D29:H29)</f>
        <v>7997600</v>
      </c>
      <c r="O29" s="658">
        <f>SUM(I29:M29)</f>
        <v>79976000</v>
      </c>
      <c r="P29" s="667">
        <f>P28*P27</f>
        <v>936800</v>
      </c>
      <c r="Q29" s="661">
        <f>N29+O29+P29</f>
        <v>88910400</v>
      </c>
    </row>
    <row r="30" spans="1:247" s="10" customFormat="1" ht="15.75" thickBot="1" x14ac:dyDescent="0.25">
      <c r="A30" s="800"/>
      <c r="B30" s="797" t="s">
        <v>10</v>
      </c>
      <c r="C30" s="797"/>
      <c r="D30" s="625">
        <f>+D23+D26+D29</f>
        <v>8284300</v>
      </c>
      <c r="E30" s="626">
        <f t="shared" ref="E30:Q30" si="21">+E23+E26+E29</f>
        <v>237700</v>
      </c>
      <c r="F30" s="626">
        <f t="shared" si="21"/>
        <v>297200</v>
      </c>
      <c r="G30" s="626">
        <f t="shared" si="21"/>
        <v>0</v>
      </c>
      <c r="H30" s="627">
        <f t="shared" si="21"/>
        <v>0</v>
      </c>
      <c r="I30" s="630">
        <f t="shared" si="21"/>
        <v>82843000</v>
      </c>
      <c r="J30" s="626">
        <f t="shared" si="21"/>
        <v>2377000</v>
      </c>
      <c r="K30" s="626">
        <f t="shared" si="21"/>
        <v>2972000</v>
      </c>
      <c r="L30" s="626">
        <f t="shared" si="21"/>
        <v>0</v>
      </c>
      <c r="M30" s="629">
        <f t="shared" si="21"/>
        <v>0</v>
      </c>
      <c r="N30" s="625">
        <f t="shared" si="21"/>
        <v>8819200</v>
      </c>
      <c r="O30" s="629">
        <f t="shared" si="21"/>
        <v>88192000</v>
      </c>
      <c r="P30" s="394">
        <f t="shared" si="21"/>
        <v>936800</v>
      </c>
      <c r="Q30" s="662">
        <f t="shared" si="21"/>
        <v>97948000</v>
      </c>
    </row>
    <row r="31" spans="1:247" s="10" customFormat="1" ht="12.75" customHeight="1" x14ac:dyDescent="0.2">
      <c r="A31" s="806" t="str">
        <f>+'B) Reajuste Tarifas y Ocupación'!A15</f>
        <v>Sala Cuna Pequeños Héroes</v>
      </c>
      <c r="B31" s="794" t="str">
        <f>+'B) Reajuste Tarifas y Ocupación'!B15</f>
        <v>Diurna</v>
      </c>
      <c r="C31" s="471" t="s">
        <v>243</v>
      </c>
      <c r="D31" s="621"/>
      <c r="E31" s="622">
        <f t="shared" ref="E31:G32" si="22">+J31</f>
        <v>393300</v>
      </c>
      <c r="F31" s="622">
        <f t="shared" si="22"/>
        <v>393300</v>
      </c>
      <c r="G31" s="622">
        <f t="shared" si="22"/>
        <v>409600</v>
      </c>
      <c r="H31" s="624">
        <f>+M31</f>
        <v>491600</v>
      </c>
      <c r="I31" s="637">
        <f>+'B) Reajuste Tarifas y Ocupación'!M15</f>
        <v>327700</v>
      </c>
      <c r="J31" s="622">
        <f>+'B) Reajuste Tarifas y Ocupación'!N15</f>
        <v>393300</v>
      </c>
      <c r="K31" s="622">
        <f>+'B) Reajuste Tarifas y Ocupación'!O15</f>
        <v>393300</v>
      </c>
      <c r="L31" s="622">
        <f>+'B) Reajuste Tarifas y Ocupación'!P15</f>
        <v>409600</v>
      </c>
      <c r="M31" s="623">
        <f>+'B) Reajuste Tarifas y Ocupación'!Q15</f>
        <v>491600</v>
      </c>
      <c r="N31" s="649"/>
      <c r="O31" s="659"/>
      <c r="P31" s="668"/>
      <c r="Q31" s="810"/>
    </row>
    <row r="32" spans="1:247" s="10" customFormat="1" ht="12.75" customHeight="1" x14ac:dyDescent="0.2">
      <c r="A32" s="807"/>
      <c r="B32" s="795"/>
      <c r="C32" s="352" t="s">
        <v>7</v>
      </c>
      <c r="D32" s="395"/>
      <c r="E32" s="354">
        <f t="shared" si="22"/>
        <v>0</v>
      </c>
      <c r="F32" s="354">
        <f t="shared" si="22"/>
        <v>0</v>
      </c>
      <c r="G32" s="354">
        <f t="shared" si="22"/>
        <v>0</v>
      </c>
      <c r="H32" s="355">
        <f t="shared" ref="H32" si="23">+M32</f>
        <v>0</v>
      </c>
      <c r="I32" s="633">
        <f>+'B) Reajuste Tarifas y Ocupación'!C26</f>
        <v>8</v>
      </c>
      <c r="J32" s="354">
        <f>+'B) Reajuste Tarifas y Ocupación'!D26</f>
        <v>0</v>
      </c>
      <c r="K32" s="354">
        <f>+'B) Reajuste Tarifas y Ocupación'!E26</f>
        <v>0</v>
      </c>
      <c r="L32" s="354">
        <f>+'B) Reajuste Tarifas y Ocupación'!F26</f>
        <v>0</v>
      </c>
      <c r="M32" s="396">
        <f>+'B) Reajuste Tarifas y Ocupación'!G26</f>
        <v>0</v>
      </c>
      <c r="N32" s="646"/>
      <c r="O32" s="656"/>
      <c r="P32" s="669"/>
      <c r="Q32" s="768"/>
    </row>
    <row r="33" spans="1:17" s="10" customFormat="1" ht="13.5" customHeight="1" thickBot="1" x14ac:dyDescent="0.25">
      <c r="A33" s="807"/>
      <c r="B33" s="796"/>
      <c r="C33" s="356" t="s">
        <v>9</v>
      </c>
      <c r="D33" s="223">
        <f>D32*D31</f>
        <v>0</v>
      </c>
      <c r="E33" s="357">
        <f>E32*E31</f>
        <v>0</v>
      </c>
      <c r="F33" s="357">
        <f t="shared" ref="F33:H33" si="24">F32*F31</f>
        <v>0</v>
      </c>
      <c r="G33" s="357">
        <f t="shared" si="24"/>
        <v>0</v>
      </c>
      <c r="H33" s="224">
        <f t="shared" si="24"/>
        <v>0</v>
      </c>
      <c r="I33" s="634">
        <f>I32*I31*12</f>
        <v>31459200</v>
      </c>
      <c r="J33" s="619">
        <f t="shared" ref="J33:M33" si="25">J32*J31*12</f>
        <v>0</v>
      </c>
      <c r="K33" s="619">
        <f t="shared" si="25"/>
        <v>0</v>
      </c>
      <c r="L33" s="619">
        <f t="shared" si="25"/>
        <v>0</v>
      </c>
      <c r="M33" s="620">
        <f t="shared" si="25"/>
        <v>0</v>
      </c>
      <c r="N33" s="647">
        <f>SUM(D33:H33)</f>
        <v>0</v>
      </c>
      <c r="O33" s="657">
        <f>SUM(I33:M33)</f>
        <v>31459200</v>
      </c>
      <c r="P33" s="670"/>
      <c r="Q33" s="660">
        <f>N33+O33+P33</f>
        <v>31459200</v>
      </c>
    </row>
    <row r="34" spans="1:17" s="10" customFormat="1" ht="12.75" customHeight="1" x14ac:dyDescent="0.2">
      <c r="A34" s="807"/>
      <c r="B34" s="801" t="str">
        <f>+'B) Reajuste Tarifas y Ocupación'!B16</f>
        <v>Nocturna</v>
      </c>
      <c r="C34" s="471" t="s">
        <v>243</v>
      </c>
      <c r="D34" s="395"/>
      <c r="E34" s="353"/>
      <c r="F34" s="353"/>
      <c r="G34" s="353"/>
      <c r="H34" s="641"/>
      <c r="I34" s="638"/>
      <c r="J34" s="349"/>
      <c r="K34" s="349"/>
      <c r="L34" s="349"/>
      <c r="M34" s="643"/>
      <c r="N34" s="645"/>
      <c r="O34" s="655"/>
      <c r="P34" s="671"/>
      <c r="Q34" s="767"/>
    </row>
    <row r="35" spans="1:17" s="10" customFormat="1" ht="12.75" customHeight="1" x14ac:dyDescent="0.2">
      <c r="A35" s="807"/>
      <c r="B35" s="802"/>
      <c r="C35" s="221" t="s">
        <v>7</v>
      </c>
      <c r="D35" s="395"/>
      <c r="E35" s="468">
        <f t="shared" ref="E35" si="26">+J35</f>
        <v>0</v>
      </c>
      <c r="F35" s="468">
        <f t="shared" ref="F35" si="27">+K35</f>
        <v>0</v>
      </c>
      <c r="G35" s="468">
        <f t="shared" ref="G35" si="28">+L35</f>
        <v>0</v>
      </c>
      <c r="H35" s="470">
        <f t="shared" ref="H35" si="29">+M35</f>
        <v>0</v>
      </c>
      <c r="I35" s="639">
        <f>+'B) Reajuste Tarifas y Ocupación'!C27</f>
        <v>0</v>
      </c>
      <c r="J35" s="468">
        <f>+'B) Reajuste Tarifas y Ocupación'!D27</f>
        <v>0</v>
      </c>
      <c r="K35" s="468">
        <f>+'B) Reajuste Tarifas y Ocupación'!E27</f>
        <v>0</v>
      </c>
      <c r="L35" s="468">
        <f>+'B) Reajuste Tarifas y Ocupación'!F27</f>
        <v>0</v>
      </c>
      <c r="M35" s="469">
        <f>+'B) Reajuste Tarifas y Ocupación'!G27</f>
        <v>0</v>
      </c>
      <c r="N35" s="646"/>
      <c r="O35" s="656"/>
      <c r="P35" s="669"/>
      <c r="Q35" s="768"/>
    </row>
    <row r="36" spans="1:17" s="10" customFormat="1" ht="13.5" customHeight="1" thickBot="1" x14ac:dyDescent="0.25">
      <c r="A36" s="807"/>
      <c r="B36" s="803"/>
      <c r="C36" s="222" t="s">
        <v>9</v>
      </c>
      <c r="D36" s="223">
        <f>D35*D34</f>
        <v>0</v>
      </c>
      <c r="E36" s="357">
        <f>E35*E34</f>
        <v>0</v>
      </c>
      <c r="F36" s="357">
        <f t="shared" ref="F36:G36" si="30">F35*F34</f>
        <v>0</v>
      </c>
      <c r="G36" s="357">
        <f t="shared" si="30"/>
        <v>0</v>
      </c>
      <c r="H36" s="224">
        <f>H35*H34</f>
        <v>0</v>
      </c>
      <c r="I36" s="634">
        <f>I35*I34*12</f>
        <v>0</v>
      </c>
      <c r="J36" s="619">
        <f t="shared" ref="J36" si="31">J35*J34*12</f>
        <v>0</v>
      </c>
      <c r="K36" s="619">
        <f t="shared" ref="K36" si="32">K35*K34*12</f>
        <v>0</v>
      </c>
      <c r="L36" s="619">
        <f t="shared" ref="L36" si="33">L35*L34*12</f>
        <v>0</v>
      </c>
      <c r="M36" s="620">
        <f t="shared" ref="M36" si="34">M35*M34*12</f>
        <v>0</v>
      </c>
      <c r="N36" s="647">
        <f>SUM(D36:H36)</f>
        <v>0</v>
      </c>
      <c r="O36" s="657">
        <f>SUM(I36:M36)</f>
        <v>0</v>
      </c>
      <c r="P36" s="670"/>
      <c r="Q36" s="660">
        <f>N36+O36+P36</f>
        <v>0</v>
      </c>
    </row>
    <row r="37" spans="1:17" s="10" customFormat="1" ht="12.75" customHeight="1" x14ac:dyDescent="0.2">
      <c r="A37" s="807"/>
      <c r="B37" s="801" t="str">
        <f>+'B) Reajuste Tarifas y Ocupación'!B17</f>
        <v>Media Jornada</v>
      </c>
      <c r="C37" s="471" t="s">
        <v>243</v>
      </c>
      <c r="D37" s="395"/>
      <c r="E37" s="350">
        <f t="shared" ref="E37:E38" si="35">+J37</f>
        <v>236000</v>
      </c>
      <c r="F37" s="350">
        <f t="shared" ref="F37:F38" si="36">+K37</f>
        <v>236000</v>
      </c>
      <c r="G37" s="350">
        <f t="shared" ref="G37:G38" si="37">+L37</f>
        <v>295000</v>
      </c>
      <c r="H37" s="351">
        <f>+M37</f>
        <v>393300</v>
      </c>
      <c r="I37" s="640">
        <f>+'B) Reajuste Tarifas y Ocupación'!M17</f>
        <v>196700</v>
      </c>
      <c r="J37" s="398">
        <f>+'B) Reajuste Tarifas y Ocupación'!N17</f>
        <v>236000</v>
      </c>
      <c r="K37" s="398">
        <f>+'B) Reajuste Tarifas y Ocupación'!O17</f>
        <v>236000</v>
      </c>
      <c r="L37" s="398">
        <f>+'B) Reajuste Tarifas y Ocupación'!P17</f>
        <v>295000</v>
      </c>
      <c r="M37" s="644">
        <f>+'B) Reajuste Tarifas y Ocupación'!Q17</f>
        <v>393300</v>
      </c>
      <c r="N37" s="645"/>
      <c r="O37" s="655"/>
      <c r="P37" s="671"/>
      <c r="Q37" s="767"/>
    </row>
    <row r="38" spans="1:17" s="10" customFormat="1" ht="12.75" customHeight="1" x14ac:dyDescent="0.2">
      <c r="A38" s="807"/>
      <c r="B38" s="802"/>
      <c r="C38" s="221" t="s">
        <v>7</v>
      </c>
      <c r="D38" s="395"/>
      <c r="E38" s="354">
        <f t="shared" si="35"/>
        <v>0</v>
      </c>
      <c r="F38" s="354">
        <f t="shared" si="36"/>
        <v>0</v>
      </c>
      <c r="G38" s="354">
        <f t="shared" si="37"/>
        <v>0</v>
      </c>
      <c r="H38" s="355">
        <f t="shared" ref="H38" si="38">+M38</f>
        <v>0</v>
      </c>
      <c r="I38" s="633">
        <f>+'B) Reajuste Tarifas y Ocupación'!C28</f>
        <v>0</v>
      </c>
      <c r="J38" s="354">
        <f>+'B) Reajuste Tarifas y Ocupación'!D28</f>
        <v>0</v>
      </c>
      <c r="K38" s="354">
        <f>+'B) Reajuste Tarifas y Ocupación'!E28</f>
        <v>0</v>
      </c>
      <c r="L38" s="354">
        <f>+'B) Reajuste Tarifas y Ocupación'!F28</f>
        <v>0</v>
      </c>
      <c r="M38" s="396">
        <f>+'B) Reajuste Tarifas y Ocupación'!G28</f>
        <v>0</v>
      </c>
      <c r="N38" s="646"/>
      <c r="O38" s="656"/>
      <c r="P38" s="669"/>
      <c r="Q38" s="768"/>
    </row>
    <row r="39" spans="1:17" s="10" customFormat="1" ht="13.5" customHeight="1" thickBot="1" x14ac:dyDescent="0.25">
      <c r="A39" s="807"/>
      <c r="B39" s="803"/>
      <c r="C39" s="222" t="s">
        <v>9</v>
      </c>
      <c r="D39" s="390">
        <f>D38*D37</f>
        <v>0</v>
      </c>
      <c r="E39" s="619">
        <f>E38*E37</f>
        <v>0</v>
      </c>
      <c r="F39" s="619">
        <f t="shared" ref="F39:H39" si="39">F38*F37</f>
        <v>0</v>
      </c>
      <c r="G39" s="619">
        <f t="shared" si="39"/>
        <v>0</v>
      </c>
      <c r="H39" s="391">
        <f t="shared" si="39"/>
        <v>0</v>
      </c>
      <c r="I39" s="634">
        <f>I38*I37*12</f>
        <v>0</v>
      </c>
      <c r="J39" s="619">
        <f t="shared" ref="J39" si="40">J38*J37*12</f>
        <v>0</v>
      </c>
      <c r="K39" s="619">
        <f t="shared" ref="K39" si="41">K38*K37*12</f>
        <v>0</v>
      </c>
      <c r="L39" s="619">
        <f t="shared" ref="L39" si="42">L38*L37*12</f>
        <v>0</v>
      </c>
      <c r="M39" s="620">
        <f t="shared" ref="M39" si="43">M38*M37*12</f>
        <v>0</v>
      </c>
      <c r="N39" s="648">
        <f>SUM(D39:H39)</f>
        <v>0</v>
      </c>
      <c r="O39" s="658">
        <f>SUM(I39:M39)</f>
        <v>0</v>
      </c>
      <c r="P39" s="672"/>
      <c r="Q39" s="661">
        <f>N39+O39+P39</f>
        <v>0</v>
      </c>
    </row>
    <row r="40" spans="1:17" s="10" customFormat="1" ht="15.75" customHeight="1" thickBot="1" x14ac:dyDescent="0.25">
      <c r="A40" s="808"/>
      <c r="B40" s="809" t="s">
        <v>10</v>
      </c>
      <c r="C40" s="809"/>
      <c r="D40" s="625">
        <f>+D33+D39+D36</f>
        <v>0</v>
      </c>
      <c r="E40" s="626">
        <f t="shared" ref="E40:P40" si="44">+E33+E39+E36</f>
        <v>0</v>
      </c>
      <c r="F40" s="626">
        <f>+F33+F39+F36</f>
        <v>0</v>
      </c>
      <c r="G40" s="626">
        <f t="shared" si="44"/>
        <v>0</v>
      </c>
      <c r="H40" s="627">
        <f t="shared" si="44"/>
        <v>0</v>
      </c>
      <c r="I40" s="630">
        <f>+I33+I39+I36</f>
        <v>31459200</v>
      </c>
      <c r="J40" s="626">
        <f>+J33+J39+J36</f>
        <v>0</v>
      </c>
      <c r="K40" s="626">
        <f t="shared" si="44"/>
        <v>0</v>
      </c>
      <c r="L40" s="626">
        <f t="shared" si="44"/>
        <v>0</v>
      </c>
      <c r="M40" s="629">
        <f>+M33+M39+M36</f>
        <v>0</v>
      </c>
      <c r="N40" s="625">
        <f t="shared" si="44"/>
        <v>0</v>
      </c>
      <c r="O40" s="629">
        <f t="shared" si="44"/>
        <v>31459200</v>
      </c>
      <c r="P40" s="394">
        <f t="shared" si="44"/>
        <v>0</v>
      </c>
      <c r="Q40" s="662">
        <f>+Q33+Q39+Q36</f>
        <v>31459200</v>
      </c>
    </row>
    <row r="41" spans="1:17" ht="15" customHeight="1" thickBot="1" x14ac:dyDescent="0.25">
      <c r="A41" s="804" t="s">
        <v>8</v>
      </c>
      <c r="B41" s="805"/>
      <c r="C41" s="805"/>
      <c r="D41" s="650">
        <f>+D30+D40</f>
        <v>8284300</v>
      </c>
      <c r="E41" s="651">
        <f t="shared" ref="E41:P41" si="45">+E30+E40</f>
        <v>237700</v>
      </c>
      <c r="F41" s="651">
        <f t="shared" si="45"/>
        <v>297200</v>
      </c>
      <c r="G41" s="651">
        <f t="shared" si="45"/>
        <v>0</v>
      </c>
      <c r="H41" s="652">
        <f t="shared" si="45"/>
        <v>0</v>
      </c>
      <c r="I41" s="653">
        <f t="shared" si="45"/>
        <v>114302200</v>
      </c>
      <c r="J41" s="651">
        <f t="shared" si="45"/>
        <v>2377000</v>
      </c>
      <c r="K41" s="651">
        <f t="shared" si="45"/>
        <v>2972000</v>
      </c>
      <c r="L41" s="651">
        <f t="shared" si="45"/>
        <v>0</v>
      </c>
      <c r="M41" s="654">
        <f t="shared" si="45"/>
        <v>0</v>
      </c>
      <c r="N41" s="650">
        <f t="shared" si="45"/>
        <v>8819200</v>
      </c>
      <c r="O41" s="654">
        <f>+O30+O40</f>
        <v>119651200</v>
      </c>
      <c r="P41" s="673">
        <f t="shared" si="45"/>
        <v>936800</v>
      </c>
      <c r="Q41" s="663">
        <f>+Q30+Q40</f>
        <v>129407200</v>
      </c>
    </row>
  </sheetData>
  <sheetProtection algorithmName="SHA-512" hashValue="+piP5SxdaJwPl5OAEk89lwz9Cm5YPg7LDOiVqGXRXxn0DG0gJoSBWYmWIy46kLvy+AId+/znQSAgxnsghTk7nA==" saltValue="g7rR9HhyrpGFdZRl4MxL2A==" spinCount="100000" sheet="1" objects="1" scenarios="1"/>
  <mergeCells count="30">
    <mergeCell ref="Q31:Q32"/>
    <mergeCell ref="B34:B36"/>
    <mergeCell ref="Q34:Q35"/>
    <mergeCell ref="B37:B39"/>
    <mergeCell ref="Q37:Q38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</mergeCells>
  <phoneticPr fontId="33" type="noConversion"/>
  <conditionalFormatting sqref="C13:N13 E17:N17 B9:I9 B12:I12 B10:C11 E10:I11 D14:N16">
    <cfRule type="cellIs" dxfId="7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D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V29"/>
  <sheetViews>
    <sheetView showGridLines="0" zoomScale="80" zoomScaleNormal="80" workbookViewId="0">
      <selection activeCell="H28" sqref="H28"/>
    </sheetView>
  </sheetViews>
  <sheetFormatPr baseColWidth="10" defaultColWidth="11.42578125" defaultRowHeight="12.75" x14ac:dyDescent="0.2"/>
  <cols>
    <col min="1" max="1" width="56.5703125" style="42" customWidth="1"/>
    <col min="2" max="2" width="33.85546875" style="29" customWidth="1"/>
    <col min="3" max="3" width="12.28515625" style="42" customWidth="1"/>
    <col min="4" max="4" width="13.7109375" style="42" bestFit="1" customWidth="1"/>
    <col min="5" max="5" width="15.5703125" style="42" bestFit="1" customWidth="1"/>
    <col min="6" max="6" width="14.5703125" style="42" customWidth="1"/>
    <col min="7" max="7" width="14.85546875" style="42" customWidth="1"/>
    <col min="8" max="8" width="11.85546875" style="42" bestFit="1" customWidth="1"/>
    <col min="9" max="9" width="14.5703125" style="42" bestFit="1" customWidth="1"/>
    <col min="10" max="10" width="14.5703125" style="42" customWidth="1"/>
    <col min="11" max="12" width="11.85546875" style="42" customWidth="1"/>
    <col min="13" max="13" width="14" style="42" customWidth="1"/>
    <col min="14" max="15" width="14.5703125" style="42" customWidth="1"/>
    <col min="16" max="17" width="11.85546875" style="42" customWidth="1"/>
    <col min="18" max="18" width="11.85546875" style="29" customWidth="1"/>
    <col min="19" max="19" width="32.7109375" style="42" customWidth="1"/>
    <col min="20" max="20" width="33" style="29" bestFit="1" customWidth="1"/>
    <col min="21" max="21" width="13.85546875" style="42" customWidth="1"/>
    <col min="22" max="22" width="14.5703125" style="42" bestFit="1" customWidth="1"/>
    <col min="23" max="23" width="14.5703125" style="42" customWidth="1"/>
    <col min="24" max="24" width="12.85546875" style="42" bestFit="1" customWidth="1"/>
    <col min="25" max="16384" width="11.42578125" style="42"/>
  </cols>
  <sheetData>
    <row r="1" spans="1:256" s="6" customFormat="1" x14ac:dyDescent="0.2">
      <c r="A1" s="5"/>
      <c r="C1" s="7"/>
      <c r="D1" s="7"/>
      <c r="E1" s="7"/>
      <c r="F1" s="41" t="s">
        <v>207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1" t="s">
        <v>200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4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69" t="s">
        <v>0</v>
      </c>
      <c r="D5" s="820"/>
      <c r="E5" s="82"/>
      <c r="F5" s="830" t="s">
        <v>123</v>
      </c>
      <c r="G5" s="831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82"/>
      <c r="D6" s="82"/>
      <c r="E6" s="82"/>
      <c r="F6" s="85"/>
      <c r="G6" s="85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82"/>
      <c r="D7" s="82"/>
      <c r="E7" s="82"/>
      <c r="F7" s="85"/>
      <c r="G7" s="85"/>
      <c r="R7" s="14"/>
      <c r="S7" s="22"/>
      <c r="T7" s="23"/>
      <c r="V7" s="48"/>
      <c r="W7" s="48"/>
      <c r="IL7" s="4"/>
      <c r="IM7" s="4"/>
      <c r="IN7" s="4"/>
      <c r="IO7" s="4"/>
      <c r="IP7" s="4"/>
      <c r="IQ7" s="4"/>
    </row>
    <row r="8" spans="1:256" s="14" customFormat="1" ht="15.75" x14ac:dyDescent="0.2">
      <c r="A8" s="814" t="s">
        <v>154</v>
      </c>
      <c r="B8" s="814"/>
      <c r="C8" s="814"/>
      <c r="D8" s="814"/>
      <c r="E8" s="83"/>
      <c r="F8" s="85"/>
      <c r="G8" s="85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837" t="s">
        <v>134</v>
      </c>
      <c r="B10" s="835" t="s">
        <v>5</v>
      </c>
      <c r="C10" s="811" t="s">
        <v>229</v>
      </c>
      <c r="D10" s="812"/>
      <c r="E10" s="812"/>
      <c r="F10" s="812"/>
      <c r="G10" s="813"/>
      <c r="H10" s="815" t="s">
        <v>108</v>
      </c>
      <c r="I10" s="816"/>
      <c r="J10" s="816"/>
      <c r="K10" s="816"/>
      <c r="L10" s="815"/>
      <c r="M10" s="811" t="s">
        <v>244</v>
      </c>
      <c r="N10" s="812"/>
      <c r="O10" s="812"/>
      <c r="P10" s="812"/>
      <c r="Q10" s="813"/>
      <c r="R10" s="17"/>
    </row>
    <row r="11" spans="1:256" ht="64.5" thickBot="1" x14ac:dyDescent="0.25">
      <c r="A11" s="838"/>
      <c r="B11" s="836"/>
      <c r="C11" s="387" t="s">
        <v>86</v>
      </c>
      <c r="D11" s="388" t="s">
        <v>142</v>
      </c>
      <c r="E11" s="388" t="s">
        <v>143</v>
      </c>
      <c r="F11" s="388" t="s">
        <v>87</v>
      </c>
      <c r="G11" s="389" t="s">
        <v>88</v>
      </c>
      <c r="H11" s="527" t="s">
        <v>86</v>
      </c>
      <c r="I11" s="453" t="s">
        <v>142</v>
      </c>
      <c r="J11" s="453" t="s">
        <v>143</v>
      </c>
      <c r="K11" s="454" t="s">
        <v>87</v>
      </c>
      <c r="L11" s="535" t="s">
        <v>88</v>
      </c>
      <c r="M11" s="387" t="s">
        <v>86</v>
      </c>
      <c r="N11" s="388" t="s">
        <v>142</v>
      </c>
      <c r="O11" s="388" t="s">
        <v>143</v>
      </c>
      <c r="P11" s="388" t="s">
        <v>87</v>
      </c>
      <c r="Q11" s="389" t="s">
        <v>88</v>
      </c>
      <c r="R11" s="17"/>
    </row>
    <row r="12" spans="1:256" ht="13.5" customHeight="1" thickBot="1" x14ac:dyDescent="0.25">
      <c r="A12" s="817" t="s">
        <v>232</v>
      </c>
      <c r="B12" s="523" t="s">
        <v>127</v>
      </c>
      <c r="C12" s="529">
        <v>70200</v>
      </c>
      <c r="D12" s="347">
        <v>84300</v>
      </c>
      <c r="E12" s="347">
        <v>84300</v>
      </c>
      <c r="F12" s="347">
        <v>120400</v>
      </c>
      <c r="G12" s="530">
        <v>177100</v>
      </c>
      <c r="H12" s="528">
        <v>5.7000000000000002E-2</v>
      </c>
      <c r="I12" s="456">
        <f>+H12</f>
        <v>5.7000000000000002E-2</v>
      </c>
      <c r="J12" s="456">
        <f>+H12</f>
        <v>5.7000000000000002E-2</v>
      </c>
      <c r="K12" s="456">
        <f>+H12</f>
        <v>5.7000000000000002E-2</v>
      </c>
      <c r="L12" s="536">
        <f>+H12</f>
        <v>5.7000000000000002E-2</v>
      </c>
      <c r="M12" s="495">
        <f>CEILING(C12*(1+H12),100)</f>
        <v>74300</v>
      </c>
      <c r="N12" s="496">
        <f>+CEILING(C12*(1.2)*(1+I12),100)</f>
        <v>89100</v>
      </c>
      <c r="O12" s="496">
        <f>+CEILING(C12*(1.2)*(1+J12),100)</f>
        <v>89100</v>
      </c>
      <c r="P12" s="496">
        <f>+CEILING(F12*(1+K12),100)</f>
        <v>127300</v>
      </c>
      <c r="Q12" s="497">
        <f>+CEILING(G12*(1+L12),100)</f>
        <v>187200</v>
      </c>
      <c r="R12" s="63"/>
    </row>
    <row r="13" spans="1:256" ht="13.5" customHeight="1" thickBot="1" x14ac:dyDescent="0.25">
      <c r="A13" s="818"/>
      <c r="B13" s="524" t="s">
        <v>213</v>
      </c>
      <c r="C13" s="531">
        <v>100400</v>
      </c>
      <c r="D13" s="348">
        <v>120500</v>
      </c>
      <c r="E13" s="348">
        <v>120500</v>
      </c>
      <c r="F13" s="348">
        <v>163700</v>
      </c>
      <c r="G13" s="532">
        <v>255400</v>
      </c>
      <c r="H13" s="528">
        <v>5.7000000000000002E-2</v>
      </c>
      <c r="I13" s="457">
        <f>+H13</f>
        <v>5.7000000000000002E-2</v>
      </c>
      <c r="J13" s="457">
        <f>+H13</f>
        <v>5.7000000000000002E-2</v>
      </c>
      <c r="K13" s="457">
        <f>+H13</f>
        <v>5.7000000000000002E-2</v>
      </c>
      <c r="L13" s="537">
        <f>+H13</f>
        <v>5.7000000000000002E-2</v>
      </c>
      <c r="M13" s="498">
        <f>CEILING(C13*(1+H13),100)</f>
        <v>106200</v>
      </c>
      <c r="N13" s="499">
        <f>+CEILING(C13*(1.2)*(1+I13),100)</f>
        <v>127400</v>
      </c>
      <c r="O13" s="499">
        <f>+CEILING(C13*(1.2)*(1+J13),100)</f>
        <v>127400</v>
      </c>
      <c r="P13" s="499">
        <f>+CEILING(F13*(1+K13),100)</f>
        <v>173100</v>
      </c>
      <c r="Q13" s="500">
        <f>+CEILING(G13*(1+L13),100)</f>
        <v>270000</v>
      </c>
      <c r="R13" s="63"/>
    </row>
    <row r="14" spans="1:256" ht="13.5" customHeight="1" thickBot="1" x14ac:dyDescent="0.25">
      <c r="A14" s="819"/>
      <c r="B14" s="525" t="s">
        <v>214</v>
      </c>
      <c r="C14" s="533">
        <v>117100</v>
      </c>
      <c r="D14" s="522">
        <v>140500</v>
      </c>
      <c r="E14" s="522">
        <v>140500</v>
      </c>
      <c r="F14" s="522">
        <v>197000</v>
      </c>
      <c r="G14" s="534">
        <v>313100</v>
      </c>
      <c r="H14" s="528">
        <v>5.7000000000000002E-2</v>
      </c>
      <c r="I14" s="458">
        <f t="shared" ref="I14" si="0">+H14</f>
        <v>5.7000000000000002E-2</v>
      </c>
      <c r="J14" s="458">
        <f t="shared" ref="J14" si="1">+H14</f>
        <v>5.7000000000000002E-2</v>
      </c>
      <c r="K14" s="458">
        <f t="shared" ref="K14" si="2">+H14</f>
        <v>5.7000000000000002E-2</v>
      </c>
      <c r="L14" s="538">
        <f t="shared" ref="L14" si="3">+H14</f>
        <v>5.7000000000000002E-2</v>
      </c>
      <c r="M14" s="501">
        <f t="shared" ref="M14" si="4">CEILING(C14*(1+H14),100)</f>
        <v>123800</v>
      </c>
      <c r="N14" s="502">
        <f>+CEILING(C14*(1.2)*(1+I14),100)</f>
        <v>148600</v>
      </c>
      <c r="O14" s="502">
        <f t="shared" ref="O14" si="5">+CEILING(C14*(1.2)*(1+J14),100)</f>
        <v>148600</v>
      </c>
      <c r="P14" s="502">
        <f t="shared" ref="P14" si="6">+CEILING(F14*(1+K14),100)</f>
        <v>208300</v>
      </c>
      <c r="Q14" s="503">
        <f t="shared" ref="Q14" si="7">+CEILING(G14*(1+L14),100)</f>
        <v>331000</v>
      </c>
    </row>
    <row r="15" spans="1:256" ht="12.75" customHeight="1" x14ac:dyDescent="0.2">
      <c r="A15" s="817" t="s">
        <v>233</v>
      </c>
      <c r="B15" s="523" t="s">
        <v>228</v>
      </c>
      <c r="C15" s="529">
        <v>310000</v>
      </c>
      <c r="D15" s="347">
        <v>372000</v>
      </c>
      <c r="E15" s="347">
        <v>372000</v>
      </c>
      <c r="F15" s="347">
        <v>387500</v>
      </c>
      <c r="G15" s="530">
        <v>465000</v>
      </c>
      <c r="H15" s="528">
        <v>5.7000000000000002E-2</v>
      </c>
      <c r="I15" s="456">
        <f t="shared" ref="I15" si="8">+H15</f>
        <v>5.7000000000000002E-2</v>
      </c>
      <c r="J15" s="456">
        <f t="shared" ref="J15" si="9">+H15</f>
        <v>5.7000000000000002E-2</v>
      </c>
      <c r="K15" s="456">
        <f t="shared" ref="K15" si="10">+H15</f>
        <v>5.7000000000000002E-2</v>
      </c>
      <c r="L15" s="536">
        <f t="shared" ref="L15" si="11">+H15</f>
        <v>5.7000000000000002E-2</v>
      </c>
      <c r="M15" s="495">
        <f t="shared" ref="M15" si="12">CEILING(C15*(1+H15),100)</f>
        <v>327700</v>
      </c>
      <c r="N15" s="496">
        <f>+CEILING(C15*(1.2)*(1+I15),100)</f>
        <v>393300</v>
      </c>
      <c r="O15" s="496">
        <f>+CEILING(C15*(1.2)*(1+J15),100)</f>
        <v>393300</v>
      </c>
      <c r="P15" s="496">
        <f t="shared" ref="P15" si="13">+CEILING(F15*(1+K15),100)</f>
        <v>409600</v>
      </c>
      <c r="Q15" s="497">
        <f t="shared" ref="Q15" si="14">+CEILING(G15*(1+L15),100)</f>
        <v>491600</v>
      </c>
      <c r="R15" s="42"/>
    </row>
    <row r="16" spans="1:256" ht="13.5" thickBot="1" x14ac:dyDescent="0.25">
      <c r="A16" s="843"/>
      <c r="B16" s="526" t="s">
        <v>227</v>
      </c>
      <c r="C16" s="844"/>
      <c r="D16" s="845"/>
      <c r="E16" s="845"/>
      <c r="F16" s="845"/>
      <c r="G16" s="846"/>
      <c r="H16" s="847"/>
      <c r="I16" s="848"/>
      <c r="J16" s="848"/>
      <c r="K16" s="848"/>
      <c r="L16" s="849"/>
      <c r="M16" s="821"/>
      <c r="N16" s="822"/>
      <c r="O16" s="822"/>
      <c r="P16" s="822"/>
      <c r="Q16" s="823"/>
    </row>
    <row r="17" spans="1:17" ht="13.5" thickBot="1" x14ac:dyDescent="0.25">
      <c r="A17" s="819"/>
      <c r="B17" s="525" t="s">
        <v>226</v>
      </c>
      <c r="C17" s="674">
        <v>186000</v>
      </c>
      <c r="D17" s="675">
        <v>223200</v>
      </c>
      <c r="E17" s="675">
        <v>223200</v>
      </c>
      <c r="F17" s="675">
        <v>279000</v>
      </c>
      <c r="G17" s="676">
        <v>372000</v>
      </c>
      <c r="H17" s="528">
        <v>5.7000000000000002E-2</v>
      </c>
      <c r="I17" s="458">
        <f t="shared" ref="I17" si="15">+H17</f>
        <v>5.7000000000000002E-2</v>
      </c>
      <c r="J17" s="458">
        <f t="shared" ref="J17" si="16">+H17</f>
        <v>5.7000000000000002E-2</v>
      </c>
      <c r="K17" s="458">
        <f t="shared" ref="K17" si="17">+H17</f>
        <v>5.7000000000000002E-2</v>
      </c>
      <c r="L17" s="538">
        <f t="shared" ref="L17" si="18">+H17</f>
        <v>5.7000000000000002E-2</v>
      </c>
      <c r="M17" s="501">
        <f t="shared" ref="M17" si="19">CEILING(C17*(1+H17),100)</f>
        <v>196700</v>
      </c>
      <c r="N17" s="502">
        <f t="shared" ref="N17" si="20">+CEILING(C17*(1.2)*(1+I17),100)</f>
        <v>236000</v>
      </c>
      <c r="O17" s="502">
        <f t="shared" ref="O17" si="21">+CEILING(C17*(1.2)*(1+J17),100)</f>
        <v>236000</v>
      </c>
      <c r="P17" s="502">
        <f t="shared" ref="P17" si="22">+CEILING(F17*(1+K17),100)</f>
        <v>295000</v>
      </c>
      <c r="Q17" s="503">
        <f>+CEILING(G17*(1+L17),100)</f>
        <v>393300</v>
      </c>
    </row>
    <row r="18" spans="1:17" x14ac:dyDescent="0.2">
      <c r="D18" s="141"/>
      <c r="G18" s="504"/>
    </row>
    <row r="19" spans="1:17" ht="15.75" x14ac:dyDescent="0.2">
      <c r="A19" s="814" t="s">
        <v>155</v>
      </c>
      <c r="B19" s="814"/>
      <c r="C19" s="814"/>
      <c r="D19" s="814"/>
      <c r="E19" s="814"/>
      <c r="F19" s="814"/>
      <c r="G19" s="14"/>
      <c r="H19" s="14"/>
    </row>
    <row r="20" spans="1:17" ht="13.5" thickBot="1" x14ac:dyDescent="0.25"/>
    <row r="21" spans="1:17" ht="16.5" thickBot="1" x14ac:dyDescent="0.25">
      <c r="A21" s="841" t="s">
        <v>134</v>
      </c>
      <c r="B21" s="839" t="s">
        <v>5</v>
      </c>
      <c r="C21" s="832" t="s">
        <v>245</v>
      </c>
      <c r="D21" s="833"/>
      <c r="E21" s="833"/>
      <c r="F21" s="833"/>
      <c r="G21" s="833"/>
      <c r="H21" s="834"/>
    </row>
    <row r="22" spans="1:17" ht="79.5" customHeight="1" thickBot="1" x14ac:dyDescent="0.25">
      <c r="A22" s="842"/>
      <c r="B22" s="840"/>
      <c r="C22" s="77" t="s">
        <v>86</v>
      </c>
      <c r="D22" s="78" t="s">
        <v>142</v>
      </c>
      <c r="E22" s="78" t="s">
        <v>143</v>
      </c>
      <c r="F22" s="78" t="s">
        <v>87</v>
      </c>
      <c r="G22" s="541" t="s">
        <v>88</v>
      </c>
      <c r="H22" s="547" t="s">
        <v>133</v>
      </c>
    </row>
    <row r="23" spans="1:17" ht="20.100000000000001" customHeight="1" x14ac:dyDescent="0.2">
      <c r="A23" s="827" t="str">
        <f>+A12</f>
        <v>Jardín Infantil Pequeños Héroes</v>
      </c>
      <c r="B23" s="246" t="str">
        <f>+B12</f>
        <v>Media jornada</v>
      </c>
      <c r="C23" s="243">
        <v>7</v>
      </c>
      <c r="D23" s="139">
        <v>1</v>
      </c>
      <c r="E23" s="139">
        <v>0</v>
      </c>
      <c r="F23" s="139">
        <v>0</v>
      </c>
      <c r="G23" s="542">
        <v>0</v>
      </c>
      <c r="H23" s="548">
        <f>SUM(C23:G23)</f>
        <v>8</v>
      </c>
    </row>
    <row r="24" spans="1:17" ht="20.100000000000001" customHeight="1" thickBot="1" x14ac:dyDescent="0.25">
      <c r="A24" s="828"/>
      <c r="B24" s="247" t="str">
        <f t="shared" ref="B24:B28" si="23">+B13</f>
        <v>Media jornada Extendida</v>
      </c>
      <c r="C24" s="244">
        <v>2</v>
      </c>
      <c r="D24" s="220">
        <v>0</v>
      </c>
      <c r="E24" s="220">
        <v>0</v>
      </c>
      <c r="F24" s="220">
        <v>0</v>
      </c>
      <c r="G24" s="543">
        <v>0</v>
      </c>
      <c r="H24" s="549">
        <f>SUM(C24:G24)</f>
        <v>2</v>
      </c>
    </row>
    <row r="25" spans="1:17" ht="20.100000000000001" customHeight="1" thickBot="1" x14ac:dyDescent="0.25">
      <c r="A25" s="829"/>
      <c r="B25" s="318" t="str">
        <f t="shared" si="23"/>
        <v>Jornada Completa</v>
      </c>
      <c r="C25" s="245">
        <v>61</v>
      </c>
      <c r="D25" s="140">
        <v>1</v>
      </c>
      <c r="E25" s="140">
        <v>2</v>
      </c>
      <c r="F25" s="140">
        <v>0</v>
      </c>
      <c r="G25" s="544">
        <v>0</v>
      </c>
      <c r="H25" s="550">
        <f>SUM(C25:G25)</f>
        <v>64</v>
      </c>
      <c r="I25" s="546">
        <f>SUM(H23:H25)</f>
        <v>74</v>
      </c>
      <c r="J25" s="689"/>
    </row>
    <row r="26" spans="1:17" ht="19.5" customHeight="1" x14ac:dyDescent="0.2">
      <c r="A26" s="824" t="str">
        <f>+A15</f>
        <v>Sala Cuna Pequeños Héroes</v>
      </c>
      <c r="B26" s="246" t="str">
        <f t="shared" si="23"/>
        <v>Diurna</v>
      </c>
      <c r="C26" s="690">
        <v>8</v>
      </c>
      <c r="D26" s="139">
        <v>0</v>
      </c>
      <c r="E26" s="139">
        <v>0</v>
      </c>
      <c r="F26" s="139">
        <v>0</v>
      </c>
      <c r="G26" s="691">
        <v>0</v>
      </c>
      <c r="H26" s="551">
        <f>SUM(C26:G26)</f>
        <v>8</v>
      </c>
      <c r="I26" s="689"/>
    </row>
    <row r="27" spans="1:17" ht="19.5" customHeight="1" thickBot="1" x14ac:dyDescent="0.25">
      <c r="A27" s="825"/>
      <c r="B27" s="247" t="str">
        <f t="shared" si="23"/>
        <v>Nocturna</v>
      </c>
      <c r="C27" s="539"/>
      <c r="D27" s="540"/>
      <c r="E27" s="540"/>
      <c r="F27" s="540"/>
      <c r="G27" s="545"/>
      <c r="H27" s="552"/>
    </row>
    <row r="28" spans="1:17" ht="19.5" customHeight="1" thickBot="1" x14ac:dyDescent="0.25">
      <c r="A28" s="826"/>
      <c r="B28" s="248" t="str">
        <f t="shared" si="23"/>
        <v>Media Jornada</v>
      </c>
      <c r="C28" s="245">
        <v>0</v>
      </c>
      <c r="D28" s="140">
        <v>0</v>
      </c>
      <c r="E28" s="140">
        <v>0</v>
      </c>
      <c r="F28" s="140">
        <v>0</v>
      </c>
      <c r="G28" s="544">
        <v>0</v>
      </c>
      <c r="H28" s="553">
        <f>SUM(C28:G28)</f>
        <v>0</v>
      </c>
      <c r="I28" s="546">
        <f>SUM(H26:H28)</f>
        <v>8</v>
      </c>
    </row>
    <row r="29" spans="1:17" x14ac:dyDescent="0.2">
      <c r="C29" s="689" t="s">
        <v>315</v>
      </c>
    </row>
  </sheetData>
  <sheetProtection algorithmName="SHA-512" hashValue="YR2yK0vNw/kM3D7NjcTOH6kplCmQAZ0P7Uhy/8xYD+6IElK813G91IVUJ1uqL2Xj9ndl6ZDiL5ngvlxJRFSCkA==" saltValue="PXXLKEUzvxCTynOV1eI28Q==" spinCount="100000" sheet="1" objects="1" scenarios="1"/>
  <mergeCells count="19"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16:G16"/>
    <mergeCell ref="H16:L16"/>
    <mergeCell ref="M10:Q10"/>
    <mergeCell ref="A19:F19"/>
    <mergeCell ref="H10:L10"/>
    <mergeCell ref="A12:A14"/>
    <mergeCell ref="C5:D5"/>
    <mergeCell ref="M16:Q16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U207"/>
  <sheetViews>
    <sheetView showGridLines="0" topLeftCell="A70" zoomScale="90" zoomScaleNormal="90" workbookViewId="0">
      <selection activeCell="H106" sqref="H106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4.28515625" style="6" customWidth="1"/>
    <col min="8" max="8" width="23" style="6" customWidth="1"/>
    <col min="9" max="9" width="15.7109375" style="4" bestFit="1" customWidth="1"/>
    <col min="10" max="10" width="14.85546875" style="4" customWidth="1"/>
    <col min="11" max="11" width="1.85546875" style="4" customWidth="1"/>
    <col min="12" max="12" width="46.5703125" style="4" customWidth="1"/>
    <col min="13" max="13" width="13.7109375" style="329" customWidth="1"/>
    <col min="14" max="14" width="12.85546875" style="329" bestFit="1" customWidth="1"/>
    <col min="15" max="15" width="11.85546875" style="329" bestFit="1" customWidth="1"/>
    <col min="16" max="16" width="11.42578125" style="4"/>
    <col min="17" max="17" width="13" style="4" bestFit="1" customWidth="1"/>
    <col min="18" max="19" width="11.85546875" style="4" bestFit="1" customWidth="1"/>
    <col min="20" max="16384" width="11.42578125" style="4"/>
  </cols>
  <sheetData>
    <row r="1" spans="1:10" x14ac:dyDescent="0.2">
      <c r="C1" s="41"/>
      <c r="D1" s="41" t="s">
        <v>208</v>
      </c>
      <c r="E1" s="41"/>
      <c r="F1" s="41"/>
      <c r="G1" s="41"/>
      <c r="H1" s="41"/>
    </row>
    <row r="2" spans="1:10" x14ac:dyDescent="0.2">
      <c r="C2" s="41"/>
      <c r="D2" s="41" t="s">
        <v>216</v>
      </c>
      <c r="E2" s="41"/>
      <c r="F2" s="41"/>
      <c r="G2" s="41"/>
      <c r="H2" s="41"/>
    </row>
    <row r="3" spans="1:10" x14ac:dyDescent="0.2">
      <c r="C3" s="41"/>
      <c r="E3" s="41"/>
      <c r="F3" s="41"/>
      <c r="G3" s="41"/>
      <c r="H3" s="41"/>
    </row>
    <row r="4" spans="1:10" ht="19.5" customHeight="1" x14ac:dyDescent="0.2">
      <c r="C4" s="204" t="s">
        <v>0</v>
      </c>
      <c r="D4" s="853" t="s">
        <v>156</v>
      </c>
      <c r="E4" s="854"/>
      <c r="F4" s="41"/>
      <c r="G4" s="41"/>
      <c r="H4" s="41"/>
    </row>
    <row r="5" spans="1:10" x14ac:dyDescent="0.2">
      <c r="B5" s="41"/>
      <c r="C5" s="205"/>
      <c r="D5" s="41"/>
      <c r="E5" s="41"/>
      <c r="F5" s="41"/>
      <c r="G5" s="41"/>
      <c r="H5" s="41"/>
    </row>
    <row r="6" spans="1:10" x14ac:dyDescent="0.2">
      <c r="B6" s="41"/>
      <c r="C6" s="205"/>
      <c r="D6" s="41"/>
      <c r="E6" s="41"/>
      <c r="F6" s="41"/>
      <c r="G6" s="41"/>
      <c r="H6" s="41"/>
      <c r="I6" s="707" t="s">
        <v>354</v>
      </c>
    </row>
    <row r="7" spans="1:10" x14ac:dyDescent="0.2">
      <c r="C7" s="6"/>
    </row>
    <row r="8" spans="1:10" ht="15.75" x14ac:dyDescent="0.2">
      <c r="A8" s="814" t="s">
        <v>157</v>
      </c>
      <c r="B8" s="814"/>
      <c r="C8" s="814"/>
      <c r="D8" s="205"/>
      <c r="G8" s="4"/>
    </row>
    <row r="10" spans="1:10" ht="12.75" customHeight="1" x14ac:dyDescent="0.2">
      <c r="A10" s="859" t="s">
        <v>113</v>
      </c>
      <c r="B10" s="863" t="s">
        <v>75</v>
      </c>
      <c r="C10" s="861" t="s">
        <v>76</v>
      </c>
      <c r="D10" s="856" t="s">
        <v>77</v>
      </c>
      <c r="E10" s="855" t="s">
        <v>78</v>
      </c>
      <c r="F10" s="855"/>
      <c r="G10" s="855"/>
      <c r="H10" s="857" t="s">
        <v>246</v>
      </c>
    </row>
    <row r="11" spans="1:10" ht="39" customHeight="1" thickBot="1" x14ac:dyDescent="0.25">
      <c r="A11" s="860"/>
      <c r="B11" s="864"/>
      <c r="C11" s="862"/>
      <c r="D11" s="856"/>
      <c r="E11" s="210" t="s">
        <v>67</v>
      </c>
      <c r="F11" s="211" t="s">
        <v>68</v>
      </c>
      <c r="G11" s="212" t="s">
        <v>6</v>
      </c>
      <c r="H11" s="858"/>
    </row>
    <row r="12" spans="1:10" ht="15.75" customHeight="1" x14ac:dyDescent="0.2">
      <c r="A12" s="868" t="str">
        <f>+'B) Reajuste Tarifas y Ocupación'!A12</f>
        <v>Jardín Infantil Pequeños Héroes</v>
      </c>
      <c r="B12" s="320"/>
      <c r="C12" s="288" t="s">
        <v>11</v>
      </c>
      <c r="D12" s="289">
        <f>SUM(D13+D18)</f>
        <v>59414437.765333354</v>
      </c>
      <c r="E12" s="359"/>
      <c r="F12" s="359"/>
      <c r="G12" s="290">
        <f>SUM(G13,G18)</f>
        <v>16995360</v>
      </c>
      <c r="H12" s="291">
        <f>SUM(H13,H18)</f>
        <v>76409797.765333354</v>
      </c>
      <c r="I12" s="292"/>
      <c r="J12" s="292"/>
    </row>
    <row r="13" spans="1:10" ht="12.75" customHeight="1" x14ac:dyDescent="0.2">
      <c r="A13" s="799"/>
      <c r="B13" s="293"/>
      <c r="C13" s="294" t="s">
        <v>12</v>
      </c>
      <c r="D13" s="295">
        <f>SUM(D14:D17)</f>
        <v>53365037.765333354</v>
      </c>
      <c r="E13" s="378"/>
      <c r="F13" s="378"/>
      <c r="G13" s="296">
        <f>SUM(G14:G17)</f>
        <v>384000</v>
      </c>
      <c r="H13" s="297">
        <f>SUM(H14:H17)</f>
        <v>53749037.765333354</v>
      </c>
      <c r="I13" s="292"/>
      <c r="J13" s="292"/>
    </row>
    <row r="14" spans="1:10" ht="12.75" customHeight="1" x14ac:dyDescent="0.2">
      <c r="A14" s="799"/>
      <c r="B14" s="298">
        <v>53103040100000</v>
      </c>
      <c r="C14" s="299" t="s">
        <v>95</v>
      </c>
      <c r="D14" s="300">
        <f>+'F) Remuneraciones'!L11</f>
        <v>53365037.765333354</v>
      </c>
      <c r="E14" s="301">
        <v>0</v>
      </c>
      <c r="F14" s="363">
        <v>0</v>
      </c>
      <c r="G14" s="301">
        <f>E14*F14</f>
        <v>0</v>
      </c>
      <c r="H14" s="302">
        <f>D14+G14</f>
        <v>53365037.765333354</v>
      </c>
      <c r="I14" s="292"/>
      <c r="J14" s="292"/>
    </row>
    <row r="15" spans="1:10" ht="12.75" customHeight="1" x14ac:dyDescent="0.2">
      <c r="A15" s="799"/>
      <c r="B15" s="298">
        <v>53103050000000</v>
      </c>
      <c r="C15" s="299" t="s">
        <v>176</v>
      </c>
      <c r="D15" s="744">
        <v>0</v>
      </c>
      <c r="E15" s="209">
        <v>0</v>
      </c>
      <c r="F15" s="208">
        <v>0</v>
      </c>
      <c r="G15" s="301">
        <f>E15*F15</f>
        <v>0</v>
      </c>
      <c r="H15" s="302">
        <f>D15+G15</f>
        <v>0</v>
      </c>
      <c r="I15" s="703"/>
      <c r="J15" s="292"/>
    </row>
    <row r="16" spans="1:10" ht="12.75" customHeight="1" x14ac:dyDescent="0.2">
      <c r="A16" s="799"/>
      <c r="B16" s="322">
        <v>53103040400000</v>
      </c>
      <c r="C16" s="303" t="s">
        <v>177</v>
      </c>
      <c r="D16" s="207">
        <v>0</v>
      </c>
      <c r="E16" s="209">
        <v>0</v>
      </c>
      <c r="F16" s="208">
        <v>0</v>
      </c>
      <c r="G16" s="301">
        <f>E16*F16</f>
        <v>0</v>
      </c>
      <c r="H16" s="302">
        <f>D16+G16</f>
        <v>0</v>
      </c>
      <c r="I16" s="292"/>
      <c r="J16" s="292"/>
    </row>
    <row r="17" spans="1:16" ht="12.75" customHeight="1" x14ac:dyDescent="0.2">
      <c r="A17" s="799"/>
      <c r="B17" s="298">
        <v>53103080010000</v>
      </c>
      <c r="C17" s="299" t="s">
        <v>178</v>
      </c>
      <c r="D17" s="207"/>
      <c r="E17" s="209">
        <v>1600</v>
      </c>
      <c r="F17" s="208">
        <f>2*6*20</f>
        <v>240</v>
      </c>
      <c r="G17" s="301">
        <f>E17*F17</f>
        <v>384000</v>
      </c>
      <c r="H17" s="302">
        <f>D17+G17</f>
        <v>384000</v>
      </c>
      <c r="I17" s="292"/>
      <c r="J17" s="292"/>
      <c r="L17" s="851" t="s">
        <v>236</v>
      </c>
      <c r="M17" s="850" t="s">
        <v>230</v>
      </c>
      <c r="N17" s="850" t="s">
        <v>234</v>
      </c>
      <c r="O17" s="850" t="s">
        <v>235</v>
      </c>
    </row>
    <row r="18" spans="1:16" ht="12.75" customHeight="1" x14ac:dyDescent="0.2">
      <c r="A18" s="799"/>
      <c r="B18" s="293"/>
      <c r="C18" s="294" t="s">
        <v>16</v>
      </c>
      <c r="D18" s="295">
        <f>SUM(D19:D38)</f>
        <v>6049400</v>
      </c>
      <c r="E18" s="378"/>
      <c r="F18" s="378"/>
      <c r="G18" s="295">
        <f>SUM(G19:G38)</f>
        <v>16611360</v>
      </c>
      <c r="H18" s="297">
        <f>SUM(H19:H38)</f>
        <v>22660760</v>
      </c>
      <c r="I18" s="292"/>
      <c r="J18" s="292"/>
      <c r="L18" s="852"/>
      <c r="M18" s="850"/>
      <c r="N18" s="850"/>
      <c r="O18" s="850"/>
    </row>
    <row r="19" spans="1:16" ht="12.75" customHeight="1" x14ac:dyDescent="0.2">
      <c r="A19" s="799"/>
      <c r="B19" s="298">
        <v>53201010100000</v>
      </c>
      <c r="C19" s="304" t="s">
        <v>179</v>
      </c>
      <c r="D19" s="207">
        <v>0</v>
      </c>
      <c r="E19" s="744">
        <v>1912</v>
      </c>
      <c r="F19" s="745">
        <f>(9*20*11)</f>
        <v>1980</v>
      </c>
      <c r="G19" s="301">
        <f t="shared" ref="G19:G38" si="0">E19*F19</f>
        <v>3785760</v>
      </c>
      <c r="H19" s="302">
        <f t="shared" ref="H19:H38" si="1">D19+G19</f>
        <v>3785760</v>
      </c>
      <c r="I19" s="292"/>
      <c r="J19" s="292"/>
      <c r="L19" s="466" t="s">
        <v>11</v>
      </c>
      <c r="M19" s="467"/>
      <c r="N19" s="467"/>
      <c r="O19" s="467"/>
    </row>
    <row r="20" spans="1:16" ht="12.75" customHeight="1" x14ac:dyDescent="0.2">
      <c r="A20" s="799"/>
      <c r="B20" s="298">
        <v>53201010100000</v>
      </c>
      <c r="C20" s="304" t="s">
        <v>180</v>
      </c>
      <c r="D20" s="744">
        <v>0</v>
      </c>
      <c r="E20" s="209">
        <v>960</v>
      </c>
      <c r="F20" s="745">
        <f>(20*66*10)+(8*20)</f>
        <v>13360</v>
      </c>
      <c r="G20" s="301">
        <f>E20*F20</f>
        <v>12825600</v>
      </c>
      <c r="H20" s="302">
        <f>D20+G20</f>
        <v>12825600</v>
      </c>
      <c r="I20" s="703" t="s">
        <v>365</v>
      </c>
      <c r="J20" s="292"/>
      <c r="L20" s="463" t="s">
        <v>16</v>
      </c>
      <c r="M20" s="464"/>
      <c r="N20" s="465"/>
      <c r="O20" s="465"/>
    </row>
    <row r="21" spans="1:16" ht="12.75" customHeight="1" x14ac:dyDescent="0.2">
      <c r="A21" s="799"/>
      <c r="B21" s="298">
        <v>53201010100000</v>
      </c>
      <c r="C21" s="304" t="s">
        <v>181</v>
      </c>
      <c r="D21" s="207">
        <v>0</v>
      </c>
      <c r="E21" s="209">
        <v>0</v>
      </c>
      <c r="F21" s="208">
        <v>0</v>
      </c>
      <c r="G21" s="301">
        <f t="shared" si="0"/>
        <v>0</v>
      </c>
      <c r="H21" s="302">
        <f t="shared" si="1"/>
        <v>0</v>
      </c>
      <c r="I21" s="292"/>
      <c r="J21" s="292"/>
      <c r="L21" s="326" t="s">
        <v>182</v>
      </c>
      <c r="M21" s="372">
        <v>0</v>
      </c>
      <c r="N21" s="325">
        <f t="shared" ref="N21:N68" si="2">M21*0.7</f>
        <v>0</v>
      </c>
      <c r="O21" s="325">
        <f t="shared" ref="O21:O68" si="3">M21*0.3</f>
        <v>0</v>
      </c>
    </row>
    <row r="22" spans="1:16" ht="12.75" customHeight="1" x14ac:dyDescent="0.2">
      <c r="A22" s="799"/>
      <c r="B22" s="298">
        <v>53202010100000</v>
      </c>
      <c r="C22" s="299" t="s">
        <v>182</v>
      </c>
      <c r="D22" s="361">
        <f>N21</f>
        <v>0</v>
      </c>
      <c r="E22" s="361">
        <v>0</v>
      </c>
      <c r="F22" s="362">
        <v>0</v>
      </c>
      <c r="G22" s="301">
        <f t="shared" si="0"/>
        <v>0</v>
      </c>
      <c r="H22" s="302">
        <f t="shared" si="1"/>
        <v>0</v>
      </c>
      <c r="I22" s="292"/>
      <c r="J22" s="292"/>
      <c r="L22" s="299" t="s">
        <v>19</v>
      </c>
      <c r="M22" s="373">
        <v>0</v>
      </c>
      <c r="N22" s="325">
        <f t="shared" si="2"/>
        <v>0</v>
      </c>
      <c r="O22" s="325">
        <f t="shared" si="3"/>
        <v>0</v>
      </c>
    </row>
    <row r="23" spans="1:16" ht="12.75" customHeight="1" x14ac:dyDescent="0.2">
      <c r="A23" s="799"/>
      <c r="B23" s="298">
        <v>53203010100000</v>
      </c>
      <c r="C23" s="299" t="s">
        <v>19</v>
      </c>
      <c r="D23" s="301">
        <f>N22</f>
        <v>0</v>
      </c>
      <c r="E23" s="301">
        <v>0</v>
      </c>
      <c r="F23" s="362">
        <v>0</v>
      </c>
      <c r="G23" s="301">
        <f t="shared" si="0"/>
        <v>0</v>
      </c>
      <c r="H23" s="302">
        <f>D23+G23</f>
        <v>0</v>
      </c>
      <c r="I23" s="292"/>
      <c r="J23" s="292"/>
      <c r="L23" s="299" t="s">
        <v>183</v>
      </c>
      <c r="M23" s="373">
        <v>200000</v>
      </c>
      <c r="N23" s="325">
        <f t="shared" si="2"/>
        <v>140000</v>
      </c>
      <c r="O23" s="325">
        <f t="shared" si="3"/>
        <v>60000</v>
      </c>
    </row>
    <row r="24" spans="1:16" ht="12.75" customHeight="1" x14ac:dyDescent="0.2">
      <c r="A24" s="799"/>
      <c r="B24" s="298">
        <v>53203030000000</v>
      </c>
      <c r="C24" s="299" t="s">
        <v>183</v>
      </c>
      <c r="D24" s="301">
        <f>N23</f>
        <v>140000</v>
      </c>
      <c r="E24" s="301">
        <v>0</v>
      </c>
      <c r="F24" s="362">
        <v>0</v>
      </c>
      <c r="G24" s="301">
        <f t="shared" si="0"/>
        <v>0</v>
      </c>
      <c r="H24" s="302">
        <f t="shared" si="1"/>
        <v>140000</v>
      </c>
      <c r="I24" s="292"/>
      <c r="J24" s="292"/>
      <c r="L24" s="299" t="s">
        <v>217</v>
      </c>
      <c r="M24" s="373">
        <v>210000</v>
      </c>
      <c r="N24" s="325">
        <f t="shared" si="2"/>
        <v>147000</v>
      </c>
      <c r="O24" s="325">
        <f t="shared" si="3"/>
        <v>63000</v>
      </c>
    </row>
    <row r="25" spans="1:16" ht="12.75" customHeight="1" x14ac:dyDescent="0.2">
      <c r="A25" s="799"/>
      <c r="B25" s="298">
        <v>53204030000000</v>
      </c>
      <c r="C25" s="299" t="s">
        <v>217</v>
      </c>
      <c r="D25" s="301">
        <f>N24</f>
        <v>147000</v>
      </c>
      <c r="E25" s="301">
        <v>0</v>
      </c>
      <c r="F25" s="362">
        <v>0</v>
      </c>
      <c r="G25" s="301">
        <f t="shared" si="0"/>
        <v>0</v>
      </c>
      <c r="H25" s="302">
        <f>D25+G25</f>
        <v>147000</v>
      </c>
      <c r="I25" s="292"/>
      <c r="J25" s="292"/>
      <c r="L25" s="299" t="s">
        <v>22</v>
      </c>
      <c r="M25" s="373">
        <v>0</v>
      </c>
      <c r="N25" s="325">
        <f t="shared" si="2"/>
        <v>0</v>
      </c>
      <c r="O25" s="325">
        <f t="shared" si="3"/>
        <v>0</v>
      </c>
      <c r="P25" s="707"/>
    </row>
    <row r="26" spans="1:16" ht="12.75" customHeight="1" x14ac:dyDescent="0.2">
      <c r="A26" s="799"/>
      <c r="B26" s="298">
        <v>53204100100001</v>
      </c>
      <c r="C26" s="299" t="s">
        <v>22</v>
      </c>
      <c r="D26" s="301">
        <f t="shared" ref="D26:D33" si="4">N25</f>
        <v>0</v>
      </c>
      <c r="E26" s="301">
        <v>0</v>
      </c>
      <c r="F26" s="362">
        <v>0</v>
      </c>
      <c r="G26" s="301">
        <f t="shared" si="0"/>
        <v>0</v>
      </c>
      <c r="H26" s="302">
        <f t="shared" si="1"/>
        <v>0</v>
      </c>
      <c r="I26" s="292"/>
      <c r="J26" s="292"/>
      <c r="L26" s="299" t="s">
        <v>185</v>
      </c>
      <c r="M26" s="373">
        <v>0</v>
      </c>
      <c r="N26" s="325">
        <f t="shared" si="2"/>
        <v>0</v>
      </c>
      <c r="O26" s="325">
        <f t="shared" si="3"/>
        <v>0</v>
      </c>
    </row>
    <row r="27" spans="1:16" ht="12.75" customHeight="1" x14ac:dyDescent="0.2">
      <c r="A27" s="799"/>
      <c r="B27" s="298">
        <v>53204130100000</v>
      </c>
      <c r="C27" s="299" t="s">
        <v>185</v>
      </c>
      <c r="D27" s="301">
        <f t="shared" si="4"/>
        <v>0</v>
      </c>
      <c r="E27" s="301">
        <v>0</v>
      </c>
      <c r="F27" s="362">
        <v>0</v>
      </c>
      <c r="G27" s="301">
        <f t="shared" si="0"/>
        <v>0</v>
      </c>
      <c r="H27" s="302">
        <f t="shared" si="1"/>
        <v>0</v>
      </c>
      <c r="I27" s="292"/>
      <c r="J27" s="292"/>
      <c r="L27" s="299" t="s">
        <v>24</v>
      </c>
      <c r="M27" s="373">
        <v>1205000</v>
      </c>
      <c r="N27" s="325">
        <f t="shared" si="2"/>
        <v>843500</v>
      </c>
      <c r="O27" s="325">
        <f t="shared" si="3"/>
        <v>361500</v>
      </c>
    </row>
    <row r="28" spans="1:16" ht="12.75" customHeight="1" x14ac:dyDescent="0.2">
      <c r="A28" s="799"/>
      <c r="B28" s="298">
        <v>53205010100000</v>
      </c>
      <c r="C28" s="299" t="s">
        <v>24</v>
      </c>
      <c r="D28" s="301">
        <f t="shared" si="4"/>
        <v>843500</v>
      </c>
      <c r="E28" s="301">
        <v>0</v>
      </c>
      <c r="F28" s="362">
        <v>0</v>
      </c>
      <c r="G28" s="301">
        <f t="shared" si="0"/>
        <v>0</v>
      </c>
      <c r="H28" s="302">
        <f t="shared" si="1"/>
        <v>843500</v>
      </c>
      <c r="I28" s="292" t="s">
        <v>342</v>
      </c>
      <c r="J28" s="705">
        <f>H28/12</f>
        <v>70291.666666666672</v>
      </c>
      <c r="L28" s="299" t="s">
        <v>25</v>
      </c>
      <c r="M28" s="373">
        <f>1353000+600000</f>
        <v>1953000</v>
      </c>
      <c r="N28" s="325">
        <f t="shared" si="2"/>
        <v>1367100</v>
      </c>
      <c r="O28" s="325">
        <f t="shared" si="3"/>
        <v>585900</v>
      </c>
    </row>
    <row r="29" spans="1:16" ht="12.75" customHeight="1" x14ac:dyDescent="0.2">
      <c r="A29" s="799"/>
      <c r="B29" s="298">
        <v>53205020100000</v>
      </c>
      <c r="C29" s="299" t="s">
        <v>25</v>
      </c>
      <c r="D29" s="301">
        <f t="shared" si="4"/>
        <v>1367100</v>
      </c>
      <c r="E29" s="301">
        <v>0</v>
      </c>
      <c r="F29" s="362">
        <v>0</v>
      </c>
      <c r="G29" s="301">
        <f t="shared" si="0"/>
        <v>0</v>
      </c>
      <c r="H29" s="302">
        <f t="shared" si="1"/>
        <v>1367100</v>
      </c>
      <c r="I29" s="292" t="s">
        <v>342</v>
      </c>
      <c r="J29" s="705">
        <f t="shared" ref="J29:J30" si="5">H29/12</f>
        <v>113925</v>
      </c>
      <c r="L29" s="299" t="s">
        <v>26</v>
      </c>
      <c r="M29" s="373">
        <f>(62000*4)+(70000*4)+70000</f>
        <v>598000</v>
      </c>
      <c r="N29" s="325">
        <f t="shared" si="2"/>
        <v>418600</v>
      </c>
      <c r="O29" s="325">
        <f t="shared" si="3"/>
        <v>179400</v>
      </c>
      <c r="P29" s="4">
        <f>(62000*4)*2</f>
        <v>496000</v>
      </c>
    </row>
    <row r="30" spans="1:16" ht="12.75" customHeight="1" x14ac:dyDescent="0.2">
      <c r="A30" s="799"/>
      <c r="B30" s="298">
        <v>53205030100000</v>
      </c>
      <c r="C30" s="299" t="s">
        <v>26</v>
      </c>
      <c r="D30" s="301">
        <f t="shared" si="4"/>
        <v>418600</v>
      </c>
      <c r="E30" s="301">
        <v>0</v>
      </c>
      <c r="F30" s="362">
        <v>0</v>
      </c>
      <c r="G30" s="301">
        <f t="shared" si="0"/>
        <v>0</v>
      </c>
      <c r="H30" s="302">
        <f t="shared" si="1"/>
        <v>418600</v>
      </c>
      <c r="I30" s="292" t="s">
        <v>342</v>
      </c>
      <c r="J30" s="705">
        <f t="shared" si="5"/>
        <v>34883.333333333336</v>
      </c>
      <c r="L30" s="299" t="s">
        <v>27</v>
      </c>
      <c r="M30" s="373"/>
      <c r="N30" s="325">
        <f t="shared" si="2"/>
        <v>0</v>
      </c>
      <c r="O30" s="325">
        <f t="shared" si="3"/>
        <v>0</v>
      </c>
    </row>
    <row r="31" spans="1:16" ht="12.75" customHeight="1" x14ac:dyDescent="0.2">
      <c r="A31" s="799"/>
      <c r="B31" s="298">
        <v>53205050100000</v>
      </c>
      <c r="C31" s="299" t="s">
        <v>27</v>
      </c>
      <c r="D31" s="301">
        <f t="shared" si="4"/>
        <v>0</v>
      </c>
      <c r="E31" s="301">
        <v>0</v>
      </c>
      <c r="F31" s="362">
        <v>0</v>
      </c>
      <c r="G31" s="301">
        <f t="shared" si="0"/>
        <v>0</v>
      </c>
      <c r="H31" s="302">
        <f t="shared" si="1"/>
        <v>0</v>
      </c>
      <c r="I31" s="292"/>
      <c r="J31" s="292"/>
      <c r="L31" s="299" t="s">
        <v>29</v>
      </c>
      <c r="M31" s="373">
        <f>(48000*12)</f>
        <v>576000</v>
      </c>
      <c r="N31" s="325">
        <f t="shared" si="2"/>
        <v>403200</v>
      </c>
      <c r="O31" s="325">
        <f t="shared" si="3"/>
        <v>172800</v>
      </c>
    </row>
    <row r="32" spans="1:16" ht="12.75" customHeight="1" x14ac:dyDescent="0.2">
      <c r="A32" s="799"/>
      <c r="B32" s="298">
        <v>53205070100000</v>
      </c>
      <c r="C32" s="299" t="s">
        <v>29</v>
      </c>
      <c r="D32" s="301">
        <f t="shared" si="4"/>
        <v>403200</v>
      </c>
      <c r="E32" s="301">
        <v>0</v>
      </c>
      <c r="F32" s="362">
        <v>0</v>
      </c>
      <c r="G32" s="301">
        <f t="shared" si="0"/>
        <v>0</v>
      </c>
      <c r="H32" s="302">
        <f t="shared" si="1"/>
        <v>403200</v>
      </c>
      <c r="I32" s="292"/>
      <c r="J32" s="292"/>
      <c r="L32" s="299" t="s">
        <v>30</v>
      </c>
      <c r="M32" s="373">
        <v>0</v>
      </c>
      <c r="N32" s="325">
        <f t="shared" si="2"/>
        <v>0</v>
      </c>
      <c r="O32" s="325">
        <f t="shared" si="3"/>
        <v>0</v>
      </c>
    </row>
    <row r="33" spans="1:21" ht="12.75" customHeight="1" x14ac:dyDescent="0.2">
      <c r="A33" s="799"/>
      <c r="B33" s="298">
        <v>53208010100000</v>
      </c>
      <c r="C33" s="299" t="s">
        <v>30</v>
      </c>
      <c r="D33" s="301">
        <f t="shared" si="4"/>
        <v>0</v>
      </c>
      <c r="E33" s="301">
        <v>0</v>
      </c>
      <c r="F33" s="362">
        <v>0</v>
      </c>
      <c r="G33" s="301">
        <f t="shared" si="0"/>
        <v>0</v>
      </c>
      <c r="H33" s="302">
        <f t="shared" si="1"/>
        <v>0</v>
      </c>
      <c r="I33" s="292"/>
      <c r="J33" s="292"/>
      <c r="L33" s="299" t="s">
        <v>31</v>
      </c>
      <c r="M33" s="374">
        <v>300000</v>
      </c>
      <c r="N33" s="325">
        <f t="shared" si="2"/>
        <v>210000</v>
      </c>
      <c r="O33" s="325">
        <f t="shared" si="3"/>
        <v>90000</v>
      </c>
    </row>
    <row r="34" spans="1:21" ht="12.75" customHeight="1" x14ac:dyDescent="0.2">
      <c r="A34" s="799"/>
      <c r="B34" s="298">
        <v>53208070100001</v>
      </c>
      <c r="C34" s="299" t="s">
        <v>31</v>
      </c>
      <c r="D34" s="301">
        <f>N33</f>
        <v>210000</v>
      </c>
      <c r="E34" s="301">
        <v>0</v>
      </c>
      <c r="F34" s="362">
        <v>0</v>
      </c>
      <c r="G34" s="301">
        <f t="shared" si="0"/>
        <v>0</v>
      </c>
      <c r="H34" s="302">
        <f t="shared" si="1"/>
        <v>210000</v>
      </c>
      <c r="I34" s="292"/>
      <c r="J34" s="292"/>
      <c r="L34" s="299" t="s">
        <v>186</v>
      </c>
      <c r="M34" s="373">
        <v>0</v>
      </c>
      <c r="N34" s="325">
        <f t="shared" si="2"/>
        <v>0</v>
      </c>
      <c r="O34" s="325">
        <f t="shared" si="3"/>
        <v>0</v>
      </c>
    </row>
    <row r="35" spans="1:21" ht="12.75" customHeight="1" x14ac:dyDescent="0.2">
      <c r="A35" s="799"/>
      <c r="B35" s="298">
        <v>53208100100001</v>
      </c>
      <c r="C35" s="299" t="s">
        <v>186</v>
      </c>
      <c r="D35" s="301">
        <f>N34</f>
        <v>0</v>
      </c>
      <c r="E35" s="301">
        <v>0</v>
      </c>
      <c r="F35" s="362">
        <v>0</v>
      </c>
      <c r="G35" s="301">
        <f t="shared" si="0"/>
        <v>0</v>
      </c>
      <c r="H35" s="302">
        <f t="shared" si="1"/>
        <v>0</v>
      </c>
      <c r="I35" s="292"/>
      <c r="J35" s="292"/>
      <c r="L35" s="299" t="s">
        <v>32</v>
      </c>
      <c r="M35" s="373">
        <v>0</v>
      </c>
      <c r="N35" s="325">
        <f t="shared" si="2"/>
        <v>0</v>
      </c>
      <c r="O35" s="325">
        <f t="shared" si="3"/>
        <v>0</v>
      </c>
    </row>
    <row r="36" spans="1:21" ht="12.75" customHeight="1" x14ac:dyDescent="0.2">
      <c r="A36" s="799"/>
      <c r="B36" s="298">
        <v>53211030000000</v>
      </c>
      <c r="C36" s="299" t="s">
        <v>32</v>
      </c>
      <c r="D36" s="301">
        <f t="shared" ref="D36" si="6">N35</f>
        <v>0</v>
      </c>
      <c r="E36" s="301">
        <v>0</v>
      </c>
      <c r="F36" s="362">
        <v>0</v>
      </c>
      <c r="G36" s="301">
        <f t="shared" si="0"/>
        <v>0</v>
      </c>
      <c r="H36" s="302">
        <f t="shared" si="1"/>
        <v>0</v>
      </c>
      <c r="I36" s="292"/>
      <c r="J36" s="292"/>
      <c r="L36" s="326" t="s">
        <v>187</v>
      </c>
      <c r="M36" s="373">
        <v>3600000</v>
      </c>
      <c r="N36" s="325">
        <v>2520000</v>
      </c>
      <c r="O36" s="325">
        <v>1080000</v>
      </c>
      <c r="P36" s="710"/>
      <c r="Q36" s="711"/>
      <c r="R36" s="707"/>
      <c r="S36" s="707"/>
      <c r="T36" s="707"/>
      <c r="U36" s="707"/>
    </row>
    <row r="37" spans="1:21" ht="12.75" customHeight="1" x14ac:dyDescent="0.2">
      <c r="A37" s="799"/>
      <c r="B37" s="298">
        <v>53212020100000</v>
      </c>
      <c r="C37" s="299" t="s">
        <v>187</v>
      </c>
      <c r="D37" s="301">
        <v>2520000</v>
      </c>
      <c r="E37" s="301">
        <v>0</v>
      </c>
      <c r="F37" s="362">
        <v>0</v>
      </c>
      <c r="G37" s="301">
        <f t="shared" si="0"/>
        <v>0</v>
      </c>
      <c r="H37" s="302">
        <f t="shared" si="1"/>
        <v>2520000</v>
      </c>
      <c r="I37" s="292"/>
      <c r="J37" s="292"/>
      <c r="L37" s="299" t="s">
        <v>188</v>
      </c>
      <c r="M37" s="375">
        <v>0</v>
      </c>
      <c r="N37" s="325">
        <f t="shared" si="2"/>
        <v>0</v>
      </c>
      <c r="O37" s="325">
        <f t="shared" si="3"/>
        <v>0</v>
      </c>
    </row>
    <row r="38" spans="1:21" ht="12.75" customHeight="1" x14ac:dyDescent="0.2">
      <c r="A38" s="799"/>
      <c r="B38" s="298">
        <v>53214020000000</v>
      </c>
      <c r="C38" s="299" t="s">
        <v>188</v>
      </c>
      <c r="D38" s="301">
        <f>N37</f>
        <v>0</v>
      </c>
      <c r="E38" s="301">
        <v>0</v>
      </c>
      <c r="F38" s="362">
        <v>0</v>
      </c>
      <c r="G38" s="301">
        <f t="shared" si="0"/>
        <v>0</v>
      </c>
      <c r="H38" s="302">
        <f t="shared" si="1"/>
        <v>0</v>
      </c>
      <c r="I38" s="292"/>
      <c r="J38" s="292"/>
      <c r="L38" s="288" t="s">
        <v>34</v>
      </c>
      <c r="M38" s="376"/>
      <c r="N38" s="369"/>
      <c r="O38" s="369"/>
    </row>
    <row r="39" spans="1:21" ht="15.75" customHeight="1" x14ac:dyDescent="0.2">
      <c r="A39" s="799"/>
      <c r="B39" s="320"/>
      <c r="C39" s="288" t="s">
        <v>34</v>
      </c>
      <c r="D39" s="305">
        <f>SUM(D40,D45,D47,D56,D65,D73)</f>
        <v>6577200</v>
      </c>
      <c r="E39" s="379"/>
      <c r="F39" s="379"/>
      <c r="G39" s="289"/>
      <c r="H39" s="305">
        <f>SUM(H40,H45,H47,H56,H65,H73)</f>
        <v>7765640</v>
      </c>
      <c r="I39" s="292"/>
      <c r="J39" s="292"/>
      <c r="L39" s="294" t="s">
        <v>35</v>
      </c>
      <c r="M39" s="371"/>
      <c r="N39" s="368"/>
      <c r="O39" s="368"/>
    </row>
    <row r="40" spans="1:21" ht="12.75" customHeight="1" x14ac:dyDescent="0.2">
      <c r="A40" s="799"/>
      <c r="B40" s="293"/>
      <c r="C40" s="294" t="s">
        <v>35</v>
      </c>
      <c r="D40" s="295">
        <f>SUM(D41:D44)</f>
        <v>245000</v>
      </c>
      <c r="E40" s="378"/>
      <c r="F40" s="378"/>
      <c r="G40" s="295">
        <f>SUM(G41:G44)</f>
        <v>0</v>
      </c>
      <c r="H40" s="295">
        <f>SUM(H41:H44)</f>
        <v>245000</v>
      </c>
      <c r="I40" s="292"/>
      <c r="J40" s="292"/>
      <c r="L40" s="299" t="s">
        <v>41</v>
      </c>
      <c r="M40" s="373">
        <v>0</v>
      </c>
      <c r="N40" s="325">
        <f t="shared" si="2"/>
        <v>0</v>
      </c>
      <c r="O40" s="325">
        <f t="shared" si="3"/>
        <v>0</v>
      </c>
    </row>
    <row r="41" spans="1:21" ht="12.75" customHeight="1" x14ac:dyDescent="0.2">
      <c r="A41" s="799"/>
      <c r="B41" s="298">
        <v>53202020100000</v>
      </c>
      <c r="C41" s="299" t="s">
        <v>189</v>
      </c>
      <c r="D41" s="207">
        <f>+(20000*11)</f>
        <v>220000</v>
      </c>
      <c r="E41" s="209"/>
      <c r="F41" s="360">
        <v>0</v>
      </c>
      <c r="G41" s="301">
        <f>E41*F41</f>
        <v>0</v>
      </c>
      <c r="H41" s="302">
        <f t="shared" ref="H41:H74" si="7">D41+G41</f>
        <v>220000</v>
      </c>
      <c r="I41" s="703"/>
      <c r="J41" s="292"/>
      <c r="L41" s="326" t="s">
        <v>191</v>
      </c>
      <c r="M41" s="373">
        <v>0</v>
      </c>
      <c r="N41" s="325">
        <f t="shared" si="2"/>
        <v>0</v>
      </c>
      <c r="O41" s="325">
        <f t="shared" si="3"/>
        <v>0</v>
      </c>
    </row>
    <row r="42" spans="1:21" ht="12.75" customHeight="1" x14ac:dyDescent="0.2">
      <c r="A42" s="799"/>
      <c r="B42" s="298">
        <v>53202030000000</v>
      </c>
      <c r="C42" s="299" t="s">
        <v>240</v>
      </c>
      <c r="D42" s="207">
        <v>25000</v>
      </c>
      <c r="E42" s="209"/>
      <c r="F42" s="360">
        <v>0</v>
      </c>
      <c r="G42" s="301">
        <f t="shared" ref="G42:G74" si="8">E42*F42</f>
        <v>0</v>
      </c>
      <c r="H42" s="302">
        <f t="shared" si="7"/>
        <v>25000</v>
      </c>
      <c r="I42" s="292" t="s">
        <v>349</v>
      </c>
      <c r="J42" s="292"/>
      <c r="L42" s="294" t="s">
        <v>42</v>
      </c>
      <c r="M42" s="371"/>
      <c r="N42" s="368"/>
      <c r="O42" s="368"/>
    </row>
    <row r="43" spans="1:21" ht="12.75" customHeight="1" x14ac:dyDescent="0.2">
      <c r="A43" s="799"/>
      <c r="B43" s="298">
        <v>53211020000000</v>
      </c>
      <c r="C43" s="299" t="s">
        <v>41</v>
      </c>
      <c r="D43" s="364">
        <f>N40</f>
        <v>0</v>
      </c>
      <c r="E43" s="364">
        <v>0</v>
      </c>
      <c r="F43" s="365">
        <v>0</v>
      </c>
      <c r="G43" s="301">
        <f t="shared" si="8"/>
        <v>0</v>
      </c>
      <c r="H43" s="302">
        <f t="shared" si="7"/>
        <v>0</v>
      </c>
      <c r="I43" s="292"/>
      <c r="J43" s="292"/>
      <c r="L43" s="299" t="s">
        <v>44</v>
      </c>
      <c r="M43" s="373">
        <v>0</v>
      </c>
      <c r="N43" s="325">
        <f t="shared" si="2"/>
        <v>0</v>
      </c>
      <c r="O43" s="325">
        <f t="shared" si="3"/>
        <v>0</v>
      </c>
    </row>
    <row r="44" spans="1:21" ht="12.75" customHeight="1" x14ac:dyDescent="0.2">
      <c r="A44" s="799"/>
      <c r="B44" s="298">
        <v>53101040600000</v>
      </c>
      <c r="C44" s="299" t="s">
        <v>191</v>
      </c>
      <c r="D44" s="364">
        <f>N41</f>
        <v>0</v>
      </c>
      <c r="E44" s="364">
        <v>0</v>
      </c>
      <c r="F44" s="365">
        <v>0</v>
      </c>
      <c r="G44" s="301">
        <f t="shared" si="8"/>
        <v>0</v>
      </c>
      <c r="H44" s="302">
        <f t="shared" si="7"/>
        <v>0</v>
      </c>
      <c r="I44" s="292"/>
      <c r="J44" s="292"/>
      <c r="L44" s="294" t="s">
        <v>45</v>
      </c>
      <c r="M44" s="377"/>
      <c r="N44" s="461"/>
      <c r="O44" s="461"/>
    </row>
    <row r="45" spans="1:21" ht="12.75" customHeight="1" x14ac:dyDescent="0.2">
      <c r="A45" s="799"/>
      <c r="B45" s="293"/>
      <c r="C45" s="294" t="s">
        <v>42</v>
      </c>
      <c r="D45" s="295">
        <f>SUM(D46:D46)</f>
        <v>0</v>
      </c>
      <c r="E45" s="378"/>
      <c r="F45" s="378"/>
      <c r="G45" s="306">
        <f>SUM(G46:G46)</f>
        <v>0</v>
      </c>
      <c r="H45" s="307">
        <f>SUM(H46:H46)</f>
        <v>0</v>
      </c>
      <c r="I45" s="292"/>
      <c r="J45" s="292"/>
      <c r="L45" s="299" t="s">
        <v>47</v>
      </c>
      <c r="M45" s="373">
        <v>300000</v>
      </c>
      <c r="N45" s="325">
        <f t="shared" si="2"/>
        <v>210000</v>
      </c>
      <c r="O45" s="325">
        <f t="shared" si="3"/>
        <v>90000</v>
      </c>
    </row>
    <row r="46" spans="1:21" ht="12.75" customHeight="1" x14ac:dyDescent="0.2">
      <c r="A46" s="799"/>
      <c r="B46" s="308">
        <v>53205990000000</v>
      </c>
      <c r="C46" s="299" t="s">
        <v>44</v>
      </c>
      <c r="D46" s="364">
        <f>N43</f>
        <v>0</v>
      </c>
      <c r="E46" s="364">
        <v>0</v>
      </c>
      <c r="F46" s="365">
        <v>0</v>
      </c>
      <c r="G46" s="301">
        <f t="shared" si="8"/>
        <v>0</v>
      </c>
      <c r="H46" s="302">
        <f t="shared" si="7"/>
        <v>0</v>
      </c>
      <c r="I46" s="292"/>
      <c r="J46" s="292"/>
      <c r="L46" s="299" t="s">
        <v>218</v>
      </c>
      <c r="M46" s="373">
        <v>0</v>
      </c>
      <c r="N46" s="325">
        <f t="shared" si="2"/>
        <v>0</v>
      </c>
      <c r="O46" s="325">
        <f t="shared" si="3"/>
        <v>0</v>
      </c>
    </row>
    <row r="47" spans="1:21" ht="12.75" customHeight="1" x14ac:dyDescent="0.2">
      <c r="A47" s="799"/>
      <c r="B47" s="293"/>
      <c r="C47" s="294" t="s">
        <v>45</v>
      </c>
      <c r="D47" s="295">
        <f>SUM(D48:D55)</f>
        <v>5054000</v>
      </c>
      <c r="E47" s="378"/>
      <c r="F47" s="378"/>
      <c r="G47" s="295">
        <f>SUM(G48:G55)</f>
        <v>0</v>
      </c>
      <c r="H47" s="297">
        <f>SUM(H48:H55)</f>
        <v>5054000</v>
      </c>
      <c r="I47" s="292"/>
      <c r="J47" s="292"/>
      <c r="L47" s="299" t="s">
        <v>49</v>
      </c>
      <c r="M47" s="373">
        <v>0</v>
      </c>
      <c r="N47" s="325">
        <f t="shared" si="2"/>
        <v>0</v>
      </c>
      <c r="O47" s="325">
        <f t="shared" si="3"/>
        <v>0</v>
      </c>
    </row>
    <row r="48" spans="1:21" ht="12.75" customHeight="1" x14ac:dyDescent="0.2">
      <c r="A48" s="799"/>
      <c r="B48" s="298">
        <v>53204010000000</v>
      </c>
      <c r="C48" s="299" t="s">
        <v>47</v>
      </c>
      <c r="D48" s="364">
        <f t="shared" ref="D48:D52" si="9">N45</f>
        <v>210000</v>
      </c>
      <c r="E48" s="364">
        <v>0</v>
      </c>
      <c r="F48" s="366">
        <v>0</v>
      </c>
      <c r="G48" s="364">
        <f t="shared" si="8"/>
        <v>0</v>
      </c>
      <c r="H48" s="302">
        <f t="shared" si="7"/>
        <v>210000</v>
      </c>
      <c r="I48" s="292"/>
      <c r="J48" s="292"/>
      <c r="L48" s="299" t="s">
        <v>50</v>
      </c>
      <c r="M48" s="373">
        <f>425000*12</f>
        <v>5100000</v>
      </c>
      <c r="N48" s="325">
        <f t="shared" si="2"/>
        <v>3570000</v>
      </c>
      <c r="O48" s="325">
        <f t="shared" si="3"/>
        <v>1530000</v>
      </c>
      <c r="P48" s="707" t="s">
        <v>348</v>
      </c>
      <c r="Q48" s="708">
        <v>10600000</v>
      </c>
      <c r="R48" s="708">
        <v>7420000</v>
      </c>
      <c r="S48" s="708">
        <v>3180000</v>
      </c>
      <c r="T48" s="707" t="s">
        <v>350</v>
      </c>
    </row>
    <row r="49" spans="1:15" ht="12.75" customHeight="1" x14ac:dyDescent="0.2">
      <c r="A49" s="799"/>
      <c r="B49" s="308">
        <v>53204040200000</v>
      </c>
      <c r="C49" s="299" t="s">
        <v>218</v>
      </c>
      <c r="D49" s="364">
        <f t="shared" si="9"/>
        <v>0</v>
      </c>
      <c r="E49" s="364">
        <v>0</v>
      </c>
      <c r="F49" s="366">
        <v>0</v>
      </c>
      <c r="G49" s="364">
        <f t="shared" si="8"/>
        <v>0</v>
      </c>
      <c r="H49" s="302">
        <f t="shared" si="7"/>
        <v>0</v>
      </c>
      <c r="I49" s="292"/>
      <c r="J49" s="292"/>
      <c r="L49" s="299" t="s">
        <v>51</v>
      </c>
      <c r="M49" s="373">
        <v>300000</v>
      </c>
      <c r="N49" s="325">
        <f t="shared" si="2"/>
        <v>210000</v>
      </c>
      <c r="O49" s="325">
        <f t="shared" si="3"/>
        <v>90000</v>
      </c>
    </row>
    <row r="50" spans="1:15" ht="12.75" customHeight="1" x14ac:dyDescent="0.2">
      <c r="A50" s="799"/>
      <c r="B50" s="298">
        <v>53204060000000</v>
      </c>
      <c r="C50" s="299" t="s">
        <v>49</v>
      </c>
      <c r="D50" s="364">
        <f t="shared" si="9"/>
        <v>0</v>
      </c>
      <c r="E50" s="364">
        <v>0</v>
      </c>
      <c r="F50" s="366">
        <v>0</v>
      </c>
      <c r="G50" s="364">
        <f t="shared" si="8"/>
        <v>0</v>
      </c>
      <c r="H50" s="302">
        <f t="shared" si="7"/>
        <v>0</v>
      </c>
      <c r="I50" s="292"/>
      <c r="J50" s="292"/>
      <c r="L50" s="299" t="s">
        <v>52</v>
      </c>
      <c r="M50" s="375">
        <v>0</v>
      </c>
      <c r="N50" s="325">
        <f t="shared" si="2"/>
        <v>0</v>
      </c>
      <c r="O50" s="325">
        <f t="shared" si="3"/>
        <v>0</v>
      </c>
    </row>
    <row r="51" spans="1:15" ht="12.75" customHeight="1" x14ac:dyDescent="0.2">
      <c r="A51" s="799"/>
      <c r="B51" s="298">
        <v>53204070000000</v>
      </c>
      <c r="C51" s="299" t="s">
        <v>50</v>
      </c>
      <c r="D51" s="364">
        <f t="shared" si="9"/>
        <v>3570000</v>
      </c>
      <c r="E51" s="364">
        <v>0</v>
      </c>
      <c r="F51" s="366">
        <v>0</v>
      </c>
      <c r="G51" s="364">
        <f t="shared" si="8"/>
        <v>0</v>
      </c>
      <c r="H51" s="302">
        <f t="shared" si="7"/>
        <v>3570000</v>
      </c>
      <c r="I51" s="292"/>
      <c r="J51" s="292"/>
      <c r="L51" s="326" t="s">
        <v>192</v>
      </c>
      <c r="M51" s="375">
        <f>220000+1300000</f>
        <v>1520000</v>
      </c>
      <c r="N51" s="325">
        <f t="shared" si="2"/>
        <v>1064000</v>
      </c>
      <c r="O51" s="325">
        <f t="shared" si="3"/>
        <v>456000</v>
      </c>
    </row>
    <row r="52" spans="1:15" ht="12.75" customHeight="1" x14ac:dyDescent="0.2">
      <c r="A52" s="799"/>
      <c r="B52" s="298">
        <v>53204080000000</v>
      </c>
      <c r="C52" s="299" t="s">
        <v>51</v>
      </c>
      <c r="D52" s="364">
        <f t="shared" si="9"/>
        <v>210000</v>
      </c>
      <c r="E52" s="364">
        <v>0</v>
      </c>
      <c r="F52" s="366">
        <v>0</v>
      </c>
      <c r="G52" s="364">
        <f t="shared" si="8"/>
        <v>0</v>
      </c>
      <c r="H52" s="302">
        <f t="shared" si="7"/>
        <v>210000</v>
      </c>
      <c r="I52" s="292"/>
      <c r="J52" s="292"/>
      <c r="L52" s="299" t="s">
        <v>184</v>
      </c>
      <c r="M52" s="373">
        <v>0</v>
      </c>
      <c r="N52" s="325">
        <f t="shared" si="2"/>
        <v>0</v>
      </c>
      <c r="O52" s="325">
        <f t="shared" si="3"/>
        <v>0</v>
      </c>
    </row>
    <row r="53" spans="1:15" ht="12.75" customHeight="1" x14ac:dyDescent="0.2">
      <c r="A53" s="799"/>
      <c r="B53" s="298">
        <v>53214010000000</v>
      </c>
      <c r="C53" s="299" t="s">
        <v>52</v>
      </c>
      <c r="D53" s="367">
        <f>N50</f>
        <v>0</v>
      </c>
      <c r="E53" s="367">
        <v>0</v>
      </c>
      <c r="F53" s="366">
        <v>0</v>
      </c>
      <c r="G53" s="364">
        <f t="shared" si="8"/>
        <v>0</v>
      </c>
      <c r="H53" s="302">
        <f t="shared" si="7"/>
        <v>0</v>
      </c>
      <c r="I53" s="292"/>
      <c r="J53" s="292"/>
      <c r="L53" s="294" t="s">
        <v>55</v>
      </c>
      <c r="M53" s="377"/>
      <c r="N53" s="370"/>
      <c r="O53" s="370"/>
    </row>
    <row r="54" spans="1:15" ht="12.75" customHeight="1" x14ac:dyDescent="0.2">
      <c r="A54" s="799"/>
      <c r="B54" s="298">
        <v>53214040000000</v>
      </c>
      <c r="C54" s="299" t="s">
        <v>192</v>
      </c>
      <c r="D54" s="367">
        <f>N51</f>
        <v>1064000</v>
      </c>
      <c r="E54" s="367">
        <v>0</v>
      </c>
      <c r="F54" s="366">
        <v>0</v>
      </c>
      <c r="G54" s="364">
        <f t="shared" si="8"/>
        <v>0</v>
      </c>
      <c r="H54" s="302">
        <f t="shared" si="7"/>
        <v>1064000</v>
      </c>
      <c r="I54" s="292" t="s">
        <v>343</v>
      </c>
      <c r="J54" s="292"/>
      <c r="L54" s="299" t="s">
        <v>56</v>
      </c>
      <c r="M54" s="373">
        <v>0</v>
      </c>
      <c r="N54" s="325">
        <f t="shared" si="2"/>
        <v>0</v>
      </c>
      <c r="O54" s="325">
        <f t="shared" si="3"/>
        <v>0</v>
      </c>
    </row>
    <row r="55" spans="1:15" ht="12.75" customHeight="1" x14ac:dyDescent="0.2">
      <c r="A55" s="799"/>
      <c r="B55" s="322">
        <v>53204020100000</v>
      </c>
      <c r="C55" s="299" t="s">
        <v>184</v>
      </c>
      <c r="D55" s="364">
        <f>N52</f>
        <v>0</v>
      </c>
      <c r="E55" s="364">
        <v>0</v>
      </c>
      <c r="F55" s="366">
        <v>0</v>
      </c>
      <c r="G55" s="364">
        <f t="shared" si="8"/>
        <v>0</v>
      </c>
      <c r="H55" s="302">
        <f t="shared" si="7"/>
        <v>0</v>
      </c>
      <c r="I55" s="292"/>
      <c r="J55" s="292"/>
      <c r="L55" s="299" t="s">
        <v>57</v>
      </c>
      <c r="M55" s="373">
        <f>48000*12</f>
        <v>576000</v>
      </c>
      <c r="N55" s="325">
        <f t="shared" si="2"/>
        <v>403200</v>
      </c>
      <c r="O55" s="325">
        <f t="shared" si="3"/>
        <v>172800</v>
      </c>
    </row>
    <row r="56" spans="1:15" ht="12.75" customHeight="1" x14ac:dyDescent="0.2">
      <c r="A56" s="799"/>
      <c r="B56" s="293"/>
      <c r="C56" s="294" t="s">
        <v>55</v>
      </c>
      <c r="D56" s="295">
        <f>SUM(D57:D64)</f>
        <v>1243200</v>
      </c>
      <c r="E56" s="378"/>
      <c r="F56" s="378"/>
      <c r="G56" s="295">
        <f>SUM(G57:G64)</f>
        <v>559440</v>
      </c>
      <c r="H56" s="297">
        <f>SUM(H57:H64)</f>
        <v>1802640</v>
      </c>
      <c r="I56" s="292"/>
      <c r="J56" s="292"/>
      <c r="L56" s="299" t="s">
        <v>175</v>
      </c>
      <c r="M56" s="373">
        <v>0</v>
      </c>
      <c r="N56" s="325">
        <f t="shared" si="2"/>
        <v>0</v>
      </c>
      <c r="O56" s="325">
        <f t="shared" si="3"/>
        <v>0</v>
      </c>
    </row>
    <row r="57" spans="1:15" ht="12.75" customHeight="1" x14ac:dyDescent="0.2">
      <c r="A57" s="799"/>
      <c r="B57" s="298">
        <v>53207010000000</v>
      </c>
      <c r="C57" s="299" t="s">
        <v>56</v>
      </c>
      <c r="D57" s="364">
        <f>N54</f>
        <v>0</v>
      </c>
      <c r="E57" s="364">
        <v>0</v>
      </c>
      <c r="F57" s="365">
        <v>0</v>
      </c>
      <c r="G57" s="364">
        <f t="shared" si="8"/>
        <v>0</v>
      </c>
      <c r="H57" s="302">
        <f t="shared" si="7"/>
        <v>0</v>
      </c>
      <c r="I57" s="292"/>
      <c r="J57" s="292"/>
      <c r="L57" s="299" t="s">
        <v>193</v>
      </c>
      <c r="M57" s="373">
        <v>500000</v>
      </c>
      <c r="N57" s="325">
        <f t="shared" si="2"/>
        <v>350000</v>
      </c>
      <c r="O57" s="325">
        <f t="shared" si="3"/>
        <v>150000</v>
      </c>
    </row>
    <row r="58" spans="1:15" ht="12.75" customHeight="1" x14ac:dyDescent="0.2">
      <c r="A58" s="799"/>
      <c r="B58" s="298">
        <v>53207020000000</v>
      </c>
      <c r="C58" s="299" t="s">
        <v>57</v>
      </c>
      <c r="D58" s="364">
        <f t="shared" ref="D58:D60" si="10">N55</f>
        <v>403200</v>
      </c>
      <c r="E58" s="364">
        <v>0</v>
      </c>
      <c r="F58" s="365">
        <v>0</v>
      </c>
      <c r="G58" s="364">
        <f t="shared" si="8"/>
        <v>0</v>
      </c>
      <c r="H58" s="302">
        <f t="shared" si="7"/>
        <v>403200</v>
      </c>
      <c r="I58" s="292" t="s">
        <v>344</v>
      </c>
      <c r="J58" s="292"/>
      <c r="L58" s="299" t="s">
        <v>196</v>
      </c>
      <c r="M58" s="373">
        <v>0</v>
      </c>
      <c r="N58" s="325">
        <f t="shared" si="2"/>
        <v>0</v>
      </c>
      <c r="O58" s="325">
        <f t="shared" si="3"/>
        <v>0</v>
      </c>
    </row>
    <row r="59" spans="1:15" ht="12.75" customHeight="1" x14ac:dyDescent="0.2">
      <c r="A59" s="799"/>
      <c r="B59" s="298">
        <v>53208020000000</v>
      </c>
      <c r="C59" s="299" t="s">
        <v>175</v>
      </c>
      <c r="D59" s="364">
        <f t="shared" si="10"/>
        <v>0</v>
      </c>
      <c r="E59" s="364">
        <v>0</v>
      </c>
      <c r="F59" s="365">
        <v>0</v>
      </c>
      <c r="G59" s="364">
        <f t="shared" si="8"/>
        <v>0</v>
      </c>
      <c r="H59" s="302">
        <f t="shared" si="7"/>
        <v>0</v>
      </c>
      <c r="I59" s="292"/>
      <c r="J59" s="292"/>
      <c r="L59" s="299" t="s">
        <v>194</v>
      </c>
      <c r="M59" s="373">
        <v>0</v>
      </c>
      <c r="N59" s="325">
        <f t="shared" si="2"/>
        <v>0</v>
      </c>
      <c r="O59" s="325">
        <f t="shared" si="3"/>
        <v>0</v>
      </c>
    </row>
    <row r="60" spans="1:15" ht="12.75" customHeight="1" x14ac:dyDescent="0.2">
      <c r="A60" s="799"/>
      <c r="B60" s="298">
        <v>53208990000000</v>
      </c>
      <c r="C60" s="299" t="s">
        <v>193</v>
      </c>
      <c r="D60" s="364">
        <f t="shared" si="10"/>
        <v>350000</v>
      </c>
      <c r="E60" s="364">
        <v>0</v>
      </c>
      <c r="F60" s="365">
        <v>0</v>
      </c>
      <c r="G60" s="364">
        <f t="shared" si="8"/>
        <v>0</v>
      </c>
      <c r="H60" s="302">
        <f t="shared" si="7"/>
        <v>350000</v>
      </c>
      <c r="I60" s="292"/>
      <c r="J60" s="292"/>
      <c r="L60" s="299" t="s">
        <v>64</v>
      </c>
      <c r="M60" s="373">
        <v>700000</v>
      </c>
      <c r="N60" s="325">
        <f t="shared" si="2"/>
        <v>489999.99999999994</v>
      </c>
      <c r="O60" s="325">
        <f t="shared" si="3"/>
        <v>210000</v>
      </c>
    </row>
    <row r="61" spans="1:15" ht="12.75" customHeight="1" x14ac:dyDescent="0.2">
      <c r="A61" s="799"/>
      <c r="B61" s="322">
        <v>53210020300000</v>
      </c>
      <c r="C61" s="299" t="s">
        <v>195</v>
      </c>
      <c r="D61" s="252">
        <v>0</v>
      </c>
      <c r="E61" s="756">
        <v>7560</v>
      </c>
      <c r="F61" s="677">
        <f>+'B) Reajuste Tarifas y Ocupación'!I25</f>
        <v>74</v>
      </c>
      <c r="G61" s="301">
        <f t="shared" si="8"/>
        <v>559440</v>
      </c>
      <c r="H61" s="302">
        <f t="shared" si="7"/>
        <v>559440</v>
      </c>
      <c r="I61" s="292"/>
      <c r="J61" s="292"/>
      <c r="L61" s="294" t="s">
        <v>65</v>
      </c>
      <c r="M61" s="462"/>
      <c r="N61" s="461"/>
      <c r="O61" s="461"/>
    </row>
    <row r="62" spans="1:15" ht="12.75" customHeight="1" x14ac:dyDescent="0.2">
      <c r="A62" s="799"/>
      <c r="B62" s="298">
        <v>53208990000000</v>
      </c>
      <c r="C62" s="299" t="s">
        <v>196</v>
      </c>
      <c r="D62" s="301">
        <f>N58</f>
        <v>0</v>
      </c>
      <c r="E62" s="301">
        <v>0</v>
      </c>
      <c r="F62" s="362">
        <v>0</v>
      </c>
      <c r="G62" s="301">
        <f t="shared" si="8"/>
        <v>0</v>
      </c>
      <c r="H62" s="302">
        <f t="shared" si="7"/>
        <v>0</v>
      </c>
      <c r="I62" s="292"/>
      <c r="J62" s="292"/>
      <c r="L62" s="299" t="s">
        <v>99</v>
      </c>
      <c r="M62" s="373">
        <v>0</v>
      </c>
      <c r="N62" s="325">
        <f t="shared" si="2"/>
        <v>0</v>
      </c>
      <c r="O62" s="325">
        <f t="shared" si="3"/>
        <v>0</v>
      </c>
    </row>
    <row r="63" spans="1:15" ht="12.75" customHeight="1" x14ac:dyDescent="0.2">
      <c r="A63" s="799"/>
      <c r="B63" s="298">
        <v>53209990000000</v>
      </c>
      <c r="C63" s="299" t="s">
        <v>194</v>
      </c>
      <c r="D63" s="706">
        <v>0</v>
      </c>
      <c r="E63" s="301">
        <v>0</v>
      </c>
      <c r="F63" s="362">
        <v>0</v>
      </c>
      <c r="G63" s="301">
        <f t="shared" si="8"/>
        <v>0</v>
      </c>
      <c r="H63" s="302">
        <f t="shared" si="7"/>
        <v>0</v>
      </c>
      <c r="J63" s="292"/>
      <c r="L63" s="299" t="s">
        <v>100</v>
      </c>
      <c r="M63" s="373">
        <v>0</v>
      </c>
      <c r="N63" s="325">
        <f t="shared" si="2"/>
        <v>0</v>
      </c>
      <c r="O63" s="325">
        <f t="shared" si="3"/>
        <v>0</v>
      </c>
    </row>
    <row r="64" spans="1:15" ht="12.75" customHeight="1" x14ac:dyDescent="0.2">
      <c r="A64" s="799"/>
      <c r="B64" s="298">
        <v>53210020100000</v>
      </c>
      <c r="C64" s="299" t="s">
        <v>64</v>
      </c>
      <c r="D64" s="301">
        <f t="shared" ref="D64" si="11">N60</f>
        <v>489999.99999999994</v>
      </c>
      <c r="E64" s="301">
        <v>0</v>
      </c>
      <c r="F64" s="362">
        <v>0</v>
      </c>
      <c r="G64" s="301">
        <f t="shared" si="8"/>
        <v>0</v>
      </c>
      <c r="H64" s="302">
        <f t="shared" si="7"/>
        <v>489999.99999999994</v>
      </c>
      <c r="I64" s="292"/>
      <c r="J64" s="292"/>
      <c r="L64" s="299" t="s">
        <v>197</v>
      </c>
      <c r="M64" s="373">
        <v>50000</v>
      </c>
      <c r="N64" s="325">
        <f t="shared" si="2"/>
        <v>35000</v>
      </c>
      <c r="O64" s="325">
        <f t="shared" si="3"/>
        <v>15000</v>
      </c>
    </row>
    <row r="65" spans="1:16" ht="12.75" customHeight="1" x14ac:dyDescent="0.2">
      <c r="A65" s="799"/>
      <c r="B65" s="293"/>
      <c r="C65" s="294" t="s">
        <v>65</v>
      </c>
      <c r="D65" s="295">
        <f>SUM(D66:D72)</f>
        <v>35000</v>
      </c>
      <c r="E65" s="378"/>
      <c r="F65" s="378"/>
      <c r="G65" s="295">
        <f>SUM(G66:G72)</f>
        <v>0</v>
      </c>
      <c r="H65" s="297">
        <f>SUM(H66:H72)</f>
        <v>35000</v>
      </c>
      <c r="I65" s="292"/>
      <c r="J65" s="292"/>
      <c r="L65" s="299" t="s">
        <v>102</v>
      </c>
      <c r="M65" s="373">
        <v>0</v>
      </c>
      <c r="N65" s="325">
        <f t="shared" si="2"/>
        <v>0</v>
      </c>
      <c r="O65" s="325">
        <f t="shared" si="3"/>
        <v>0</v>
      </c>
    </row>
    <row r="66" spans="1:16" ht="12.75" customHeight="1" x14ac:dyDescent="0.2">
      <c r="A66" s="799"/>
      <c r="B66" s="298">
        <v>53206030000000</v>
      </c>
      <c r="C66" s="299" t="s">
        <v>99</v>
      </c>
      <c r="D66" s="364">
        <f>N62</f>
        <v>0</v>
      </c>
      <c r="E66" s="364">
        <v>0</v>
      </c>
      <c r="F66" s="365">
        <v>0</v>
      </c>
      <c r="G66" s="301">
        <f t="shared" si="8"/>
        <v>0</v>
      </c>
      <c r="H66" s="302">
        <f t="shared" si="7"/>
        <v>0</v>
      </c>
      <c r="I66" s="292"/>
      <c r="J66" s="292"/>
      <c r="L66" s="326" t="s">
        <v>198</v>
      </c>
      <c r="M66" s="373">
        <v>0</v>
      </c>
      <c r="N66" s="325">
        <f t="shared" si="2"/>
        <v>0</v>
      </c>
      <c r="O66" s="325">
        <f t="shared" si="3"/>
        <v>0</v>
      </c>
      <c r="P66" s="707"/>
    </row>
    <row r="67" spans="1:16" ht="12.75" customHeight="1" x14ac:dyDescent="0.2">
      <c r="A67" s="799"/>
      <c r="B67" s="298">
        <v>53206040000000</v>
      </c>
      <c r="C67" s="299" t="s">
        <v>100</v>
      </c>
      <c r="D67" s="364">
        <f t="shared" ref="D67:D72" si="12">N63</f>
        <v>0</v>
      </c>
      <c r="E67" s="364">
        <v>0</v>
      </c>
      <c r="F67" s="365">
        <v>0</v>
      </c>
      <c r="G67" s="301">
        <f t="shared" si="8"/>
        <v>0</v>
      </c>
      <c r="H67" s="302">
        <f t="shared" si="7"/>
        <v>0</v>
      </c>
      <c r="I67" s="292"/>
      <c r="J67" s="292"/>
      <c r="L67" s="299" t="s">
        <v>104</v>
      </c>
      <c r="M67" s="373">
        <v>0</v>
      </c>
      <c r="N67" s="325">
        <f t="shared" si="2"/>
        <v>0</v>
      </c>
      <c r="O67" s="325">
        <f t="shared" si="3"/>
        <v>0</v>
      </c>
    </row>
    <row r="68" spans="1:16" ht="12.75" customHeight="1" x14ac:dyDescent="0.2">
      <c r="A68" s="799"/>
      <c r="B68" s="298">
        <v>53206060000000</v>
      </c>
      <c r="C68" s="299" t="s">
        <v>197</v>
      </c>
      <c r="D68" s="364">
        <f t="shared" si="12"/>
        <v>35000</v>
      </c>
      <c r="E68" s="364">
        <v>0</v>
      </c>
      <c r="F68" s="365">
        <v>0</v>
      </c>
      <c r="G68" s="301">
        <f t="shared" si="8"/>
        <v>0</v>
      </c>
      <c r="H68" s="302">
        <f t="shared" si="7"/>
        <v>35000</v>
      </c>
      <c r="I68" s="292"/>
      <c r="J68" s="292"/>
      <c r="L68" s="299" t="s">
        <v>219</v>
      </c>
      <c r="M68" s="373">
        <v>0</v>
      </c>
      <c r="N68" s="325">
        <f t="shared" si="2"/>
        <v>0</v>
      </c>
      <c r="O68" s="325">
        <f t="shared" si="3"/>
        <v>0</v>
      </c>
    </row>
    <row r="69" spans="1:16" ht="12.75" customHeight="1" x14ac:dyDescent="0.2">
      <c r="A69" s="799"/>
      <c r="B69" s="298">
        <v>53206070000000</v>
      </c>
      <c r="C69" s="299" t="s">
        <v>102</v>
      </c>
      <c r="D69" s="364">
        <f t="shared" si="12"/>
        <v>0</v>
      </c>
      <c r="E69" s="364">
        <v>0</v>
      </c>
      <c r="F69" s="365">
        <v>0</v>
      </c>
      <c r="G69" s="301">
        <f t="shared" si="8"/>
        <v>0</v>
      </c>
      <c r="H69" s="302">
        <f t="shared" si="7"/>
        <v>0</v>
      </c>
      <c r="I69" s="292"/>
      <c r="J69" s="292"/>
    </row>
    <row r="70" spans="1:16" ht="12.75" customHeight="1" x14ac:dyDescent="0.2">
      <c r="A70" s="799"/>
      <c r="B70" s="298">
        <v>53206990000000</v>
      </c>
      <c r="C70" s="299" t="s">
        <v>198</v>
      </c>
      <c r="D70" s="364">
        <f t="shared" si="12"/>
        <v>0</v>
      </c>
      <c r="E70" s="364">
        <v>0</v>
      </c>
      <c r="F70" s="365">
        <v>0</v>
      </c>
      <c r="G70" s="301">
        <f t="shared" si="8"/>
        <v>0</v>
      </c>
      <c r="H70" s="302">
        <f t="shared" si="7"/>
        <v>0</v>
      </c>
      <c r="I70" s="292"/>
      <c r="J70" s="292"/>
    </row>
    <row r="71" spans="1:16" ht="12.75" customHeight="1" x14ac:dyDescent="0.2">
      <c r="A71" s="799"/>
      <c r="B71" s="298">
        <v>53208030000000</v>
      </c>
      <c r="C71" s="299" t="s">
        <v>104</v>
      </c>
      <c r="D71" s="364">
        <f t="shared" si="12"/>
        <v>0</v>
      </c>
      <c r="E71" s="364">
        <v>0</v>
      </c>
      <c r="F71" s="365">
        <v>0</v>
      </c>
      <c r="G71" s="301">
        <f t="shared" si="8"/>
        <v>0</v>
      </c>
      <c r="H71" s="302">
        <f t="shared" si="7"/>
        <v>0</v>
      </c>
      <c r="I71" s="292"/>
      <c r="J71" s="292"/>
    </row>
    <row r="72" spans="1:16" ht="12.75" customHeight="1" x14ac:dyDescent="0.2">
      <c r="A72" s="799"/>
      <c r="B72" s="298">
        <v>53206990000000</v>
      </c>
      <c r="C72" s="299" t="s">
        <v>219</v>
      </c>
      <c r="D72" s="364">
        <f t="shared" si="12"/>
        <v>0</v>
      </c>
      <c r="E72" s="364">
        <v>0</v>
      </c>
      <c r="F72" s="365">
        <v>0</v>
      </c>
      <c r="G72" s="301">
        <f t="shared" si="8"/>
        <v>0</v>
      </c>
      <c r="H72" s="302">
        <f>D72+G72</f>
        <v>0</v>
      </c>
      <c r="I72" s="292"/>
      <c r="J72" s="292"/>
    </row>
    <row r="73" spans="1:16" ht="12.75" customHeight="1" x14ac:dyDescent="0.2">
      <c r="A73" s="799"/>
      <c r="B73" s="293"/>
      <c r="C73" s="294" t="s">
        <v>66</v>
      </c>
      <c r="D73" s="295">
        <f>SUM(D74:D74)</f>
        <v>0</v>
      </c>
      <c r="E73" s="378"/>
      <c r="F73" s="378"/>
      <c r="G73" s="295">
        <f>SUM(G74:G74)</f>
        <v>629000</v>
      </c>
      <c r="H73" s="297">
        <f>SUM(H74:H74)</f>
        <v>629000</v>
      </c>
      <c r="I73" s="292"/>
      <c r="J73" s="292"/>
    </row>
    <row r="74" spans="1:16" ht="12.75" customHeight="1" x14ac:dyDescent="0.2">
      <c r="A74" s="799"/>
      <c r="B74" s="323"/>
      <c r="C74" s="311" t="s">
        <v>220</v>
      </c>
      <c r="D74" s="744"/>
      <c r="E74" s="744">
        <v>8500</v>
      </c>
      <c r="F74" s="755">
        <v>74</v>
      </c>
      <c r="G74" s="301">
        <f t="shared" si="8"/>
        <v>629000</v>
      </c>
      <c r="H74" s="312">
        <f t="shared" si="7"/>
        <v>629000</v>
      </c>
      <c r="I74" s="507" t="s">
        <v>221</v>
      </c>
      <c r="J74" s="309">
        <f>+H72+H71+H70+H69+H68+H67+H66+H64+H63+H62+H61+H60+H59+H58+H57+H55+H52+H51+H50+H49+H48+H46+H44+H43+H37+H36+H35+H33+H32+H31+H30+H29+H28+H27+H26+H25+H24+H23</f>
        <v>11667040</v>
      </c>
    </row>
    <row r="75" spans="1:16" ht="13.5" collapsed="1" thickBot="1" x14ac:dyDescent="0.25">
      <c r="A75" s="800"/>
      <c r="B75" s="324"/>
      <c r="C75" s="313" t="s">
        <v>105</v>
      </c>
      <c r="D75" s="314">
        <f>SUM(D12,D39)</f>
        <v>65991637.765333354</v>
      </c>
      <c r="E75" s="315"/>
      <c r="F75" s="315"/>
      <c r="G75" s="314">
        <f>SUM(G12,G39)</f>
        <v>16995360</v>
      </c>
      <c r="H75" s="310">
        <f>SUM(H12,H39)</f>
        <v>84175437.765333354</v>
      </c>
      <c r="I75" s="506" t="s">
        <v>222</v>
      </c>
      <c r="J75" s="316">
        <f>+H75-J74</f>
        <v>72508397.765333354</v>
      </c>
    </row>
    <row r="76" spans="1:16" ht="15.75" customHeight="1" x14ac:dyDescent="0.2">
      <c r="A76" s="868" t="s">
        <v>237</v>
      </c>
      <c r="B76" s="320"/>
      <c r="C76" s="288" t="s">
        <v>11</v>
      </c>
      <c r="D76" s="289">
        <f>SUM(D77+D82)</f>
        <v>25175581.152000003</v>
      </c>
      <c r="E76" s="359"/>
      <c r="F76" s="359"/>
      <c r="G76" s="290">
        <f>SUM(G77,G82)</f>
        <v>3021920</v>
      </c>
      <c r="H76" s="291">
        <f>SUM(H77,H82)</f>
        <v>28197501.152000003</v>
      </c>
      <c r="I76" s="292"/>
      <c r="J76" s="292"/>
    </row>
    <row r="77" spans="1:16" ht="12.75" customHeight="1" x14ac:dyDescent="0.2">
      <c r="A77" s="799"/>
      <c r="B77" s="293"/>
      <c r="C77" s="294" t="s">
        <v>12</v>
      </c>
      <c r="D77" s="295">
        <f>SUM(D78:D81)</f>
        <v>22582981.152000003</v>
      </c>
      <c r="E77" s="378"/>
      <c r="F77" s="378"/>
      <c r="G77" s="296">
        <f>SUM(G78:G81)</f>
        <v>0</v>
      </c>
      <c r="H77" s="297">
        <f>SUM(H78:H81)</f>
        <v>22582981.152000003</v>
      </c>
      <c r="I77" s="292"/>
      <c r="J77" s="292"/>
    </row>
    <row r="78" spans="1:16" ht="12.75" customHeight="1" x14ac:dyDescent="0.2">
      <c r="A78" s="799"/>
      <c r="B78" s="298">
        <v>53103040100000</v>
      </c>
      <c r="C78" s="299" t="s">
        <v>95</v>
      </c>
      <c r="D78" s="300">
        <f>+'F) Remuneraciones'!L28</f>
        <v>22582981.152000003</v>
      </c>
      <c r="E78" s="301">
        <v>0</v>
      </c>
      <c r="F78" s="363">
        <v>0</v>
      </c>
      <c r="G78" s="301">
        <f>E78*F78</f>
        <v>0</v>
      </c>
      <c r="H78" s="302">
        <f>D78+G78</f>
        <v>22582981.152000003</v>
      </c>
      <c r="I78" s="292"/>
      <c r="J78" s="292"/>
    </row>
    <row r="79" spans="1:16" ht="12.75" customHeight="1" x14ac:dyDescent="0.2">
      <c r="A79" s="799"/>
      <c r="B79" s="298">
        <v>53103050000000</v>
      </c>
      <c r="C79" s="299" t="s">
        <v>176</v>
      </c>
      <c r="D79" s="207">
        <v>0</v>
      </c>
      <c r="E79" s="209">
        <v>0</v>
      </c>
      <c r="F79" s="208">
        <v>0</v>
      </c>
      <c r="G79" s="301">
        <f>E79*F79</f>
        <v>0</v>
      </c>
      <c r="H79" s="302">
        <f>D79+G79</f>
        <v>0</v>
      </c>
      <c r="I79" s="292"/>
      <c r="J79" s="292"/>
    </row>
    <row r="80" spans="1:16" ht="12.75" customHeight="1" x14ac:dyDescent="0.2">
      <c r="A80" s="799"/>
      <c r="B80" s="322">
        <v>53103040400000</v>
      </c>
      <c r="C80" s="303" t="s">
        <v>177</v>
      </c>
      <c r="D80" s="207">
        <v>0</v>
      </c>
      <c r="E80" s="209">
        <v>0</v>
      </c>
      <c r="F80" s="208">
        <v>0</v>
      </c>
      <c r="G80" s="301">
        <f>E80*F80</f>
        <v>0</v>
      </c>
      <c r="H80" s="302">
        <f>D80+G80</f>
        <v>0</v>
      </c>
      <c r="I80" s="292"/>
      <c r="J80" s="292"/>
    </row>
    <row r="81" spans="1:12" ht="12.75" customHeight="1" x14ac:dyDescent="0.2">
      <c r="A81" s="799"/>
      <c r="B81" s="298">
        <v>53103080010000</v>
      </c>
      <c r="C81" s="299" t="s">
        <v>178</v>
      </c>
      <c r="D81" s="207">
        <v>0</v>
      </c>
      <c r="E81" s="209">
        <v>0</v>
      </c>
      <c r="F81" s="208">
        <v>0</v>
      </c>
      <c r="G81" s="301">
        <f>E81*F81</f>
        <v>0</v>
      </c>
      <c r="H81" s="302">
        <f>D81+G81</f>
        <v>0</v>
      </c>
      <c r="I81" s="292"/>
      <c r="J81" s="292"/>
    </row>
    <row r="82" spans="1:12" ht="12.75" customHeight="1" x14ac:dyDescent="0.2">
      <c r="A82" s="799"/>
      <c r="B82" s="293"/>
      <c r="C82" s="294" t="s">
        <v>16</v>
      </c>
      <c r="D82" s="295">
        <f>SUM(D83:D102)</f>
        <v>2592600</v>
      </c>
      <c r="E82" s="378"/>
      <c r="F82" s="378"/>
      <c r="G82" s="295">
        <f>SUM(G83:G102)</f>
        <v>3021920</v>
      </c>
      <c r="H82" s="297">
        <f>SUM(H83:H102)</f>
        <v>5614520</v>
      </c>
      <c r="I82" s="292"/>
      <c r="J82" s="292"/>
    </row>
    <row r="83" spans="1:12" ht="12.75" customHeight="1" x14ac:dyDescent="0.2">
      <c r="A83" s="799"/>
      <c r="B83" s="298">
        <v>53201010100000</v>
      </c>
      <c r="C83" s="304" t="s">
        <v>179</v>
      </c>
      <c r="D83" s="207">
        <v>0</v>
      </c>
      <c r="E83" s="744">
        <v>1912</v>
      </c>
      <c r="F83" s="745">
        <f>(3*20*11)</f>
        <v>660</v>
      </c>
      <c r="G83" s="301">
        <f t="shared" ref="G83:G102" si="13">E83*F83</f>
        <v>1261920</v>
      </c>
      <c r="H83" s="302">
        <f t="shared" ref="H83:H86" si="14">D83+G83</f>
        <v>1261920</v>
      </c>
      <c r="I83" s="292"/>
      <c r="L83" s="292"/>
    </row>
    <row r="84" spans="1:12" ht="12.75" customHeight="1" x14ac:dyDescent="0.2">
      <c r="A84" s="799"/>
      <c r="B84" s="298">
        <v>53201010100000</v>
      </c>
      <c r="C84" s="304" t="s">
        <v>180</v>
      </c>
      <c r="D84" s="207">
        <v>0</v>
      </c>
      <c r="E84" s="744">
        <v>1000</v>
      </c>
      <c r="F84" s="745">
        <f>8*11*20</f>
        <v>1760</v>
      </c>
      <c r="G84" s="301">
        <f t="shared" si="13"/>
        <v>1760000</v>
      </c>
      <c r="H84" s="302">
        <f t="shared" si="14"/>
        <v>1760000</v>
      </c>
      <c r="I84" s="703" t="s">
        <v>366</v>
      </c>
      <c r="J84" s="292"/>
    </row>
    <row r="85" spans="1:12" ht="12.75" customHeight="1" x14ac:dyDescent="0.2">
      <c r="A85" s="799"/>
      <c r="B85" s="298">
        <v>53201010100000</v>
      </c>
      <c r="C85" s="304" t="s">
        <v>181</v>
      </c>
      <c r="D85" s="207">
        <v>0</v>
      </c>
      <c r="E85" s="209">
        <v>0</v>
      </c>
      <c r="F85" s="208">
        <v>0</v>
      </c>
      <c r="G85" s="301">
        <f t="shared" si="13"/>
        <v>0</v>
      </c>
      <c r="H85" s="302">
        <f t="shared" si="14"/>
        <v>0</v>
      </c>
      <c r="I85" s="292"/>
      <c r="J85" s="292"/>
    </row>
    <row r="86" spans="1:12" ht="12.75" customHeight="1" x14ac:dyDescent="0.2">
      <c r="A86" s="799"/>
      <c r="B86" s="298">
        <v>53202010100000</v>
      </c>
      <c r="C86" s="299" t="s">
        <v>182</v>
      </c>
      <c r="D86" s="301">
        <f>+O21</f>
        <v>0</v>
      </c>
      <c r="E86" s="301">
        <v>0</v>
      </c>
      <c r="F86" s="380">
        <v>0</v>
      </c>
      <c r="G86" s="301">
        <f t="shared" si="13"/>
        <v>0</v>
      </c>
      <c r="H86" s="302">
        <f t="shared" si="14"/>
        <v>0</v>
      </c>
      <c r="I86" s="292"/>
      <c r="J86" s="292"/>
    </row>
    <row r="87" spans="1:12" ht="12.75" customHeight="1" x14ac:dyDescent="0.2">
      <c r="A87" s="799"/>
      <c r="B87" s="298">
        <v>53203010100000</v>
      </c>
      <c r="C87" s="299" t="s">
        <v>19</v>
      </c>
      <c r="D87" s="301">
        <f t="shared" ref="D87:D102" si="15">+O22</f>
        <v>0</v>
      </c>
      <c r="E87" s="301">
        <v>0</v>
      </c>
      <c r="F87" s="380">
        <v>0</v>
      </c>
      <c r="G87" s="301">
        <f t="shared" si="13"/>
        <v>0</v>
      </c>
      <c r="H87" s="302">
        <f>D87+G87</f>
        <v>0</v>
      </c>
      <c r="I87" s="292"/>
      <c r="J87" s="292"/>
    </row>
    <row r="88" spans="1:12" ht="12.75" customHeight="1" x14ac:dyDescent="0.2">
      <c r="A88" s="799"/>
      <c r="B88" s="298">
        <v>53203030000000</v>
      </c>
      <c r="C88" s="299" t="s">
        <v>183</v>
      </c>
      <c r="D88" s="301">
        <f t="shared" si="15"/>
        <v>60000</v>
      </c>
      <c r="E88" s="301">
        <v>0</v>
      </c>
      <c r="F88" s="380">
        <v>0</v>
      </c>
      <c r="G88" s="301">
        <f t="shared" si="13"/>
        <v>0</v>
      </c>
      <c r="H88" s="302">
        <f t="shared" ref="H88" si="16">D88+G88</f>
        <v>60000</v>
      </c>
      <c r="I88" s="292"/>
      <c r="J88" s="292"/>
    </row>
    <row r="89" spans="1:12" ht="12.75" customHeight="1" x14ac:dyDescent="0.2">
      <c r="A89" s="799"/>
      <c r="B89" s="298">
        <v>53204030000000</v>
      </c>
      <c r="C89" s="299" t="s">
        <v>217</v>
      </c>
      <c r="D89" s="301">
        <f t="shared" si="15"/>
        <v>63000</v>
      </c>
      <c r="E89" s="301">
        <v>0</v>
      </c>
      <c r="F89" s="380">
        <v>0</v>
      </c>
      <c r="G89" s="301">
        <f t="shared" si="13"/>
        <v>0</v>
      </c>
      <c r="H89" s="302">
        <f>D89+G89</f>
        <v>63000</v>
      </c>
      <c r="I89" s="292"/>
      <c r="J89" s="292"/>
    </row>
    <row r="90" spans="1:12" ht="12.75" customHeight="1" x14ac:dyDescent="0.2">
      <c r="A90" s="799"/>
      <c r="B90" s="298">
        <v>53204100100001</v>
      </c>
      <c r="C90" s="299" t="s">
        <v>22</v>
      </c>
      <c r="D90" s="301">
        <f t="shared" si="15"/>
        <v>0</v>
      </c>
      <c r="E90" s="301">
        <v>0</v>
      </c>
      <c r="F90" s="380">
        <v>0</v>
      </c>
      <c r="G90" s="301">
        <f t="shared" si="13"/>
        <v>0</v>
      </c>
      <c r="H90" s="302">
        <f t="shared" ref="H90:H102" si="17">D90+G90</f>
        <v>0</v>
      </c>
      <c r="I90" s="292"/>
      <c r="J90" s="292"/>
    </row>
    <row r="91" spans="1:12" ht="12.75" customHeight="1" x14ac:dyDescent="0.2">
      <c r="A91" s="799"/>
      <c r="B91" s="298">
        <v>53204130100000</v>
      </c>
      <c r="C91" s="299" t="s">
        <v>185</v>
      </c>
      <c r="D91" s="301">
        <f t="shared" si="15"/>
        <v>0</v>
      </c>
      <c r="E91" s="301">
        <v>0</v>
      </c>
      <c r="F91" s="380">
        <v>0</v>
      </c>
      <c r="G91" s="301">
        <f t="shared" si="13"/>
        <v>0</v>
      </c>
      <c r="H91" s="302">
        <f t="shared" si="17"/>
        <v>0</v>
      </c>
      <c r="I91" s="292"/>
      <c r="J91" s="292"/>
    </row>
    <row r="92" spans="1:12" ht="12.75" customHeight="1" x14ac:dyDescent="0.2">
      <c r="A92" s="799"/>
      <c r="B92" s="298">
        <v>53205010100000</v>
      </c>
      <c r="C92" s="299" t="s">
        <v>24</v>
      </c>
      <c r="D92" s="301">
        <f t="shared" si="15"/>
        <v>361500</v>
      </c>
      <c r="E92" s="301">
        <v>0</v>
      </c>
      <c r="F92" s="380">
        <v>0</v>
      </c>
      <c r="G92" s="301">
        <f t="shared" si="13"/>
        <v>0</v>
      </c>
      <c r="H92" s="302">
        <f t="shared" si="17"/>
        <v>361500</v>
      </c>
      <c r="I92" s="292"/>
      <c r="J92" s="292"/>
    </row>
    <row r="93" spans="1:12" ht="12.75" customHeight="1" x14ac:dyDescent="0.2">
      <c r="A93" s="799"/>
      <c r="B93" s="298">
        <v>53205020100000</v>
      </c>
      <c r="C93" s="299" t="s">
        <v>25</v>
      </c>
      <c r="D93" s="301">
        <f t="shared" si="15"/>
        <v>585900</v>
      </c>
      <c r="E93" s="301">
        <v>0</v>
      </c>
      <c r="F93" s="380">
        <v>0</v>
      </c>
      <c r="G93" s="301">
        <f t="shared" si="13"/>
        <v>0</v>
      </c>
      <c r="H93" s="302">
        <f t="shared" si="17"/>
        <v>585900</v>
      </c>
      <c r="I93" s="292"/>
      <c r="J93" s="292"/>
    </row>
    <row r="94" spans="1:12" ht="12.75" customHeight="1" x14ac:dyDescent="0.2">
      <c r="A94" s="799"/>
      <c r="B94" s="298">
        <v>53205030100000</v>
      </c>
      <c r="C94" s="299" t="s">
        <v>26</v>
      </c>
      <c r="D94" s="301">
        <f t="shared" si="15"/>
        <v>179400</v>
      </c>
      <c r="E94" s="301">
        <v>0</v>
      </c>
      <c r="F94" s="380">
        <v>0</v>
      </c>
      <c r="G94" s="301">
        <f t="shared" si="13"/>
        <v>0</v>
      </c>
      <c r="H94" s="302">
        <f t="shared" si="17"/>
        <v>179400</v>
      </c>
      <c r="I94" s="292"/>
      <c r="J94" s="292"/>
    </row>
    <row r="95" spans="1:12" ht="12.75" customHeight="1" x14ac:dyDescent="0.2">
      <c r="A95" s="799"/>
      <c r="B95" s="298">
        <v>53205050100000</v>
      </c>
      <c r="C95" s="299" t="s">
        <v>27</v>
      </c>
      <c r="D95" s="301">
        <f t="shared" si="15"/>
        <v>0</v>
      </c>
      <c r="E95" s="301">
        <v>0</v>
      </c>
      <c r="F95" s="380">
        <v>0</v>
      </c>
      <c r="G95" s="301">
        <f t="shared" si="13"/>
        <v>0</v>
      </c>
      <c r="H95" s="302">
        <f t="shared" si="17"/>
        <v>0</v>
      </c>
      <c r="I95" s="292"/>
      <c r="J95" s="292"/>
    </row>
    <row r="96" spans="1:12" ht="12.75" customHeight="1" x14ac:dyDescent="0.2">
      <c r="A96" s="799"/>
      <c r="B96" s="298">
        <v>53205070100000</v>
      </c>
      <c r="C96" s="299" t="s">
        <v>29</v>
      </c>
      <c r="D96" s="301">
        <f t="shared" si="15"/>
        <v>172800</v>
      </c>
      <c r="E96" s="301">
        <v>0</v>
      </c>
      <c r="F96" s="380">
        <v>0</v>
      </c>
      <c r="G96" s="301">
        <f t="shared" si="13"/>
        <v>0</v>
      </c>
      <c r="H96" s="302">
        <f t="shared" si="17"/>
        <v>172800</v>
      </c>
      <c r="I96" s="292"/>
      <c r="J96" s="292"/>
    </row>
    <row r="97" spans="1:10" ht="12.75" customHeight="1" x14ac:dyDescent="0.2">
      <c r="A97" s="799"/>
      <c r="B97" s="298">
        <v>53208010100000</v>
      </c>
      <c r="C97" s="299" t="s">
        <v>30</v>
      </c>
      <c r="D97" s="301">
        <f t="shared" si="15"/>
        <v>0</v>
      </c>
      <c r="E97" s="301">
        <v>0</v>
      </c>
      <c r="F97" s="380">
        <v>0</v>
      </c>
      <c r="G97" s="301">
        <f t="shared" si="13"/>
        <v>0</v>
      </c>
      <c r="H97" s="302">
        <f t="shared" si="17"/>
        <v>0</v>
      </c>
      <c r="I97" s="292"/>
      <c r="J97" s="292"/>
    </row>
    <row r="98" spans="1:10" ht="12.75" customHeight="1" x14ac:dyDescent="0.2">
      <c r="A98" s="799"/>
      <c r="B98" s="298">
        <v>53208070100001</v>
      </c>
      <c r="C98" s="299" t="s">
        <v>31</v>
      </c>
      <c r="D98" s="301">
        <f t="shared" si="15"/>
        <v>90000</v>
      </c>
      <c r="E98" s="301">
        <v>0</v>
      </c>
      <c r="F98" s="380">
        <v>0</v>
      </c>
      <c r="G98" s="301">
        <f t="shared" si="13"/>
        <v>0</v>
      </c>
      <c r="H98" s="302">
        <f t="shared" si="17"/>
        <v>90000</v>
      </c>
      <c r="I98" s="292"/>
      <c r="J98" s="292"/>
    </row>
    <row r="99" spans="1:10" ht="12.75" customHeight="1" x14ac:dyDescent="0.2">
      <c r="A99" s="799"/>
      <c r="B99" s="298">
        <v>53208100100001</v>
      </c>
      <c r="C99" s="299" t="s">
        <v>186</v>
      </c>
      <c r="D99" s="301">
        <f t="shared" si="15"/>
        <v>0</v>
      </c>
      <c r="E99" s="301">
        <v>0</v>
      </c>
      <c r="F99" s="380">
        <v>0</v>
      </c>
      <c r="G99" s="301">
        <f t="shared" si="13"/>
        <v>0</v>
      </c>
      <c r="H99" s="302">
        <f t="shared" si="17"/>
        <v>0</v>
      </c>
      <c r="I99" s="292"/>
      <c r="J99" s="292"/>
    </row>
    <row r="100" spans="1:10" ht="12.75" customHeight="1" x14ac:dyDescent="0.2">
      <c r="A100" s="799"/>
      <c r="B100" s="298">
        <v>53211030000000</v>
      </c>
      <c r="C100" s="299" t="s">
        <v>32</v>
      </c>
      <c r="D100" s="301">
        <f t="shared" si="15"/>
        <v>0</v>
      </c>
      <c r="E100" s="301">
        <v>0</v>
      </c>
      <c r="F100" s="380">
        <v>0</v>
      </c>
      <c r="G100" s="301">
        <f t="shared" si="13"/>
        <v>0</v>
      </c>
      <c r="H100" s="302">
        <f t="shared" si="17"/>
        <v>0</v>
      </c>
      <c r="I100" s="292"/>
      <c r="J100" s="292"/>
    </row>
    <row r="101" spans="1:10" ht="12.75" customHeight="1" x14ac:dyDescent="0.2">
      <c r="A101" s="799"/>
      <c r="B101" s="298">
        <v>53212020100000</v>
      </c>
      <c r="C101" s="299" t="s">
        <v>187</v>
      </c>
      <c r="D101" s="301">
        <v>1080000</v>
      </c>
      <c r="E101" s="301">
        <v>0</v>
      </c>
      <c r="F101" s="380">
        <v>0</v>
      </c>
      <c r="G101" s="301">
        <f t="shared" si="13"/>
        <v>0</v>
      </c>
      <c r="H101" s="302">
        <f t="shared" si="17"/>
        <v>1080000</v>
      </c>
      <c r="I101" s="292"/>
      <c r="J101" s="292"/>
    </row>
    <row r="102" spans="1:10" ht="12.75" customHeight="1" x14ac:dyDescent="0.2">
      <c r="A102" s="799"/>
      <c r="B102" s="298">
        <v>53214020000000</v>
      </c>
      <c r="C102" s="299" t="s">
        <v>188</v>
      </c>
      <c r="D102" s="301">
        <f t="shared" si="15"/>
        <v>0</v>
      </c>
      <c r="E102" s="301">
        <v>0</v>
      </c>
      <c r="F102" s="380">
        <v>0</v>
      </c>
      <c r="G102" s="301">
        <f t="shared" si="13"/>
        <v>0</v>
      </c>
      <c r="H102" s="302">
        <f t="shared" si="17"/>
        <v>0</v>
      </c>
      <c r="I102" s="292"/>
      <c r="J102" s="292"/>
    </row>
    <row r="103" spans="1:10" ht="15.75" customHeight="1" x14ac:dyDescent="0.2">
      <c r="A103" s="799"/>
      <c r="B103" s="320"/>
      <c r="C103" s="288" t="s">
        <v>34</v>
      </c>
      <c r="D103" s="305">
        <f>SUM(D104,D109,D111,D120,D129,D137)</f>
        <v>2713800</v>
      </c>
      <c r="E103" s="379"/>
      <c r="F103" s="379"/>
      <c r="G103" s="289"/>
      <c r="H103" s="305">
        <f>SUM(H104,H109,H111,H120,H129,H137)</f>
        <v>2927280</v>
      </c>
      <c r="I103" s="292"/>
      <c r="J103" s="292"/>
    </row>
    <row r="104" spans="1:10" ht="12.75" customHeight="1" x14ac:dyDescent="0.2">
      <c r="A104" s="799"/>
      <c r="B104" s="293"/>
      <c r="C104" s="294" t="s">
        <v>35</v>
      </c>
      <c r="D104" s="295">
        <f>SUM(D105:D108)</f>
        <v>0</v>
      </c>
      <c r="E104" s="378"/>
      <c r="F104" s="378"/>
      <c r="G104" s="295">
        <f>SUM(G105:G108)</f>
        <v>85000</v>
      </c>
      <c r="H104" s="295">
        <f>SUM(H105:H108)</f>
        <v>85000</v>
      </c>
      <c r="I104" s="292"/>
      <c r="J104" s="292"/>
    </row>
    <row r="105" spans="1:10" ht="12.75" customHeight="1" x14ac:dyDescent="0.2">
      <c r="A105" s="799"/>
      <c r="B105" s="298">
        <v>53202020100000</v>
      </c>
      <c r="C105" s="299" t="s">
        <v>189</v>
      </c>
      <c r="D105" s="207">
        <v>0</v>
      </c>
      <c r="E105" s="209">
        <v>20000</v>
      </c>
      <c r="F105" s="360">
        <v>3</v>
      </c>
      <c r="G105" s="301">
        <f>E105*F105</f>
        <v>60000</v>
      </c>
      <c r="H105" s="302">
        <f t="shared" ref="H105:H108" si="18">D105+G105</f>
        <v>60000</v>
      </c>
      <c r="I105" s="292"/>
      <c r="J105" s="292"/>
    </row>
    <row r="106" spans="1:10" ht="12.75" customHeight="1" x14ac:dyDescent="0.2">
      <c r="A106" s="799"/>
      <c r="B106" s="298">
        <v>53202030000000</v>
      </c>
      <c r="C106" s="299" t="s">
        <v>240</v>
      </c>
      <c r="D106" s="207">
        <v>0</v>
      </c>
      <c r="E106" s="209">
        <v>25000</v>
      </c>
      <c r="F106" s="360">
        <v>1</v>
      </c>
      <c r="G106" s="301">
        <f>E106*F106</f>
        <v>25000</v>
      </c>
      <c r="H106" s="302">
        <f>D106+G106</f>
        <v>25000</v>
      </c>
      <c r="I106" s="703" t="s">
        <v>345</v>
      </c>
      <c r="J106" s="292"/>
    </row>
    <row r="107" spans="1:10" ht="12.75" customHeight="1" x14ac:dyDescent="0.2">
      <c r="A107" s="799"/>
      <c r="B107" s="298">
        <v>53211020000000</v>
      </c>
      <c r="C107" s="299" t="s">
        <v>41</v>
      </c>
      <c r="D107" s="364">
        <f>O40</f>
        <v>0</v>
      </c>
      <c r="E107" s="364">
        <v>0</v>
      </c>
      <c r="F107" s="365">
        <v>0</v>
      </c>
      <c r="G107" s="301">
        <f t="shared" ref="G107:G108" si="19">E107*F107</f>
        <v>0</v>
      </c>
      <c r="H107" s="302">
        <f t="shared" si="18"/>
        <v>0</v>
      </c>
      <c r="I107" s="292"/>
      <c r="J107" s="292"/>
    </row>
    <row r="108" spans="1:10" ht="12.75" customHeight="1" x14ac:dyDescent="0.2">
      <c r="A108" s="799"/>
      <c r="B108" s="298">
        <v>53101040600000</v>
      </c>
      <c r="C108" s="299" t="s">
        <v>191</v>
      </c>
      <c r="D108" s="364">
        <f>O41</f>
        <v>0</v>
      </c>
      <c r="E108" s="364">
        <v>0</v>
      </c>
      <c r="F108" s="365">
        <v>0</v>
      </c>
      <c r="G108" s="301">
        <f t="shared" si="19"/>
        <v>0</v>
      </c>
      <c r="H108" s="302">
        <f t="shared" si="18"/>
        <v>0</v>
      </c>
      <c r="I108" s="292"/>
      <c r="J108" s="292"/>
    </row>
    <row r="109" spans="1:10" ht="12.75" customHeight="1" x14ac:dyDescent="0.2">
      <c r="A109" s="799"/>
      <c r="B109" s="293"/>
      <c r="C109" s="294" t="s">
        <v>42</v>
      </c>
      <c r="D109" s="295">
        <f>SUM(D110:D110)</f>
        <v>0</v>
      </c>
      <c r="E109" s="378"/>
      <c r="F109" s="378"/>
      <c r="G109" s="306">
        <f>SUM(G110:G110)</f>
        <v>0</v>
      </c>
      <c r="H109" s="307">
        <f>SUM(H110:H110)</f>
        <v>0</v>
      </c>
      <c r="I109" s="292"/>
      <c r="J109" s="292"/>
    </row>
    <row r="110" spans="1:10" ht="12.75" customHeight="1" x14ac:dyDescent="0.2">
      <c r="A110" s="799"/>
      <c r="B110" s="308">
        <v>53205990000000</v>
      </c>
      <c r="C110" s="299" t="s">
        <v>44</v>
      </c>
      <c r="D110" s="364">
        <f>O43</f>
        <v>0</v>
      </c>
      <c r="E110" s="364">
        <v>0</v>
      </c>
      <c r="F110" s="365">
        <v>0</v>
      </c>
      <c r="G110" s="301">
        <f t="shared" ref="G110" si="20">E110*F110</f>
        <v>0</v>
      </c>
      <c r="H110" s="302">
        <f t="shared" ref="H110" si="21">D110+G110</f>
        <v>0</v>
      </c>
      <c r="I110" s="292"/>
      <c r="J110" s="292"/>
    </row>
    <row r="111" spans="1:10" ht="12.75" customHeight="1" x14ac:dyDescent="0.2">
      <c r="A111" s="799"/>
      <c r="B111" s="293"/>
      <c r="C111" s="294" t="s">
        <v>45</v>
      </c>
      <c r="D111" s="295">
        <f>SUM(D112:D119)</f>
        <v>2166000</v>
      </c>
      <c r="E111" s="378"/>
      <c r="F111" s="378"/>
      <c r="G111" s="295">
        <f>SUM(G112:G119)</f>
        <v>0</v>
      </c>
      <c r="H111" s="297">
        <f>SUM(H112:H119)</f>
        <v>2166000</v>
      </c>
      <c r="I111" s="292"/>
      <c r="J111" s="292"/>
    </row>
    <row r="112" spans="1:10" ht="12.75" customHeight="1" x14ac:dyDescent="0.2">
      <c r="A112" s="799"/>
      <c r="B112" s="298">
        <v>53204010000000</v>
      </c>
      <c r="C112" s="299" t="s">
        <v>47</v>
      </c>
      <c r="D112" s="364">
        <f>+O45</f>
        <v>90000</v>
      </c>
      <c r="E112" s="364">
        <v>0</v>
      </c>
      <c r="F112" s="366">
        <v>0</v>
      </c>
      <c r="G112" s="364">
        <f t="shared" ref="G112:G119" si="22">E112*F112</f>
        <v>0</v>
      </c>
      <c r="H112" s="302">
        <f t="shared" ref="H112:H119" si="23">D112+G112</f>
        <v>90000</v>
      </c>
      <c r="I112" s="292"/>
      <c r="J112" s="292"/>
    </row>
    <row r="113" spans="1:12" ht="12.75" customHeight="1" x14ac:dyDescent="0.2">
      <c r="A113" s="799"/>
      <c r="B113" s="308">
        <v>53204040200000</v>
      </c>
      <c r="C113" s="299" t="s">
        <v>218</v>
      </c>
      <c r="D113" s="364">
        <f t="shared" ref="D113:D119" si="24">+O46</f>
        <v>0</v>
      </c>
      <c r="E113" s="364">
        <v>0</v>
      </c>
      <c r="F113" s="366">
        <v>0</v>
      </c>
      <c r="G113" s="364">
        <f t="shared" si="22"/>
        <v>0</v>
      </c>
      <c r="H113" s="302">
        <f t="shared" si="23"/>
        <v>0</v>
      </c>
      <c r="I113" s="292"/>
      <c r="J113" s="292"/>
    </row>
    <row r="114" spans="1:12" ht="12.75" customHeight="1" x14ac:dyDescent="0.2">
      <c r="A114" s="799"/>
      <c r="B114" s="298">
        <v>53204060000000</v>
      </c>
      <c r="C114" s="299" t="s">
        <v>49</v>
      </c>
      <c r="D114" s="364">
        <f t="shared" si="24"/>
        <v>0</v>
      </c>
      <c r="E114" s="364">
        <v>0</v>
      </c>
      <c r="F114" s="366">
        <v>0</v>
      </c>
      <c r="G114" s="364">
        <f t="shared" si="22"/>
        <v>0</v>
      </c>
      <c r="H114" s="302">
        <f t="shared" si="23"/>
        <v>0</v>
      </c>
      <c r="I114" s="292"/>
      <c r="J114" s="292"/>
    </row>
    <row r="115" spans="1:12" ht="12.75" customHeight="1" x14ac:dyDescent="0.2">
      <c r="A115" s="799"/>
      <c r="B115" s="298">
        <v>53204070000000</v>
      </c>
      <c r="C115" s="299" t="s">
        <v>50</v>
      </c>
      <c r="D115" s="364">
        <f t="shared" si="24"/>
        <v>1530000</v>
      </c>
      <c r="E115" s="364">
        <v>0</v>
      </c>
      <c r="F115" s="366">
        <v>0</v>
      </c>
      <c r="G115" s="364">
        <f t="shared" si="22"/>
        <v>0</v>
      </c>
      <c r="H115" s="302">
        <f t="shared" si="23"/>
        <v>1530000</v>
      </c>
      <c r="I115" s="292" t="s">
        <v>346</v>
      </c>
      <c r="J115" s="292" t="s">
        <v>347</v>
      </c>
      <c r="L115" s="708">
        <v>31800000</v>
      </c>
    </row>
    <row r="116" spans="1:12" ht="12.75" customHeight="1" x14ac:dyDescent="0.2">
      <c r="A116" s="799"/>
      <c r="B116" s="298">
        <v>53204080000000</v>
      </c>
      <c r="C116" s="299" t="s">
        <v>51</v>
      </c>
      <c r="D116" s="364">
        <f t="shared" si="24"/>
        <v>90000</v>
      </c>
      <c r="E116" s="364">
        <v>0</v>
      </c>
      <c r="F116" s="366">
        <v>0</v>
      </c>
      <c r="G116" s="364">
        <f t="shared" si="22"/>
        <v>0</v>
      </c>
      <c r="H116" s="302">
        <f t="shared" si="23"/>
        <v>90000</v>
      </c>
      <c r="I116" s="292"/>
      <c r="J116" s="292" t="s">
        <v>323</v>
      </c>
      <c r="L116" s="708">
        <v>74200000</v>
      </c>
    </row>
    <row r="117" spans="1:12" ht="12.75" customHeight="1" x14ac:dyDescent="0.2">
      <c r="A117" s="799"/>
      <c r="B117" s="298">
        <v>53214010000000</v>
      </c>
      <c r="C117" s="299" t="s">
        <v>52</v>
      </c>
      <c r="D117" s="364">
        <f t="shared" si="24"/>
        <v>0</v>
      </c>
      <c r="E117" s="367">
        <v>0</v>
      </c>
      <c r="F117" s="366">
        <v>0</v>
      </c>
      <c r="G117" s="364">
        <f t="shared" si="22"/>
        <v>0</v>
      </c>
      <c r="H117" s="302">
        <f t="shared" si="23"/>
        <v>0</v>
      </c>
      <c r="I117" s="292"/>
      <c r="J117" s="292"/>
      <c r="L117" s="708">
        <f>SUM(L115:L116)</f>
        <v>106000000</v>
      </c>
    </row>
    <row r="118" spans="1:12" ht="12.75" customHeight="1" x14ac:dyDescent="0.2">
      <c r="A118" s="799"/>
      <c r="B118" s="298">
        <v>53214040000000</v>
      </c>
      <c r="C118" s="299" t="s">
        <v>192</v>
      </c>
      <c r="D118" s="364">
        <f t="shared" si="24"/>
        <v>456000</v>
      </c>
      <c r="E118" s="367">
        <v>0</v>
      </c>
      <c r="F118" s="366">
        <v>0</v>
      </c>
      <c r="G118" s="364">
        <f t="shared" si="22"/>
        <v>0</v>
      </c>
      <c r="H118" s="302">
        <f t="shared" si="23"/>
        <v>456000</v>
      </c>
      <c r="I118" s="292"/>
      <c r="J118" s="292"/>
    </row>
    <row r="119" spans="1:12" ht="12.75" customHeight="1" x14ac:dyDescent="0.2">
      <c r="A119" s="799"/>
      <c r="B119" s="322">
        <v>53204020100000</v>
      </c>
      <c r="C119" s="299" t="s">
        <v>184</v>
      </c>
      <c r="D119" s="364">
        <f t="shared" si="24"/>
        <v>0</v>
      </c>
      <c r="E119" s="364">
        <v>0</v>
      </c>
      <c r="F119" s="366">
        <v>0</v>
      </c>
      <c r="G119" s="364">
        <f t="shared" si="22"/>
        <v>0</v>
      </c>
      <c r="H119" s="302">
        <f t="shared" si="23"/>
        <v>0</v>
      </c>
      <c r="I119" s="292"/>
      <c r="J119" s="292"/>
    </row>
    <row r="120" spans="1:12" ht="12.75" customHeight="1" x14ac:dyDescent="0.2">
      <c r="A120" s="799"/>
      <c r="B120" s="293"/>
      <c r="C120" s="294" t="s">
        <v>55</v>
      </c>
      <c r="D120" s="295">
        <f>SUM(D121:D128)</f>
        <v>532800</v>
      </c>
      <c r="E120" s="378"/>
      <c r="F120" s="378"/>
      <c r="G120" s="295">
        <f>SUM(G121:G128)</f>
        <v>60480</v>
      </c>
      <c r="H120" s="297">
        <f>SUM(H121:H128)</f>
        <v>593280</v>
      </c>
      <c r="I120" s="292"/>
      <c r="J120" s="292"/>
    </row>
    <row r="121" spans="1:12" ht="12.75" customHeight="1" x14ac:dyDescent="0.2">
      <c r="A121" s="799"/>
      <c r="B121" s="298">
        <v>53207010000000</v>
      </c>
      <c r="C121" s="299" t="s">
        <v>56</v>
      </c>
      <c r="D121" s="364">
        <f>+O54</f>
        <v>0</v>
      </c>
      <c r="E121" s="364">
        <v>0</v>
      </c>
      <c r="F121" s="365">
        <v>0</v>
      </c>
      <c r="G121" s="364">
        <f t="shared" ref="G121:G128" si="25">E121*F121</f>
        <v>0</v>
      </c>
      <c r="H121" s="302">
        <f t="shared" ref="H121:H128" si="26">D121+G121</f>
        <v>0</v>
      </c>
      <c r="I121" s="292"/>
      <c r="J121" s="292"/>
    </row>
    <row r="122" spans="1:12" ht="12.75" customHeight="1" x14ac:dyDescent="0.2">
      <c r="A122" s="799"/>
      <c r="B122" s="298">
        <v>53207020000000</v>
      </c>
      <c r="C122" s="299" t="s">
        <v>57</v>
      </c>
      <c r="D122" s="364">
        <f t="shared" ref="D122:D124" si="27">+O55</f>
        <v>172800</v>
      </c>
      <c r="E122" s="364">
        <v>0</v>
      </c>
      <c r="F122" s="365">
        <v>0</v>
      </c>
      <c r="G122" s="364">
        <f t="shared" si="25"/>
        <v>0</v>
      </c>
      <c r="H122" s="302">
        <f t="shared" si="26"/>
        <v>172800</v>
      </c>
      <c r="I122" s="292"/>
      <c r="J122" s="292"/>
    </row>
    <row r="123" spans="1:12" ht="12.75" customHeight="1" x14ac:dyDescent="0.2">
      <c r="A123" s="799"/>
      <c r="B123" s="298">
        <v>53208020000000</v>
      </c>
      <c r="C123" s="299" t="s">
        <v>175</v>
      </c>
      <c r="D123" s="364">
        <f t="shared" si="27"/>
        <v>0</v>
      </c>
      <c r="E123" s="364">
        <v>0</v>
      </c>
      <c r="F123" s="365">
        <v>0</v>
      </c>
      <c r="G123" s="364">
        <f t="shared" si="25"/>
        <v>0</v>
      </c>
      <c r="H123" s="302">
        <f t="shared" si="26"/>
        <v>0</v>
      </c>
      <c r="I123" s="292"/>
      <c r="J123" s="292"/>
    </row>
    <row r="124" spans="1:12" ht="12.75" customHeight="1" x14ac:dyDescent="0.2">
      <c r="A124" s="799"/>
      <c r="B124" s="298">
        <v>53208990000000</v>
      </c>
      <c r="C124" s="299" t="s">
        <v>193</v>
      </c>
      <c r="D124" s="364">
        <f t="shared" si="27"/>
        <v>150000</v>
      </c>
      <c r="E124" s="364">
        <v>0</v>
      </c>
      <c r="F124" s="365">
        <v>0</v>
      </c>
      <c r="G124" s="364">
        <f t="shared" si="25"/>
        <v>0</v>
      </c>
      <c r="H124" s="302">
        <f t="shared" si="26"/>
        <v>150000</v>
      </c>
      <c r="I124" s="292"/>
      <c r="J124" s="292"/>
    </row>
    <row r="125" spans="1:12" ht="12.75" customHeight="1" x14ac:dyDescent="0.2">
      <c r="A125" s="799"/>
      <c r="B125" s="322">
        <v>53210020300000</v>
      </c>
      <c r="C125" s="299" t="s">
        <v>195</v>
      </c>
      <c r="D125" s="252">
        <v>0</v>
      </c>
      <c r="E125" s="756">
        <v>7560</v>
      </c>
      <c r="F125" s="677">
        <f>+'B) Reajuste Tarifas y Ocupación'!I28</f>
        <v>8</v>
      </c>
      <c r="G125" s="301">
        <f t="shared" si="25"/>
        <v>60480</v>
      </c>
      <c r="H125" s="302">
        <f t="shared" si="26"/>
        <v>60480</v>
      </c>
      <c r="I125" s="292"/>
      <c r="J125" s="292"/>
    </row>
    <row r="126" spans="1:12" ht="12.75" customHeight="1" x14ac:dyDescent="0.2">
      <c r="A126" s="799"/>
      <c r="B126" s="298">
        <v>53208990000000</v>
      </c>
      <c r="C126" s="299" t="s">
        <v>196</v>
      </c>
      <c r="D126" s="301">
        <f>O58</f>
        <v>0</v>
      </c>
      <c r="E126" s="301">
        <v>0</v>
      </c>
      <c r="F126" s="362">
        <v>0</v>
      </c>
      <c r="G126" s="301">
        <f t="shared" si="25"/>
        <v>0</v>
      </c>
      <c r="H126" s="302">
        <f t="shared" si="26"/>
        <v>0</v>
      </c>
      <c r="I126" s="292"/>
      <c r="J126" s="292"/>
    </row>
    <row r="127" spans="1:12" ht="12.75" customHeight="1" x14ac:dyDescent="0.2">
      <c r="A127" s="799"/>
      <c r="B127" s="298">
        <v>53209990000000</v>
      </c>
      <c r="C127" s="299" t="s">
        <v>194</v>
      </c>
      <c r="D127" s="301">
        <f t="shared" ref="D127:D128" si="28">O59</f>
        <v>0</v>
      </c>
      <c r="E127" s="301">
        <v>0</v>
      </c>
      <c r="F127" s="362">
        <v>0</v>
      </c>
      <c r="G127" s="301">
        <f t="shared" si="25"/>
        <v>0</v>
      </c>
      <c r="H127" s="302">
        <f t="shared" si="26"/>
        <v>0</v>
      </c>
      <c r="I127" s="292"/>
      <c r="J127" s="292"/>
    </row>
    <row r="128" spans="1:12" ht="12.75" customHeight="1" x14ac:dyDescent="0.2">
      <c r="A128" s="799"/>
      <c r="B128" s="298">
        <v>53210020100000</v>
      </c>
      <c r="C128" s="299" t="s">
        <v>64</v>
      </c>
      <c r="D128" s="301">
        <f t="shared" si="28"/>
        <v>210000</v>
      </c>
      <c r="E128" s="301">
        <v>0</v>
      </c>
      <c r="F128" s="362">
        <v>0</v>
      </c>
      <c r="G128" s="301">
        <f t="shared" si="25"/>
        <v>0</v>
      </c>
      <c r="H128" s="302">
        <f t="shared" si="26"/>
        <v>210000</v>
      </c>
      <c r="I128" s="292"/>
      <c r="J128" s="292"/>
    </row>
    <row r="129" spans="1:12" ht="12.75" customHeight="1" x14ac:dyDescent="0.2">
      <c r="A129" s="799"/>
      <c r="B129" s="293"/>
      <c r="C129" s="294" t="s">
        <v>65</v>
      </c>
      <c r="D129" s="295">
        <f>SUM(D130:D136)</f>
        <v>15000</v>
      </c>
      <c r="E129" s="378"/>
      <c r="F129" s="378"/>
      <c r="G129" s="295">
        <f>SUM(G130:G136)</f>
        <v>0</v>
      </c>
      <c r="H129" s="297">
        <f>SUM(H130:H136)</f>
        <v>15000</v>
      </c>
      <c r="I129" s="292"/>
      <c r="J129" s="292"/>
    </row>
    <row r="130" spans="1:12" ht="12.75" customHeight="1" x14ac:dyDescent="0.2">
      <c r="A130" s="799"/>
      <c r="B130" s="298">
        <v>53206030000000</v>
      </c>
      <c r="C130" s="299" t="s">
        <v>99</v>
      </c>
      <c r="D130" s="364">
        <f>+O62</f>
        <v>0</v>
      </c>
      <c r="E130" s="364">
        <v>0</v>
      </c>
      <c r="F130" s="365">
        <v>0</v>
      </c>
      <c r="G130" s="301">
        <f t="shared" ref="G130:G136" si="29">E130*F130</f>
        <v>0</v>
      </c>
      <c r="H130" s="302">
        <f t="shared" ref="H130:H135" si="30">D130+G130</f>
        <v>0</v>
      </c>
      <c r="I130" s="292"/>
      <c r="J130" s="292"/>
    </row>
    <row r="131" spans="1:12" ht="12.75" customHeight="1" x14ac:dyDescent="0.2">
      <c r="A131" s="799"/>
      <c r="B131" s="298">
        <v>53206040000000</v>
      </c>
      <c r="C131" s="299" t="s">
        <v>100</v>
      </c>
      <c r="D131" s="364">
        <f t="shared" ref="D131:D136" si="31">+O63</f>
        <v>0</v>
      </c>
      <c r="E131" s="364">
        <v>0</v>
      </c>
      <c r="F131" s="365">
        <v>0</v>
      </c>
      <c r="G131" s="301">
        <f t="shared" si="29"/>
        <v>0</v>
      </c>
      <c r="H131" s="302">
        <f t="shared" si="30"/>
        <v>0</v>
      </c>
      <c r="I131" s="292"/>
      <c r="J131" s="292"/>
    </row>
    <row r="132" spans="1:12" ht="12.75" customHeight="1" x14ac:dyDescent="0.2">
      <c r="A132" s="799"/>
      <c r="B132" s="298">
        <v>53206060000000</v>
      </c>
      <c r="C132" s="299" t="s">
        <v>197</v>
      </c>
      <c r="D132" s="364">
        <f t="shared" si="31"/>
        <v>15000</v>
      </c>
      <c r="E132" s="364">
        <v>0</v>
      </c>
      <c r="F132" s="365">
        <v>0</v>
      </c>
      <c r="G132" s="301">
        <f t="shared" si="29"/>
        <v>0</v>
      </c>
      <c r="H132" s="302">
        <f t="shared" si="30"/>
        <v>15000</v>
      </c>
      <c r="I132" s="292"/>
      <c r="J132" s="292"/>
    </row>
    <row r="133" spans="1:12" ht="12.75" customHeight="1" x14ac:dyDescent="0.2">
      <c r="A133" s="799"/>
      <c r="B133" s="298">
        <v>53206070000000</v>
      </c>
      <c r="C133" s="299" t="s">
        <v>102</v>
      </c>
      <c r="D133" s="364">
        <f t="shared" si="31"/>
        <v>0</v>
      </c>
      <c r="E133" s="364">
        <v>0</v>
      </c>
      <c r="F133" s="365">
        <v>0</v>
      </c>
      <c r="G133" s="301">
        <f t="shared" si="29"/>
        <v>0</v>
      </c>
      <c r="H133" s="302">
        <f t="shared" si="30"/>
        <v>0</v>
      </c>
      <c r="I133" s="292"/>
      <c r="J133" s="292"/>
    </row>
    <row r="134" spans="1:12" ht="12.75" customHeight="1" x14ac:dyDescent="0.2">
      <c r="A134" s="799"/>
      <c r="B134" s="298">
        <v>53206990000000</v>
      </c>
      <c r="C134" s="299" t="s">
        <v>198</v>
      </c>
      <c r="D134" s="364">
        <f t="shared" si="31"/>
        <v>0</v>
      </c>
      <c r="E134" s="364">
        <v>0</v>
      </c>
      <c r="F134" s="365">
        <v>0</v>
      </c>
      <c r="G134" s="301">
        <f t="shared" si="29"/>
        <v>0</v>
      </c>
      <c r="H134" s="302">
        <f t="shared" si="30"/>
        <v>0</v>
      </c>
      <c r="I134" s="292"/>
      <c r="J134" s="292"/>
    </row>
    <row r="135" spans="1:12" ht="12.75" customHeight="1" x14ac:dyDescent="0.2">
      <c r="A135" s="799"/>
      <c r="B135" s="298">
        <v>53208030000000</v>
      </c>
      <c r="C135" s="299" t="s">
        <v>104</v>
      </c>
      <c r="D135" s="364">
        <f t="shared" si="31"/>
        <v>0</v>
      </c>
      <c r="E135" s="364">
        <v>0</v>
      </c>
      <c r="F135" s="365">
        <v>0</v>
      </c>
      <c r="G135" s="301">
        <f t="shared" si="29"/>
        <v>0</v>
      </c>
      <c r="H135" s="302">
        <f t="shared" si="30"/>
        <v>0</v>
      </c>
      <c r="I135" s="292"/>
      <c r="J135" s="292"/>
    </row>
    <row r="136" spans="1:12" ht="12.75" customHeight="1" x14ac:dyDescent="0.2">
      <c r="A136" s="799"/>
      <c r="B136" s="298">
        <v>53206990000000</v>
      </c>
      <c r="C136" s="299" t="s">
        <v>219</v>
      </c>
      <c r="D136" s="364">
        <f t="shared" si="31"/>
        <v>0</v>
      </c>
      <c r="E136" s="364">
        <v>0</v>
      </c>
      <c r="F136" s="365">
        <v>0</v>
      </c>
      <c r="G136" s="301">
        <f t="shared" si="29"/>
        <v>0</v>
      </c>
      <c r="H136" s="302">
        <f>D136+G136</f>
        <v>0</v>
      </c>
      <c r="I136" s="292"/>
      <c r="J136" s="292"/>
    </row>
    <row r="137" spans="1:12" ht="12.75" customHeight="1" x14ac:dyDescent="0.2">
      <c r="A137" s="799"/>
      <c r="B137" s="293"/>
      <c r="C137" s="294" t="s">
        <v>66</v>
      </c>
      <c r="D137" s="295">
        <f>SUM(D138:D138)</f>
        <v>0</v>
      </c>
      <c r="E137" s="378"/>
      <c r="F137" s="378"/>
      <c r="G137" s="295">
        <f>SUM(G138:G138)</f>
        <v>68000</v>
      </c>
      <c r="H137" s="297">
        <f>SUM(H138:H138)</f>
        <v>68000</v>
      </c>
      <c r="I137" s="292"/>
      <c r="J137" s="292"/>
    </row>
    <row r="138" spans="1:12" ht="12.75" customHeight="1" x14ac:dyDescent="0.2">
      <c r="A138" s="799"/>
      <c r="B138" s="323"/>
      <c r="C138" s="311" t="s">
        <v>220</v>
      </c>
      <c r="D138" s="207">
        <v>0</v>
      </c>
      <c r="E138" s="744">
        <v>8500</v>
      </c>
      <c r="F138" s="755">
        <v>8</v>
      </c>
      <c r="G138" s="301">
        <f t="shared" ref="G138" si="32">E138*F138</f>
        <v>68000</v>
      </c>
      <c r="H138" s="312">
        <f t="shared" ref="H138" si="33">D138+G138</f>
        <v>68000</v>
      </c>
      <c r="I138" s="507" t="s">
        <v>221</v>
      </c>
      <c r="J138" s="309">
        <f>+H136+H135+H134+H133+H132+H131+H130+H128+H127+H126+H125+H124+H123+H122+H121+H119+H116+H115+H114+H113+H112+H110+H108+H107+H101+H100+H99+H97+H96+H95+H94+H93+H92+H91+H90+H89+H88+H87</f>
        <v>4820880</v>
      </c>
      <c r="L138" s="707" t="s">
        <v>367</v>
      </c>
    </row>
    <row r="139" spans="1:12" ht="13.5" collapsed="1" thickBot="1" x14ac:dyDescent="0.25">
      <c r="A139" s="800"/>
      <c r="B139" s="324"/>
      <c r="C139" s="313" t="s">
        <v>105</v>
      </c>
      <c r="D139" s="314">
        <f>SUM(D76,D103)</f>
        <v>27889381.152000003</v>
      </c>
      <c r="E139" s="315"/>
      <c r="F139" s="315"/>
      <c r="G139" s="314">
        <f>SUM(G76,G103)</f>
        <v>3021920</v>
      </c>
      <c r="H139" s="310">
        <f>SUM(H76,H103)</f>
        <v>31124781.152000003</v>
      </c>
      <c r="I139" s="506" t="s">
        <v>222</v>
      </c>
      <c r="J139" s="316">
        <f>+H139-J138</f>
        <v>26303901.152000003</v>
      </c>
    </row>
    <row r="140" spans="1:12" x14ac:dyDescent="0.2">
      <c r="A140" s="865" t="s">
        <v>238</v>
      </c>
      <c r="B140" s="400"/>
      <c r="C140" s="401" t="s">
        <v>11</v>
      </c>
      <c r="D140" s="402">
        <f>SUM(D141,D146)</f>
        <v>0</v>
      </c>
      <c r="E140" s="403"/>
      <c r="F140" s="403"/>
      <c r="G140" s="404">
        <f>SUM(G141,G146)</f>
        <v>0</v>
      </c>
      <c r="H140" s="405">
        <f>SUM(H141,H146)</f>
        <v>0</v>
      </c>
      <c r="I140" s="292"/>
      <c r="J140" s="292"/>
    </row>
    <row r="141" spans="1:12" ht="15.75" customHeight="1" x14ac:dyDescent="0.2">
      <c r="A141" s="866"/>
      <c r="B141" s="406"/>
      <c r="C141" s="407" t="s">
        <v>12</v>
      </c>
      <c r="D141" s="408">
        <f>SUM(D142:D145)</f>
        <v>0</v>
      </c>
      <c r="E141" s="409"/>
      <c r="F141" s="409"/>
      <c r="G141" s="410">
        <f>SUM(G142:G145)</f>
        <v>0</v>
      </c>
      <c r="H141" s="411">
        <f>SUM(H142:H145)</f>
        <v>0</v>
      </c>
      <c r="I141" s="292"/>
      <c r="J141" s="292"/>
    </row>
    <row r="142" spans="1:12" ht="15.75" customHeight="1" x14ac:dyDescent="0.2">
      <c r="A142" s="866"/>
      <c r="B142" s="412">
        <v>53103040100000</v>
      </c>
      <c r="C142" s="413" t="s">
        <v>95</v>
      </c>
      <c r="D142" s="414">
        <f>'F) Remuneraciones'!L36</f>
        <v>0</v>
      </c>
      <c r="E142" s="415">
        <v>0</v>
      </c>
      <c r="F142" s="416">
        <v>0</v>
      </c>
      <c r="G142" s="417">
        <f>E142*F142</f>
        <v>0</v>
      </c>
      <c r="H142" s="418">
        <f>D142+G142</f>
        <v>0</v>
      </c>
      <c r="I142" s="292"/>
      <c r="J142" s="292"/>
    </row>
    <row r="143" spans="1:12" ht="15.75" customHeight="1" x14ac:dyDescent="0.2">
      <c r="A143" s="866"/>
      <c r="B143" s="412">
        <v>53103050000000</v>
      </c>
      <c r="C143" s="413" t="s">
        <v>239</v>
      </c>
      <c r="D143" s="419">
        <v>0</v>
      </c>
      <c r="E143" s="420">
        <v>0</v>
      </c>
      <c r="F143" s="421">
        <v>0</v>
      </c>
      <c r="G143" s="417">
        <f>E143*F143</f>
        <v>0</v>
      </c>
      <c r="H143" s="418">
        <f>D143+G143</f>
        <v>0</v>
      </c>
      <c r="I143" s="292"/>
      <c r="J143" s="292"/>
    </row>
    <row r="144" spans="1:12" ht="15.75" customHeight="1" x14ac:dyDescent="0.2">
      <c r="A144" s="866"/>
      <c r="B144" s="422">
        <v>53103040400000</v>
      </c>
      <c r="C144" s="423" t="s">
        <v>177</v>
      </c>
      <c r="D144" s="419">
        <v>0</v>
      </c>
      <c r="E144" s="420">
        <v>0</v>
      </c>
      <c r="F144" s="421">
        <v>0</v>
      </c>
      <c r="G144" s="417">
        <f>E144*F144</f>
        <v>0</v>
      </c>
      <c r="H144" s="418">
        <f>D144+G144</f>
        <v>0</v>
      </c>
      <c r="I144" s="292"/>
      <c r="J144" s="292"/>
    </row>
    <row r="145" spans="1:10" ht="15.75" customHeight="1" x14ac:dyDescent="0.2">
      <c r="A145" s="866"/>
      <c r="B145" s="412">
        <v>53103080010000</v>
      </c>
      <c r="C145" s="413" t="s">
        <v>178</v>
      </c>
      <c r="D145" s="419">
        <v>0</v>
      </c>
      <c r="E145" s="420">
        <v>0</v>
      </c>
      <c r="F145" s="421">
        <v>0</v>
      </c>
      <c r="G145" s="417">
        <f>E145*F145</f>
        <v>0</v>
      </c>
      <c r="H145" s="418">
        <f>D145+G145</f>
        <v>0</v>
      </c>
      <c r="I145" s="292"/>
      <c r="J145" s="292"/>
    </row>
    <row r="146" spans="1:10" ht="15.75" customHeight="1" x14ac:dyDescent="0.2">
      <c r="A146" s="866"/>
      <c r="B146" s="406"/>
      <c r="C146" s="407" t="s">
        <v>16</v>
      </c>
      <c r="D146" s="408">
        <f>SUM(D147:D166)</f>
        <v>0</v>
      </c>
      <c r="E146" s="409"/>
      <c r="F146" s="409"/>
      <c r="G146" s="408">
        <f>SUM(G147:G166)</f>
        <v>0</v>
      </c>
      <c r="H146" s="411">
        <f>SUM(H147:H166)</f>
        <v>0</v>
      </c>
      <c r="I146" s="292"/>
      <c r="J146" s="292"/>
    </row>
    <row r="147" spans="1:10" ht="15.75" customHeight="1" x14ac:dyDescent="0.2">
      <c r="A147" s="866"/>
      <c r="B147" s="412">
        <v>53201010100000</v>
      </c>
      <c r="C147" s="424" t="s">
        <v>179</v>
      </c>
      <c r="D147" s="419">
        <v>0</v>
      </c>
      <c r="E147" s="420">
        <v>0</v>
      </c>
      <c r="F147" s="421">
        <v>0</v>
      </c>
      <c r="G147" s="417">
        <f t="shared" ref="G147:G166" si="34">E147*F147</f>
        <v>0</v>
      </c>
      <c r="H147" s="418">
        <f t="shared" ref="H147:H166" si="35">D147+G147</f>
        <v>0</v>
      </c>
      <c r="I147" s="292"/>
      <c r="J147" s="292"/>
    </row>
    <row r="148" spans="1:10" ht="15.75" customHeight="1" x14ac:dyDescent="0.2">
      <c r="A148" s="866"/>
      <c r="B148" s="412">
        <v>53201010100000</v>
      </c>
      <c r="C148" s="424" t="s">
        <v>180</v>
      </c>
      <c r="D148" s="419">
        <v>0</v>
      </c>
      <c r="E148" s="420">
        <v>0</v>
      </c>
      <c r="F148" s="421">
        <v>0</v>
      </c>
      <c r="G148" s="417">
        <f t="shared" si="34"/>
        <v>0</v>
      </c>
      <c r="H148" s="418">
        <f t="shared" si="35"/>
        <v>0</v>
      </c>
      <c r="I148" s="292"/>
      <c r="J148" s="292"/>
    </row>
    <row r="149" spans="1:10" ht="15.75" customHeight="1" x14ac:dyDescent="0.2">
      <c r="A149" s="866"/>
      <c r="B149" s="412">
        <v>53201010100000</v>
      </c>
      <c r="C149" s="424" t="s">
        <v>181</v>
      </c>
      <c r="D149" s="419">
        <v>0</v>
      </c>
      <c r="E149" s="420">
        <v>0</v>
      </c>
      <c r="F149" s="421">
        <v>0</v>
      </c>
      <c r="G149" s="417">
        <f t="shared" si="34"/>
        <v>0</v>
      </c>
      <c r="H149" s="418">
        <f t="shared" si="35"/>
        <v>0</v>
      </c>
      <c r="I149" s="292"/>
      <c r="J149" s="292"/>
    </row>
    <row r="150" spans="1:10" ht="15.75" customHeight="1" x14ac:dyDescent="0.2">
      <c r="A150" s="866"/>
      <c r="B150" s="412">
        <v>53202010100000</v>
      </c>
      <c r="C150" s="413" t="s">
        <v>182</v>
      </c>
      <c r="D150" s="419">
        <v>0</v>
      </c>
      <c r="E150" s="420">
        <v>0</v>
      </c>
      <c r="F150" s="421">
        <v>0</v>
      </c>
      <c r="G150" s="417">
        <f t="shared" si="34"/>
        <v>0</v>
      </c>
      <c r="H150" s="418">
        <f t="shared" si="35"/>
        <v>0</v>
      </c>
      <c r="I150" s="292"/>
      <c r="J150" s="292"/>
    </row>
    <row r="151" spans="1:10" ht="15.75" customHeight="1" x14ac:dyDescent="0.2">
      <c r="A151" s="866"/>
      <c r="B151" s="412">
        <v>53203010100000</v>
      </c>
      <c r="C151" s="413" t="s">
        <v>19</v>
      </c>
      <c r="D151" s="425">
        <v>0</v>
      </c>
      <c r="E151" s="426">
        <v>0</v>
      </c>
      <c r="F151" s="427">
        <v>0</v>
      </c>
      <c r="G151" s="417">
        <f t="shared" si="34"/>
        <v>0</v>
      </c>
      <c r="H151" s="418">
        <f t="shared" si="35"/>
        <v>0</v>
      </c>
      <c r="I151" s="292"/>
      <c r="J151" s="292"/>
    </row>
    <row r="152" spans="1:10" ht="15.75" customHeight="1" x14ac:dyDescent="0.2">
      <c r="A152" s="866"/>
      <c r="B152" s="412">
        <v>53203030000000</v>
      </c>
      <c r="C152" s="413" t="s">
        <v>183</v>
      </c>
      <c r="D152" s="425">
        <v>0</v>
      </c>
      <c r="E152" s="426">
        <v>0</v>
      </c>
      <c r="F152" s="427">
        <v>0</v>
      </c>
      <c r="G152" s="417">
        <f t="shared" si="34"/>
        <v>0</v>
      </c>
      <c r="H152" s="418">
        <f t="shared" si="35"/>
        <v>0</v>
      </c>
      <c r="I152" s="292"/>
      <c r="J152" s="292"/>
    </row>
    <row r="153" spans="1:10" ht="15.75" customHeight="1" x14ac:dyDescent="0.2">
      <c r="A153" s="866"/>
      <c r="B153" s="412">
        <v>53204030000000</v>
      </c>
      <c r="C153" s="413" t="s">
        <v>217</v>
      </c>
      <c r="D153" s="425">
        <v>0</v>
      </c>
      <c r="E153" s="426">
        <v>0</v>
      </c>
      <c r="F153" s="427">
        <v>0</v>
      </c>
      <c r="G153" s="417">
        <f t="shared" si="34"/>
        <v>0</v>
      </c>
      <c r="H153" s="418">
        <f>D153+G153</f>
        <v>0</v>
      </c>
      <c r="I153" s="292"/>
      <c r="J153" s="292"/>
    </row>
    <row r="154" spans="1:10" ht="15.75" customHeight="1" x14ac:dyDescent="0.2">
      <c r="A154" s="866"/>
      <c r="B154" s="412">
        <v>53204100100001</v>
      </c>
      <c r="C154" s="413" t="s">
        <v>22</v>
      </c>
      <c r="D154" s="425">
        <v>0</v>
      </c>
      <c r="E154" s="426">
        <v>0</v>
      </c>
      <c r="F154" s="427">
        <v>0</v>
      </c>
      <c r="G154" s="417">
        <f t="shared" si="34"/>
        <v>0</v>
      </c>
      <c r="H154" s="418">
        <f t="shared" si="35"/>
        <v>0</v>
      </c>
      <c r="I154" s="292"/>
      <c r="J154" s="292"/>
    </row>
    <row r="155" spans="1:10" ht="15.75" customHeight="1" x14ac:dyDescent="0.2">
      <c r="A155" s="866"/>
      <c r="B155" s="412">
        <v>53204130100000</v>
      </c>
      <c r="C155" s="413" t="s">
        <v>185</v>
      </c>
      <c r="D155" s="425">
        <v>0</v>
      </c>
      <c r="E155" s="426">
        <v>0</v>
      </c>
      <c r="F155" s="427">
        <v>0</v>
      </c>
      <c r="G155" s="417">
        <f t="shared" si="34"/>
        <v>0</v>
      </c>
      <c r="H155" s="418">
        <f t="shared" si="35"/>
        <v>0</v>
      </c>
      <c r="I155" s="292"/>
      <c r="J155" s="292"/>
    </row>
    <row r="156" spans="1:10" ht="15.75" customHeight="1" x14ac:dyDescent="0.2">
      <c r="A156" s="866"/>
      <c r="B156" s="412">
        <v>53205010100000</v>
      </c>
      <c r="C156" s="413" t="s">
        <v>24</v>
      </c>
      <c r="D156" s="425">
        <v>0</v>
      </c>
      <c r="E156" s="426">
        <v>0</v>
      </c>
      <c r="F156" s="427">
        <v>0</v>
      </c>
      <c r="G156" s="417">
        <f t="shared" si="34"/>
        <v>0</v>
      </c>
      <c r="H156" s="418">
        <f t="shared" si="35"/>
        <v>0</v>
      </c>
      <c r="I156" s="292"/>
      <c r="J156" s="292"/>
    </row>
    <row r="157" spans="1:10" ht="15.75" customHeight="1" x14ac:dyDescent="0.2">
      <c r="A157" s="866"/>
      <c r="B157" s="412">
        <v>53205020100000</v>
      </c>
      <c r="C157" s="413" t="s">
        <v>25</v>
      </c>
      <c r="D157" s="425">
        <v>0</v>
      </c>
      <c r="E157" s="426">
        <v>0</v>
      </c>
      <c r="F157" s="427">
        <v>0</v>
      </c>
      <c r="G157" s="417">
        <f t="shared" si="34"/>
        <v>0</v>
      </c>
      <c r="H157" s="418">
        <f t="shared" si="35"/>
        <v>0</v>
      </c>
      <c r="I157" s="292"/>
      <c r="J157" s="292"/>
    </row>
    <row r="158" spans="1:10" ht="15.75" customHeight="1" x14ac:dyDescent="0.2">
      <c r="A158" s="866"/>
      <c r="B158" s="412">
        <v>53205030100000</v>
      </c>
      <c r="C158" s="413" t="s">
        <v>26</v>
      </c>
      <c r="D158" s="425">
        <v>0</v>
      </c>
      <c r="E158" s="426">
        <v>0</v>
      </c>
      <c r="F158" s="427">
        <v>0</v>
      </c>
      <c r="G158" s="417">
        <f t="shared" si="34"/>
        <v>0</v>
      </c>
      <c r="H158" s="418">
        <f t="shared" si="35"/>
        <v>0</v>
      </c>
      <c r="I158" s="292"/>
      <c r="J158" s="292"/>
    </row>
    <row r="159" spans="1:10" ht="15.75" customHeight="1" x14ac:dyDescent="0.2">
      <c r="A159" s="866"/>
      <c r="B159" s="412">
        <v>53205050100000</v>
      </c>
      <c r="C159" s="413" t="s">
        <v>27</v>
      </c>
      <c r="D159" s="425">
        <v>0</v>
      </c>
      <c r="E159" s="426">
        <v>0</v>
      </c>
      <c r="F159" s="427">
        <v>0</v>
      </c>
      <c r="G159" s="417">
        <f t="shared" si="34"/>
        <v>0</v>
      </c>
      <c r="H159" s="418">
        <f t="shared" si="35"/>
        <v>0</v>
      </c>
      <c r="I159" s="292"/>
      <c r="J159" s="292"/>
    </row>
    <row r="160" spans="1:10" ht="15.75" customHeight="1" x14ac:dyDescent="0.2">
      <c r="A160" s="866"/>
      <c r="B160" s="412">
        <v>53205070100000</v>
      </c>
      <c r="C160" s="413" t="s">
        <v>29</v>
      </c>
      <c r="D160" s="425">
        <v>0</v>
      </c>
      <c r="E160" s="426">
        <v>0</v>
      </c>
      <c r="F160" s="427">
        <v>0</v>
      </c>
      <c r="G160" s="417">
        <f t="shared" si="34"/>
        <v>0</v>
      </c>
      <c r="H160" s="418">
        <f t="shared" si="35"/>
        <v>0</v>
      </c>
      <c r="I160" s="292"/>
      <c r="J160" s="292"/>
    </row>
    <row r="161" spans="1:10" ht="15.75" customHeight="1" x14ac:dyDescent="0.2">
      <c r="A161" s="866"/>
      <c r="B161" s="412">
        <v>53208010100000</v>
      </c>
      <c r="C161" s="413" t="s">
        <v>30</v>
      </c>
      <c r="D161" s="425">
        <v>0</v>
      </c>
      <c r="E161" s="426">
        <v>0</v>
      </c>
      <c r="F161" s="427">
        <v>0</v>
      </c>
      <c r="G161" s="417">
        <f t="shared" si="34"/>
        <v>0</v>
      </c>
      <c r="H161" s="418">
        <f t="shared" si="35"/>
        <v>0</v>
      </c>
      <c r="I161" s="292"/>
      <c r="J161" s="292"/>
    </row>
    <row r="162" spans="1:10" ht="15.75" customHeight="1" x14ac:dyDescent="0.2">
      <c r="A162" s="866"/>
      <c r="B162" s="412">
        <v>53208070100001</v>
      </c>
      <c r="C162" s="413" t="s">
        <v>31</v>
      </c>
      <c r="D162" s="419">
        <v>0</v>
      </c>
      <c r="E162" s="420">
        <v>0</v>
      </c>
      <c r="F162" s="421">
        <v>0</v>
      </c>
      <c r="G162" s="417">
        <f t="shared" si="34"/>
        <v>0</v>
      </c>
      <c r="H162" s="418">
        <f t="shared" si="35"/>
        <v>0</v>
      </c>
      <c r="I162" s="292"/>
      <c r="J162" s="292"/>
    </row>
    <row r="163" spans="1:10" ht="15.75" customHeight="1" x14ac:dyDescent="0.2">
      <c r="A163" s="866"/>
      <c r="B163" s="412">
        <v>53208100100001</v>
      </c>
      <c r="C163" s="413" t="s">
        <v>186</v>
      </c>
      <c r="D163" s="425">
        <v>0</v>
      </c>
      <c r="E163" s="426">
        <v>0</v>
      </c>
      <c r="F163" s="427">
        <v>0</v>
      </c>
      <c r="G163" s="417">
        <f t="shared" si="34"/>
        <v>0</v>
      </c>
      <c r="H163" s="418">
        <f t="shared" si="35"/>
        <v>0</v>
      </c>
      <c r="I163" s="292"/>
      <c r="J163" s="292"/>
    </row>
    <row r="164" spans="1:10" ht="15.75" customHeight="1" x14ac:dyDescent="0.2">
      <c r="A164" s="866"/>
      <c r="B164" s="412">
        <v>53211030000000</v>
      </c>
      <c r="C164" s="413" t="s">
        <v>32</v>
      </c>
      <c r="D164" s="425">
        <v>0</v>
      </c>
      <c r="E164" s="426">
        <v>0</v>
      </c>
      <c r="F164" s="427">
        <v>0</v>
      </c>
      <c r="G164" s="417">
        <f t="shared" si="34"/>
        <v>0</v>
      </c>
      <c r="H164" s="418">
        <f t="shared" si="35"/>
        <v>0</v>
      </c>
      <c r="I164" s="292"/>
      <c r="J164" s="292"/>
    </row>
    <row r="165" spans="1:10" ht="15.75" customHeight="1" x14ac:dyDescent="0.2">
      <c r="A165" s="866"/>
      <c r="B165" s="412">
        <v>53212020100000</v>
      </c>
      <c r="C165" s="413" t="s">
        <v>187</v>
      </c>
      <c r="D165" s="425">
        <v>0</v>
      </c>
      <c r="E165" s="426">
        <v>0</v>
      </c>
      <c r="F165" s="427">
        <v>0</v>
      </c>
      <c r="G165" s="417">
        <f t="shared" si="34"/>
        <v>0</v>
      </c>
      <c r="H165" s="418">
        <f t="shared" si="35"/>
        <v>0</v>
      </c>
      <c r="I165" s="292"/>
      <c r="J165" s="292"/>
    </row>
    <row r="166" spans="1:10" ht="15.75" customHeight="1" x14ac:dyDescent="0.2">
      <c r="A166" s="866"/>
      <c r="B166" s="412">
        <v>53214020000000</v>
      </c>
      <c r="C166" s="413" t="s">
        <v>188</v>
      </c>
      <c r="D166" s="419">
        <v>0</v>
      </c>
      <c r="E166" s="420">
        <v>0</v>
      </c>
      <c r="F166" s="421">
        <v>0</v>
      </c>
      <c r="G166" s="417">
        <f t="shared" si="34"/>
        <v>0</v>
      </c>
      <c r="H166" s="418">
        <f t="shared" si="35"/>
        <v>0</v>
      </c>
      <c r="I166" s="292"/>
      <c r="J166" s="292"/>
    </row>
    <row r="167" spans="1:10" ht="15.75" customHeight="1" x14ac:dyDescent="0.2">
      <c r="A167" s="866"/>
      <c r="B167" s="400"/>
      <c r="C167" s="401" t="s">
        <v>34</v>
      </c>
      <c r="D167" s="402">
        <f>+D168+D173+D175+D184+D193+D201</f>
        <v>0</v>
      </c>
      <c r="E167" s="403"/>
      <c r="F167" s="403"/>
      <c r="G167" s="402">
        <f>SUM(G168,G173,G175,G184,G193,G201)</f>
        <v>0</v>
      </c>
      <c r="H167" s="428">
        <f>SUM(H168,H173,H175,H184,H193,H201)</f>
        <v>0</v>
      </c>
      <c r="I167" s="292"/>
      <c r="J167" s="292"/>
    </row>
    <row r="168" spans="1:10" ht="15.75" customHeight="1" x14ac:dyDescent="0.2">
      <c r="A168" s="866"/>
      <c r="B168" s="406"/>
      <c r="C168" s="407" t="s">
        <v>35</v>
      </c>
      <c r="D168" s="408">
        <f>SUM(D169:D172)</f>
        <v>0</v>
      </c>
      <c r="E168" s="409"/>
      <c r="F168" s="409"/>
      <c r="G168" s="429">
        <f>SUM(G169:G172)</f>
        <v>0</v>
      </c>
      <c r="H168" s="430">
        <f>SUM(H169:H172)</f>
        <v>0</v>
      </c>
      <c r="I168" s="292"/>
      <c r="J168" s="292"/>
    </row>
    <row r="169" spans="1:10" ht="15.75" customHeight="1" x14ac:dyDescent="0.2">
      <c r="A169" s="866"/>
      <c r="B169" s="412">
        <v>53202020100000</v>
      </c>
      <c r="C169" s="413" t="s">
        <v>189</v>
      </c>
      <c r="D169" s="419">
        <v>0</v>
      </c>
      <c r="E169" s="420">
        <v>0</v>
      </c>
      <c r="F169" s="421">
        <v>0</v>
      </c>
      <c r="G169" s="417">
        <f>E169*F169</f>
        <v>0</v>
      </c>
      <c r="H169" s="418">
        <f t="shared" ref="H169:H202" si="36">D169+G169</f>
        <v>0</v>
      </c>
      <c r="I169" s="292"/>
      <c r="J169" s="292"/>
    </row>
    <row r="170" spans="1:10" ht="15.75" customHeight="1" x14ac:dyDescent="0.2">
      <c r="A170" s="866"/>
      <c r="B170" s="412">
        <v>53202030000000</v>
      </c>
      <c r="C170" s="413" t="s">
        <v>190</v>
      </c>
      <c r="D170" s="419">
        <v>0</v>
      </c>
      <c r="E170" s="420">
        <v>0</v>
      </c>
      <c r="F170" s="421">
        <v>0</v>
      </c>
      <c r="G170" s="417">
        <f t="shared" ref="G170:G202" si="37">E170*F170</f>
        <v>0</v>
      </c>
      <c r="H170" s="418">
        <f t="shared" si="36"/>
        <v>0</v>
      </c>
      <c r="I170" s="292"/>
      <c r="J170" s="292"/>
    </row>
    <row r="171" spans="1:10" ht="15.75" customHeight="1" x14ac:dyDescent="0.2">
      <c r="A171" s="866"/>
      <c r="B171" s="412">
        <v>53211020000000</v>
      </c>
      <c r="C171" s="413" t="s">
        <v>41</v>
      </c>
      <c r="D171" s="426">
        <f>O104</f>
        <v>0</v>
      </c>
      <c r="E171" s="426">
        <v>0</v>
      </c>
      <c r="F171" s="426">
        <v>0</v>
      </c>
      <c r="G171" s="417">
        <f t="shared" si="37"/>
        <v>0</v>
      </c>
      <c r="H171" s="418">
        <f t="shared" si="36"/>
        <v>0</v>
      </c>
      <c r="I171" s="292"/>
      <c r="J171" s="292"/>
    </row>
    <row r="172" spans="1:10" ht="15.75" customHeight="1" x14ac:dyDescent="0.2">
      <c r="A172" s="866"/>
      <c r="B172" s="412">
        <v>53101040600000</v>
      </c>
      <c r="C172" s="413" t="s">
        <v>191</v>
      </c>
      <c r="D172" s="426">
        <f>O105</f>
        <v>0</v>
      </c>
      <c r="E172" s="426">
        <v>0</v>
      </c>
      <c r="F172" s="426">
        <v>0</v>
      </c>
      <c r="G172" s="417">
        <f t="shared" si="37"/>
        <v>0</v>
      </c>
      <c r="H172" s="418">
        <f t="shared" si="36"/>
        <v>0</v>
      </c>
      <c r="I172" s="292"/>
      <c r="J172" s="292"/>
    </row>
    <row r="173" spans="1:10" ht="15.75" customHeight="1" x14ac:dyDescent="0.2">
      <c r="A173" s="866"/>
      <c r="B173" s="406"/>
      <c r="C173" s="407" t="s">
        <v>42</v>
      </c>
      <c r="D173" s="408">
        <f>SUM(D174:D174)</f>
        <v>0</v>
      </c>
      <c r="E173" s="409"/>
      <c r="F173" s="409"/>
      <c r="G173" s="429">
        <f>SUM(G174:G174)</f>
        <v>0</v>
      </c>
      <c r="H173" s="430">
        <f>SUM(H174:H174)</f>
        <v>0</v>
      </c>
      <c r="I173" s="292"/>
      <c r="J173" s="292"/>
    </row>
    <row r="174" spans="1:10" ht="15.75" customHeight="1" x14ac:dyDescent="0.2">
      <c r="A174" s="866"/>
      <c r="B174" s="431">
        <v>53205990000000</v>
      </c>
      <c r="C174" s="413" t="s">
        <v>44</v>
      </c>
      <c r="D174" s="426">
        <v>0</v>
      </c>
      <c r="E174" s="426">
        <v>0</v>
      </c>
      <c r="F174" s="426">
        <v>0</v>
      </c>
      <c r="G174" s="417">
        <f t="shared" si="37"/>
        <v>0</v>
      </c>
      <c r="H174" s="418">
        <f t="shared" si="36"/>
        <v>0</v>
      </c>
      <c r="I174" s="292"/>
      <c r="J174" s="292"/>
    </row>
    <row r="175" spans="1:10" ht="15.75" customHeight="1" x14ac:dyDescent="0.2">
      <c r="A175" s="866"/>
      <c r="B175" s="406"/>
      <c r="C175" s="407" t="s">
        <v>45</v>
      </c>
      <c r="D175" s="408">
        <f>SUM(D176:D183)</f>
        <v>0</v>
      </c>
      <c r="E175" s="409"/>
      <c r="F175" s="409"/>
      <c r="G175" s="408">
        <f>SUM(G176:G183)</f>
        <v>0</v>
      </c>
      <c r="H175" s="411">
        <f>SUM(H176:H183)</f>
        <v>0</v>
      </c>
      <c r="I175" s="292"/>
      <c r="J175" s="292"/>
    </row>
    <row r="176" spans="1:10" ht="15.75" customHeight="1" x14ac:dyDescent="0.2">
      <c r="A176" s="866"/>
      <c r="B176" s="412">
        <v>53204010000000</v>
      </c>
      <c r="C176" s="413" t="s">
        <v>47</v>
      </c>
      <c r="D176" s="426">
        <v>0</v>
      </c>
      <c r="E176" s="426">
        <v>0</v>
      </c>
      <c r="F176" s="426">
        <v>0</v>
      </c>
      <c r="G176" s="417">
        <f t="shared" si="37"/>
        <v>0</v>
      </c>
      <c r="H176" s="418">
        <f t="shared" si="36"/>
        <v>0</v>
      </c>
      <c r="I176" s="292"/>
      <c r="J176" s="292"/>
    </row>
    <row r="177" spans="1:10" ht="15.75" customHeight="1" x14ac:dyDescent="0.2">
      <c r="A177" s="866"/>
      <c r="B177" s="431">
        <v>53204040200000</v>
      </c>
      <c r="C177" s="413" t="s">
        <v>218</v>
      </c>
      <c r="D177" s="426">
        <v>0</v>
      </c>
      <c r="E177" s="426">
        <v>0</v>
      </c>
      <c r="F177" s="426">
        <v>0</v>
      </c>
      <c r="G177" s="417">
        <f t="shared" si="37"/>
        <v>0</v>
      </c>
      <c r="H177" s="418">
        <f t="shared" si="36"/>
        <v>0</v>
      </c>
      <c r="I177" s="292"/>
      <c r="J177" s="292"/>
    </row>
    <row r="178" spans="1:10" ht="15.75" customHeight="1" x14ac:dyDescent="0.2">
      <c r="A178" s="866"/>
      <c r="B178" s="412">
        <v>53204060000000</v>
      </c>
      <c r="C178" s="413" t="s">
        <v>49</v>
      </c>
      <c r="D178" s="426">
        <v>0</v>
      </c>
      <c r="E178" s="426">
        <v>0</v>
      </c>
      <c r="F178" s="426">
        <v>0</v>
      </c>
      <c r="G178" s="417">
        <f t="shared" si="37"/>
        <v>0</v>
      </c>
      <c r="H178" s="418">
        <f t="shared" si="36"/>
        <v>0</v>
      </c>
      <c r="I178" s="292"/>
      <c r="J178" s="292"/>
    </row>
    <row r="179" spans="1:10" ht="15.75" customHeight="1" x14ac:dyDescent="0.2">
      <c r="A179" s="866"/>
      <c r="B179" s="412">
        <v>53204070000000</v>
      </c>
      <c r="C179" s="413" t="s">
        <v>50</v>
      </c>
      <c r="D179" s="426">
        <v>0</v>
      </c>
      <c r="E179" s="426">
        <v>0</v>
      </c>
      <c r="F179" s="426">
        <v>0</v>
      </c>
      <c r="G179" s="417">
        <f t="shared" si="37"/>
        <v>0</v>
      </c>
      <c r="H179" s="418">
        <f t="shared" si="36"/>
        <v>0</v>
      </c>
      <c r="I179" s="292"/>
      <c r="J179" s="292"/>
    </row>
    <row r="180" spans="1:10" ht="15.75" customHeight="1" x14ac:dyDescent="0.2">
      <c r="A180" s="866"/>
      <c r="B180" s="412">
        <v>53204080000000</v>
      </c>
      <c r="C180" s="413" t="s">
        <v>51</v>
      </c>
      <c r="D180" s="426">
        <v>0</v>
      </c>
      <c r="E180" s="426">
        <v>0</v>
      </c>
      <c r="F180" s="426">
        <v>0</v>
      </c>
      <c r="G180" s="417">
        <f t="shared" si="37"/>
        <v>0</v>
      </c>
      <c r="H180" s="418">
        <f t="shared" si="36"/>
        <v>0</v>
      </c>
      <c r="I180" s="292"/>
      <c r="J180" s="292"/>
    </row>
    <row r="181" spans="1:10" ht="15.75" customHeight="1" x14ac:dyDescent="0.2">
      <c r="A181" s="866"/>
      <c r="B181" s="412">
        <v>53214010000000</v>
      </c>
      <c r="C181" s="413" t="s">
        <v>52</v>
      </c>
      <c r="D181" s="432">
        <v>0</v>
      </c>
      <c r="E181" s="432">
        <v>0</v>
      </c>
      <c r="F181" s="432">
        <v>0</v>
      </c>
      <c r="G181" s="417">
        <f t="shared" si="37"/>
        <v>0</v>
      </c>
      <c r="H181" s="418">
        <f t="shared" si="36"/>
        <v>0</v>
      </c>
      <c r="I181" s="292"/>
      <c r="J181" s="292"/>
    </row>
    <row r="182" spans="1:10" ht="15.75" customHeight="1" x14ac:dyDescent="0.2">
      <c r="A182" s="866"/>
      <c r="B182" s="412">
        <v>53214040000000</v>
      </c>
      <c r="C182" s="413" t="s">
        <v>192</v>
      </c>
      <c r="D182" s="432">
        <v>0</v>
      </c>
      <c r="E182" s="432">
        <v>0</v>
      </c>
      <c r="F182" s="432">
        <v>0</v>
      </c>
      <c r="G182" s="417">
        <f t="shared" si="37"/>
        <v>0</v>
      </c>
      <c r="H182" s="418">
        <f t="shared" si="36"/>
        <v>0</v>
      </c>
      <c r="I182" s="292"/>
      <c r="J182" s="292"/>
    </row>
    <row r="183" spans="1:10" ht="15.75" customHeight="1" x14ac:dyDescent="0.2">
      <c r="A183" s="866"/>
      <c r="B183" s="422">
        <v>53204020100000</v>
      </c>
      <c r="C183" s="413" t="s">
        <v>184</v>
      </c>
      <c r="D183" s="426">
        <v>0</v>
      </c>
      <c r="E183" s="426">
        <v>0</v>
      </c>
      <c r="F183" s="426">
        <v>0</v>
      </c>
      <c r="G183" s="417">
        <f t="shared" si="37"/>
        <v>0</v>
      </c>
      <c r="H183" s="418">
        <f t="shared" si="36"/>
        <v>0</v>
      </c>
      <c r="I183" s="292"/>
      <c r="J183" s="292"/>
    </row>
    <row r="184" spans="1:10" ht="15.75" customHeight="1" x14ac:dyDescent="0.2">
      <c r="A184" s="866"/>
      <c r="B184" s="406"/>
      <c r="C184" s="407" t="s">
        <v>55</v>
      </c>
      <c r="D184" s="408">
        <f>SUM(D185:D192)</f>
        <v>0</v>
      </c>
      <c r="E184" s="409"/>
      <c r="F184" s="409"/>
      <c r="G184" s="408">
        <f>SUM(G185:G192)</f>
        <v>0</v>
      </c>
      <c r="H184" s="411">
        <f>SUM(H185:H192)</f>
        <v>0</v>
      </c>
      <c r="I184" s="292"/>
      <c r="J184" s="292"/>
    </row>
    <row r="185" spans="1:10" ht="15.75" customHeight="1" x14ac:dyDescent="0.2">
      <c r="A185" s="866"/>
      <c r="B185" s="412">
        <v>53207010000000</v>
      </c>
      <c r="C185" s="413" t="s">
        <v>56</v>
      </c>
      <c r="D185" s="426">
        <v>0</v>
      </c>
      <c r="E185" s="426">
        <v>0</v>
      </c>
      <c r="F185" s="426">
        <v>0</v>
      </c>
      <c r="G185" s="417">
        <f t="shared" si="37"/>
        <v>0</v>
      </c>
      <c r="H185" s="418">
        <f t="shared" si="36"/>
        <v>0</v>
      </c>
      <c r="I185" s="292"/>
      <c r="J185" s="292"/>
    </row>
    <row r="186" spans="1:10" ht="15.75" customHeight="1" x14ac:dyDescent="0.2">
      <c r="A186" s="866"/>
      <c r="B186" s="412">
        <v>53207020000000</v>
      </c>
      <c r="C186" s="413" t="s">
        <v>57</v>
      </c>
      <c r="D186" s="426">
        <v>0</v>
      </c>
      <c r="E186" s="426">
        <v>0</v>
      </c>
      <c r="F186" s="426">
        <v>0</v>
      </c>
      <c r="G186" s="417">
        <f t="shared" si="37"/>
        <v>0</v>
      </c>
      <c r="H186" s="418">
        <f t="shared" si="36"/>
        <v>0</v>
      </c>
      <c r="I186" s="292"/>
      <c r="J186" s="292"/>
    </row>
    <row r="187" spans="1:10" ht="15.75" customHeight="1" x14ac:dyDescent="0.2">
      <c r="A187" s="866"/>
      <c r="B187" s="412">
        <v>53208020000000</v>
      </c>
      <c r="C187" s="413" t="s">
        <v>175</v>
      </c>
      <c r="D187" s="426">
        <v>0</v>
      </c>
      <c r="E187" s="426">
        <v>0</v>
      </c>
      <c r="F187" s="426">
        <v>0</v>
      </c>
      <c r="G187" s="417">
        <f t="shared" si="37"/>
        <v>0</v>
      </c>
      <c r="H187" s="418">
        <f t="shared" si="36"/>
        <v>0</v>
      </c>
      <c r="I187" s="292"/>
      <c r="J187" s="292"/>
    </row>
    <row r="188" spans="1:10" ht="15.75" customHeight="1" x14ac:dyDescent="0.2">
      <c r="A188" s="866"/>
      <c r="B188" s="412">
        <v>53208990000000</v>
      </c>
      <c r="C188" s="413" t="s">
        <v>193</v>
      </c>
      <c r="D188" s="426">
        <v>0</v>
      </c>
      <c r="E188" s="426">
        <v>0</v>
      </c>
      <c r="F188" s="426">
        <v>0</v>
      </c>
      <c r="G188" s="417">
        <f t="shared" si="37"/>
        <v>0</v>
      </c>
      <c r="H188" s="418">
        <f t="shared" si="36"/>
        <v>0</v>
      </c>
      <c r="I188" s="292"/>
      <c r="J188" s="292"/>
    </row>
    <row r="189" spans="1:10" ht="15.75" customHeight="1" x14ac:dyDescent="0.2">
      <c r="A189" s="866"/>
      <c r="B189" s="422">
        <v>53210020300000</v>
      </c>
      <c r="C189" s="413" t="s">
        <v>195</v>
      </c>
      <c r="D189" s="425">
        <v>0</v>
      </c>
      <c r="E189" s="425">
        <v>0</v>
      </c>
      <c r="F189" s="427">
        <v>0</v>
      </c>
      <c r="G189" s="417">
        <f t="shared" si="37"/>
        <v>0</v>
      </c>
      <c r="H189" s="418">
        <f t="shared" si="36"/>
        <v>0</v>
      </c>
      <c r="I189" s="292"/>
      <c r="J189" s="292"/>
    </row>
    <row r="190" spans="1:10" ht="15.75" customHeight="1" x14ac:dyDescent="0.2">
      <c r="A190" s="866"/>
      <c r="B190" s="412">
        <v>53208990000000</v>
      </c>
      <c r="C190" s="413" t="s">
        <v>196</v>
      </c>
      <c r="D190" s="426">
        <v>0</v>
      </c>
      <c r="E190" s="426">
        <v>0</v>
      </c>
      <c r="F190" s="426">
        <v>0</v>
      </c>
      <c r="G190" s="417">
        <f t="shared" si="37"/>
        <v>0</v>
      </c>
      <c r="H190" s="418">
        <f t="shared" si="36"/>
        <v>0</v>
      </c>
      <c r="I190" s="292"/>
      <c r="J190" s="292"/>
    </row>
    <row r="191" spans="1:10" ht="15.75" customHeight="1" x14ac:dyDescent="0.2">
      <c r="A191" s="866"/>
      <c r="B191" s="412">
        <v>53209990000000</v>
      </c>
      <c r="C191" s="413" t="s">
        <v>194</v>
      </c>
      <c r="D191" s="426">
        <v>0</v>
      </c>
      <c r="E191" s="426">
        <v>0</v>
      </c>
      <c r="F191" s="426">
        <v>0</v>
      </c>
      <c r="G191" s="417">
        <f t="shared" si="37"/>
        <v>0</v>
      </c>
      <c r="H191" s="418">
        <f t="shared" si="36"/>
        <v>0</v>
      </c>
      <c r="I191" s="292"/>
      <c r="J191" s="292"/>
    </row>
    <row r="192" spans="1:10" ht="15.75" customHeight="1" x14ac:dyDescent="0.2">
      <c r="A192" s="866"/>
      <c r="B192" s="412">
        <v>53210020100000</v>
      </c>
      <c r="C192" s="413" t="s">
        <v>64</v>
      </c>
      <c r="D192" s="426">
        <v>0</v>
      </c>
      <c r="E192" s="426">
        <v>0</v>
      </c>
      <c r="F192" s="426">
        <v>0</v>
      </c>
      <c r="G192" s="417">
        <f t="shared" si="37"/>
        <v>0</v>
      </c>
      <c r="H192" s="418">
        <f t="shared" si="36"/>
        <v>0</v>
      </c>
      <c r="I192" s="292"/>
      <c r="J192" s="292"/>
    </row>
    <row r="193" spans="1:10" ht="15.75" customHeight="1" x14ac:dyDescent="0.2">
      <c r="A193" s="866"/>
      <c r="B193" s="406"/>
      <c r="C193" s="407" t="s">
        <v>65</v>
      </c>
      <c r="D193" s="408">
        <f>SUM(D194:D200)</f>
        <v>0</v>
      </c>
      <c r="E193" s="409"/>
      <c r="F193" s="409"/>
      <c r="G193" s="408">
        <f>SUM(G194:G200)</f>
        <v>0</v>
      </c>
      <c r="H193" s="411">
        <f>SUM(H194:H200)</f>
        <v>0</v>
      </c>
      <c r="I193" s="292"/>
      <c r="J193" s="292"/>
    </row>
    <row r="194" spans="1:10" ht="15.75" customHeight="1" x14ac:dyDescent="0.2">
      <c r="A194" s="866"/>
      <c r="B194" s="412">
        <v>53206030000000</v>
      </c>
      <c r="C194" s="413" t="s">
        <v>99</v>
      </c>
      <c r="D194" s="426">
        <v>0</v>
      </c>
      <c r="E194" s="426">
        <v>0</v>
      </c>
      <c r="F194" s="426">
        <v>0</v>
      </c>
      <c r="G194" s="417">
        <f t="shared" si="37"/>
        <v>0</v>
      </c>
      <c r="H194" s="418">
        <f t="shared" si="36"/>
        <v>0</v>
      </c>
      <c r="I194" s="292"/>
      <c r="J194" s="292"/>
    </row>
    <row r="195" spans="1:10" ht="15.75" customHeight="1" x14ac:dyDescent="0.2">
      <c r="A195" s="866"/>
      <c r="B195" s="412">
        <v>53206040000000</v>
      </c>
      <c r="C195" s="413" t="s">
        <v>100</v>
      </c>
      <c r="D195" s="426">
        <v>0</v>
      </c>
      <c r="E195" s="426">
        <v>0</v>
      </c>
      <c r="F195" s="426">
        <v>0</v>
      </c>
      <c r="G195" s="417">
        <f t="shared" si="37"/>
        <v>0</v>
      </c>
      <c r="H195" s="418">
        <f t="shared" si="36"/>
        <v>0</v>
      </c>
      <c r="I195" s="292"/>
      <c r="J195" s="292"/>
    </row>
    <row r="196" spans="1:10" ht="15.75" customHeight="1" x14ac:dyDescent="0.2">
      <c r="A196" s="866"/>
      <c r="B196" s="412">
        <v>53206060000000</v>
      </c>
      <c r="C196" s="413" t="s">
        <v>197</v>
      </c>
      <c r="D196" s="426">
        <v>0</v>
      </c>
      <c r="E196" s="426">
        <v>0</v>
      </c>
      <c r="F196" s="426">
        <v>0</v>
      </c>
      <c r="G196" s="417">
        <f t="shared" si="37"/>
        <v>0</v>
      </c>
      <c r="H196" s="418">
        <f t="shared" si="36"/>
        <v>0</v>
      </c>
      <c r="I196" s="292"/>
      <c r="J196" s="292"/>
    </row>
    <row r="197" spans="1:10" ht="15.75" customHeight="1" x14ac:dyDescent="0.2">
      <c r="A197" s="866"/>
      <c r="B197" s="412">
        <v>53206070000000</v>
      </c>
      <c r="C197" s="413" t="s">
        <v>102</v>
      </c>
      <c r="D197" s="426">
        <v>0</v>
      </c>
      <c r="E197" s="426">
        <v>0</v>
      </c>
      <c r="F197" s="426">
        <v>0</v>
      </c>
      <c r="G197" s="417">
        <f t="shared" si="37"/>
        <v>0</v>
      </c>
      <c r="H197" s="418">
        <f t="shared" si="36"/>
        <v>0</v>
      </c>
      <c r="I197" s="292"/>
      <c r="J197" s="292"/>
    </row>
    <row r="198" spans="1:10" ht="15.75" customHeight="1" x14ac:dyDescent="0.2">
      <c r="A198" s="866"/>
      <c r="B198" s="412">
        <v>53206990000000</v>
      </c>
      <c r="C198" s="413" t="s">
        <v>198</v>
      </c>
      <c r="D198" s="426">
        <v>0</v>
      </c>
      <c r="E198" s="426">
        <v>0</v>
      </c>
      <c r="F198" s="426">
        <v>0</v>
      </c>
      <c r="G198" s="417">
        <f t="shared" si="37"/>
        <v>0</v>
      </c>
      <c r="H198" s="418">
        <f t="shared" si="36"/>
        <v>0</v>
      </c>
      <c r="I198" s="292"/>
      <c r="J198" s="292"/>
    </row>
    <row r="199" spans="1:10" ht="15.75" customHeight="1" x14ac:dyDescent="0.2">
      <c r="A199" s="866"/>
      <c r="B199" s="412">
        <v>53208030000000</v>
      </c>
      <c r="C199" s="413" t="s">
        <v>104</v>
      </c>
      <c r="D199" s="426">
        <v>0</v>
      </c>
      <c r="E199" s="426">
        <v>0</v>
      </c>
      <c r="F199" s="426">
        <v>0</v>
      </c>
      <c r="G199" s="417">
        <f t="shared" si="37"/>
        <v>0</v>
      </c>
      <c r="H199" s="418">
        <f t="shared" si="36"/>
        <v>0</v>
      </c>
      <c r="I199" s="292"/>
      <c r="J199" s="292"/>
    </row>
    <row r="200" spans="1:10" ht="15.75" customHeight="1" x14ac:dyDescent="0.2">
      <c r="A200" s="866"/>
      <c r="B200" s="412">
        <v>53206990000000</v>
      </c>
      <c r="C200" s="413" t="s">
        <v>219</v>
      </c>
      <c r="D200" s="426">
        <v>0</v>
      </c>
      <c r="E200" s="426">
        <v>0</v>
      </c>
      <c r="F200" s="426">
        <v>0</v>
      </c>
      <c r="G200" s="417">
        <f t="shared" si="37"/>
        <v>0</v>
      </c>
      <c r="H200" s="418">
        <f t="shared" si="36"/>
        <v>0</v>
      </c>
      <c r="I200" s="292"/>
      <c r="J200" s="292"/>
    </row>
    <row r="201" spans="1:10" ht="15.75" customHeight="1" x14ac:dyDescent="0.2">
      <c r="A201" s="866"/>
      <c r="B201" s="406"/>
      <c r="C201" s="407" t="s">
        <v>66</v>
      </c>
      <c r="D201" s="408">
        <f>SUM(D202:D202)</f>
        <v>0</v>
      </c>
      <c r="E201" s="409"/>
      <c r="F201" s="409"/>
      <c r="G201" s="408">
        <f>SUM(G202:G202)</f>
        <v>0</v>
      </c>
      <c r="H201" s="411">
        <f>SUM(H202:H202)</f>
        <v>0</v>
      </c>
      <c r="I201" s="292"/>
      <c r="J201" s="292"/>
    </row>
    <row r="202" spans="1:10" ht="15.75" customHeight="1" x14ac:dyDescent="0.2">
      <c r="A202" s="866"/>
      <c r="B202" s="433"/>
      <c r="C202" s="434" t="s">
        <v>220</v>
      </c>
      <c r="D202" s="419">
        <v>0</v>
      </c>
      <c r="E202" s="419">
        <v>0</v>
      </c>
      <c r="F202" s="421">
        <v>0</v>
      </c>
      <c r="G202" s="417">
        <f t="shared" si="37"/>
        <v>0</v>
      </c>
      <c r="H202" s="435">
        <f t="shared" si="36"/>
        <v>0</v>
      </c>
      <c r="I202" s="508" t="s">
        <v>221</v>
      </c>
      <c r="J202" s="441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3.5" thickBot="1" x14ac:dyDescent="0.25">
      <c r="A203" s="867"/>
      <c r="B203" s="436"/>
      <c r="C203" s="437" t="s">
        <v>105</v>
      </c>
      <c r="D203" s="438">
        <f>SUM(D140,D167)</f>
        <v>0</v>
      </c>
      <c r="E203" s="439"/>
      <c r="F203" s="439"/>
      <c r="G203" s="438">
        <f>SUM(G140,G167)</f>
        <v>0</v>
      </c>
      <c r="H203" s="440">
        <f>SUM(H140,H167)</f>
        <v>0</v>
      </c>
      <c r="I203" s="505" t="s">
        <v>222</v>
      </c>
      <c r="J203" s="442">
        <f>+H203-J202</f>
        <v>0</v>
      </c>
    </row>
    <row r="204" spans="1:10" x14ac:dyDescent="0.2">
      <c r="B204" s="285"/>
      <c r="C204" s="286" t="s">
        <v>105</v>
      </c>
      <c r="D204" s="287">
        <f>SUM(D203+D75)</f>
        <v>65991637.765333354</v>
      </c>
      <c r="E204" s="287">
        <f>SUM(E203+E75)</f>
        <v>0</v>
      </c>
      <c r="F204" s="287">
        <f>SUM(F203+F75)</f>
        <v>0</v>
      </c>
      <c r="G204" s="287">
        <f>SUM(G203+G75)</f>
        <v>16995360</v>
      </c>
      <c r="H204" s="287">
        <f>SUM(H203+H75+H139)</f>
        <v>115300218.91733336</v>
      </c>
    </row>
    <row r="206" spans="1:10" x14ac:dyDescent="0.2">
      <c r="I206" s="507" t="s">
        <v>223</v>
      </c>
      <c r="J206" s="309">
        <f>SUM(J202+J74+J138)</f>
        <v>16487920</v>
      </c>
    </row>
    <row r="207" spans="1:10" x14ac:dyDescent="0.2">
      <c r="I207" s="506" t="s">
        <v>224</v>
      </c>
      <c r="J207" s="316">
        <f>SUM(J203+J75+J139)</f>
        <v>98812298.917333364</v>
      </c>
    </row>
  </sheetData>
  <sheetProtection algorithmName="SHA-512" hashValue="i06z4tpluyOxTXtxgQzKrt5GDJAC3tW6iOyROmwsGtLekRTsLbt50hVp8r3Gils/mdrXIU+6p7071HScJHVJMg==" saltValue="wHJld5Fhz/XZDEp3NEZ8xw==" spinCount="100000" sheet="1" objects="1" scenarios="1"/>
  <mergeCells count="15">
    <mergeCell ref="A8:C8"/>
    <mergeCell ref="A10:A11"/>
    <mergeCell ref="C10:C11"/>
    <mergeCell ref="B10:B11"/>
    <mergeCell ref="A140:A203"/>
    <mergeCell ref="A76:A139"/>
    <mergeCell ref="A12:A75"/>
    <mergeCell ref="M17:M18"/>
    <mergeCell ref="N17:N18"/>
    <mergeCell ref="O17:O18"/>
    <mergeCell ref="L17:L18"/>
    <mergeCell ref="D4:E4"/>
    <mergeCell ref="E10:G10"/>
    <mergeCell ref="D10:D11"/>
    <mergeCell ref="H10:H11"/>
  </mergeCells>
  <phoneticPr fontId="33" type="noConversion"/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H101"/>
  <sheetViews>
    <sheetView showGridLines="0" topLeftCell="C31" zoomScale="80" zoomScaleNormal="80" workbookViewId="0">
      <selection activeCell="J42" sqref="J42"/>
    </sheetView>
  </sheetViews>
  <sheetFormatPr baseColWidth="10" defaultColWidth="11.42578125" defaultRowHeight="12.75" x14ac:dyDescent="0.2"/>
  <cols>
    <col min="1" max="1" width="11.5703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1" t="s">
        <v>209</v>
      </c>
      <c r="F1" s="41"/>
      <c r="G1" s="41"/>
      <c r="H1" s="41"/>
      <c r="I1" s="41"/>
      <c r="J1" s="7"/>
      <c r="K1" s="7"/>
      <c r="L1" s="7"/>
      <c r="IG1" s="4"/>
      <c r="IH1" s="4"/>
    </row>
    <row r="2" spans="1:242" s="6" customFormat="1" x14ac:dyDescent="0.2">
      <c r="E2" s="41" t="s">
        <v>201</v>
      </c>
      <c r="F2" s="41"/>
      <c r="G2" s="41"/>
      <c r="H2" s="41"/>
      <c r="I2" s="41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81" t="s">
        <v>0</v>
      </c>
      <c r="E4" s="143" t="str">
        <f>+'B) Reajuste Tarifas y Ocupación'!F5</f>
        <v>(DEPTO./DELEG.)</v>
      </c>
      <c r="F4" s="53"/>
      <c r="G4" s="54"/>
      <c r="H4" s="54"/>
      <c r="I4" s="54"/>
      <c r="J4" s="5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82"/>
      <c r="E5" s="85"/>
      <c r="F5" s="85"/>
      <c r="G5" s="85"/>
      <c r="H5" s="85"/>
      <c r="I5" s="85"/>
      <c r="J5" s="85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82"/>
      <c r="E6" s="85"/>
      <c r="F6" s="85"/>
      <c r="G6" s="85"/>
      <c r="H6" s="85"/>
      <c r="I6" s="85"/>
      <c r="J6" s="85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4"/>
      <c r="K7" s="34"/>
      <c r="L7" s="34"/>
      <c r="M7" s="34"/>
      <c r="N7" s="34"/>
      <c r="O7" s="34"/>
      <c r="P7" s="34"/>
      <c r="Q7" s="34"/>
      <c r="R7" s="34"/>
      <c r="Y7" s="166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8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4"/>
      <c r="K8" s="34"/>
      <c r="L8" s="34"/>
      <c r="M8" s="34"/>
      <c r="N8" s="34"/>
      <c r="O8" s="34"/>
      <c r="P8" s="34"/>
      <c r="Q8" s="34"/>
      <c r="R8" s="34"/>
      <c r="Y8" s="169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170"/>
    </row>
    <row r="9" spans="1:242" ht="15.75" customHeight="1" x14ac:dyDescent="0.2">
      <c r="A9" s="869" t="s">
        <v>158</v>
      </c>
      <c r="B9" s="869"/>
      <c r="C9" s="869"/>
      <c r="D9" s="869"/>
      <c r="E9" s="869"/>
      <c r="F9" s="869"/>
      <c r="G9" s="869"/>
      <c r="H9" s="869"/>
      <c r="I9" s="84"/>
      <c r="J9" s="84"/>
      <c r="K9" s="84"/>
      <c r="L9" s="84"/>
      <c r="M9" s="870" t="s">
        <v>159</v>
      </c>
      <c r="N9" s="870"/>
      <c r="O9" s="870"/>
      <c r="P9" s="870"/>
      <c r="Q9" s="870"/>
      <c r="R9" s="870"/>
      <c r="S9" s="870"/>
      <c r="U9" s="870" t="s">
        <v>160</v>
      </c>
      <c r="V9" s="870"/>
      <c r="W9" s="870"/>
      <c r="X9" s="119"/>
      <c r="Y9" s="171"/>
      <c r="Z9" s="870" t="s">
        <v>215</v>
      </c>
      <c r="AA9" s="870"/>
      <c r="AB9" s="870"/>
      <c r="AC9" s="870"/>
      <c r="AD9" s="870"/>
      <c r="AE9" s="870"/>
      <c r="AF9" s="119"/>
      <c r="AG9" s="870" t="s">
        <v>162</v>
      </c>
      <c r="AH9" s="870"/>
      <c r="AI9" s="870"/>
      <c r="AJ9" s="870"/>
      <c r="AK9" s="870"/>
      <c r="AL9" s="870"/>
      <c r="AM9" s="36"/>
      <c r="AN9" s="870" t="s">
        <v>163</v>
      </c>
      <c r="AO9" s="870"/>
      <c r="AP9" s="870"/>
      <c r="AQ9" s="870"/>
      <c r="AR9" s="870"/>
      <c r="AS9" s="870"/>
      <c r="AT9" s="170"/>
    </row>
    <row r="10" spans="1:242" ht="13.5" customHeight="1" x14ac:dyDescent="0.2">
      <c r="B10" s="23"/>
      <c r="C10" s="82"/>
      <c r="D10" s="82"/>
      <c r="E10" s="85"/>
      <c r="F10" s="85"/>
      <c r="G10" s="85"/>
      <c r="H10" s="85"/>
      <c r="I10" s="85"/>
      <c r="J10" s="85"/>
      <c r="M10" s="870"/>
      <c r="N10" s="870"/>
      <c r="O10" s="870"/>
      <c r="P10" s="870"/>
      <c r="Q10" s="870"/>
      <c r="R10" s="870"/>
      <c r="S10" s="870"/>
      <c r="U10" s="870"/>
      <c r="V10" s="870"/>
      <c r="W10" s="870"/>
      <c r="Y10" s="169"/>
      <c r="Z10" s="870"/>
      <c r="AA10" s="870"/>
      <c r="AB10" s="870"/>
      <c r="AC10" s="870"/>
      <c r="AD10" s="870"/>
      <c r="AE10" s="870"/>
      <c r="AF10" s="36"/>
      <c r="AG10" s="870"/>
      <c r="AH10" s="870"/>
      <c r="AI10" s="870"/>
      <c r="AJ10" s="870"/>
      <c r="AK10" s="870"/>
      <c r="AL10" s="870"/>
      <c r="AM10" s="36"/>
      <c r="AN10" s="870"/>
      <c r="AO10" s="870"/>
      <c r="AP10" s="870"/>
      <c r="AQ10" s="870"/>
      <c r="AR10" s="870"/>
      <c r="AS10" s="870"/>
      <c r="AT10" s="170"/>
    </row>
    <row r="11" spans="1:242" x14ac:dyDescent="0.2">
      <c r="J11" s="57" t="s">
        <v>4</v>
      </c>
      <c r="K11" s="56">
        <v>7.1999999999999995E-2</v>
      </c>
      <c r="Y11" s="169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170"/>
    </row>
    <row r="12" spans="1:242" ht="12.75" customHeight="1" thickBot="1" x14ac:dyDescent="0.25">
      <c r="K12" s="36"/>
      <c r="L12" s="36"/>
      <c r="M12" s="895"/>
      <c r="N12" s="895"/>
      <c r="O12" s="895"/>
      <c r="P12" s="895"/>
      <c r="Q12" s="895"/>
      <c r="R12" s="895"/>
      <c r="Y12" s="169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170"/>
    </row>
    <row r="13" spans="1:242" ht="21.75" customHeight="1" x14ac:dyDescent="0.2">
      <c r="A13" s="884" t="s">
        <v>117</v>
      </c>
      <c r="B13" s="885"/>
      <c r="C13" s="888" t="s">
        <v>73</v>
      </c>
      <c r="D13" s="888" t="s">
        <v>74</v>
      </c>
      <c r="E13" s="890" t="s">
        <v>3</v>
      </c>
      <c r="F13" s="890" t="s">
        <v>81</v>
      </c>
      <c r="G13" s="892" t="s">
        <v>249</v>
      </c>
      <c r="H13" s="893"/>
      <c r="I13" s="893"/>
      <c r="J13" s="894"/>
      <c r="K13" s="877" t="s">
        <v>247</v>
      </c>
      <c r="L13" s="34"/>
      <c r="M13" s="875" t="s">
        <v>69</v>
      </c>
      <c r="N13" s="879"/>
      <c r="O13" s="880" t="s">
        <v>70</v>
      </c>
      <c r="P13" s="881"/>
      <c r="Q13" s="882" t="s">
        <v>71</v>
      </c>
      <c r="R13" s="883"/>
      <c r="S13" s="912" t="s">
        <v>149</v>
      </c>
      <c r="U13" s="871" t="s">
        <v>75</v>
      </c>
      <c r="V13" s="873" t="s">
        <v>76</v>
      </c>
      <c r="W13" s="914" t="s">
        <v>248</v>
      </c>
      <c r="Y13" s="169"/>
      <c r="Z13" s="919" t="s">
        <v>69</v>
      </c>
      <c r="AA13" s="920"/>
      <c r="AB13" s="921" t="s">
        <v>70</v>
      </c>
      <c r="AC13" s="922"/>
      <c r="AD13" s="923" t="s">
        <v>71</v>
      </c>
      <c r="AE13" s="924"/>
      <c r="AF13" s="36"/>
      <c r="AG13" s="875" t="s">
        <v>69</v>
      </c>
      <c r="AH13" s="876"/>
      <c r="AI13" s="880" t="s">
        <v>70</v>
      </c>
      <c r="AJ13" s="881"/>
      <c r="AK13" s="915" t="s">
        <v>71</v>
      </c>
      <c r="AL13" s="916"/>
      <c r="AM13" s="36"/>
      <c r="AN13" s="875" t="s">
        <v>69</v>
      </c>
      <c r="AO13" s="876"/>
      <c r="AP13" s="880" t="s">
        <v>70</v>
      </c>
      <c r="AQ13" s="881"/>
      <c r="AR13" s="915" t="s">
        <v>71</v>
      </c>
      <c r="AS13" s="916"/>
      <c r="AT13" s="170"/>
    </row>
    <row r="14" spans="1:242" s="36" customFormat="1" ht="39" thickBot="1" x14ac:dyDescent="0.25">
      <c r="A14" s="886"/>
      <c r="B14" s="887"/>
      <c r="C14" s="889"/>
      <c r="D14" s="889"/>
      <c r="E14" s="891"/>
      <c r="F14" s="891"/>
      <c r="G14" s="447" t="s">
        <v>225</v>
      </c>
      <c r="H14" s="448" t="s">
        <v>115</v>
      </c>
      <c r="I14" s="447" t="s">
        <v>116</v>
      </c>
      <c r="J14" s="449" t="s">
        <v>250</v>
      </c>
      <c r="K14" s="878"/>
      <c r="L14" s="34"/>
      <c r="M14" s="150" t="s">
        <v>36</v>
      </c>
      <c r="N14" s="152" t="s">
        <v>37</v>
      </c>
      <c r="O14" s="160" t="s">
        <v>36</v>
      </c>
      <c r="P14" s="161" t="s">
        <v>37</v>
      </c>
      <c r="Q14" s="153" t="s">
        <v>36</v>
      </c>
      <c r="R14" s="678" t="s">
        <v>37</v>
      </c>
      <c r="S14" s="913"/>
      <c r="U14" s="872"/>
      <c r="V14" s="874"/>
      <c r="W14" s="914"/>
      <c r="Y14" s="169"/>
      <c r="Z14" s="150" t="s">
        <v>36</v>
      </c>
      <c r="AA14" s="152" t="s">
        <v>37</v>
      </c>
      <c r="AB14" s="160" t="s">
        <v>36</v>
      </c>
      <c r="AC14" s="161" t="s">
        <v>37</v>
      </c>
      <c r="AD14" s="153" t="s">
        <v>36</v>
      </c>
      <c r="AE14" s="151" t="s">
        <v>37</v>
      </c>
      <c r="AG14" s="172" t="s">
        <v>36</v>
      </c>
      <c r="AH14" s="173" t="s">
        <v>37</v>
      </c>
      <c r="AI14" s="174" t="s">
        <v>36</v>
      </c>
      <c r="AJ14" s="175" t="s">
        <v>37</v>
      </c>
      <c r="AK14" s="176" t="s">
        <v>36</v>
      </c>
      <c r="AL14" s="177" t="s">
        <v>37</v>
      </c>
      <c r="AN14" s="917" t="s">
        <v>150</v>
      </c>
      <c r="AO14" s="918"/>
      <c r="AP14" s="927" t="s">
        <v>150</v>
      </c>
      <c r="AQ14" s="928"/>
      <c r="AR14" s="929" t="s">
        <v>151</v>
      </c>
      <c r="AS14" s="930"/>
      <c r="AT14" s="170"/>
    </row>
    <row r="15" spans="1:242" s="36" customFormat="1" ht="12.75" customHeight="1" thickBot="1" x14ac:dyDescent="0.25">
      <c r="A15" s="902" t="s">
        <v>145</v>
      </c>
      <c r="B15" s="904" t="s">
        <v>93</v>
      </c>
      <c r="C15" s="66" t="s">
        <v>130</v>
      </c>
      <c r="D15" s="386" t="s">
        <v>130</v>
      </c>
      <c r="E15" s="443" t="s">
        <v>135</v>
      </c>
      <c r="F15" s="444" t="s">
        <v>118</v>
      </c>
      <c r="G15" s="345">
        <v>21983004</v>
      </c>
      <c r="H15" s="345">
        <v>179386</v>
      </c>
      <c r="I15" s="445">
        <v>121504</v>
      </c>
      <c r="J15" s="446">
        <f>SUM(G15:I15)</f>
        <v>22283894</v>
      </c>
      <c r="K15" s="104">
        <f t="shared" ref="K15:K69" si="0">+J15*(1+$K$11)</f>
        <v>23888334.368000001</v>
      </c>
      <c r="L15" s="34"/>
      <c r="M15" s="712">
        <v>0.6</v>
      </c>
      <c r="N15" s="713">
        <f t="shared" ref="N15:N61" si="1">+$K15*M15</f>
        <v>14333000.6208</v>
      </c>
      <c r="O15" s="712">
        <v>0.4</v>
      </c>
      <c r="P15" s="714">
        <f t="shared" ref="P15:P61" si="2">+$K15*O15</f>
        <v>9555333.747200001</v>
      </c>
      <c r="Q15" s="715">
        <v>0</v>
      </c>
      <c r="R15" s="713">
        <f t="shared" ref="R15:R61" si="3">+$K15*Q15</f>
        <v>0</v>
      </c>
      <c r="S15" s="716">
        <f>+M15+O15+Q15</f>
        <v>1</v>
      </c>
      <c r="T15" s="709" t="s">
        <v>348</v>
      </c>
      <c r="U15" s="123"/>
      <c r="V15" s="120" t="s">
        <v>11</v>
      </c>
      <c r="W15" s="126">
        <f>SUM(W16,W20)</f>
        <v>10874200</v>
      </c>
      <c r="Y15" s="169"/>
      <c r="Z15" s="162">
        <f t="shared" ref="Z15:AE15" si="4">+M62</f>
        <v>0.58209710649407664</v>
      </c>
      <c r="AA15" s="164">
        <f t="shared" si="4"/>
        <v>40770386.544</v>
      </c>
      <c r="AB15" s="162">
        <f t="shared" si="4"/>
        <v>0.41790289350592347</v>
      </c>
      <c r="AC15" s="165">
        <f t="shared" si="4"/>
        <v>29270137.776000001</v>
      </c>
      <c r="AD15" s="163">
        <f t="shared" si="4"/>
        <v>0</v>
      </c>
      <c r="AE15" s="165">
        <f t="shared" si="4"/>
        <v>0</v>
      </c>
      <c r="AG15" s="184">
        <f>+Z15</f>
        <v>0.58209710649407664</v>
      </c>
      <c r="AH15" s="178">
        <f>+AG15*W80</f>
        <v>8000459.0510758879</v>
      </c>
      <c r="AI15" s="185">
        <f>+AB15</f>
        <v>0.41790289350592347</v>
      </c>
      <c r="AJ15" s="178">
        <f>+AI15*W80</f>
        <v>5743740.9489241131</v>
      </c>
      <c r="AK15" s="186">
        <f>+AD15</f>
        <v>0</v>
      </c>
      <c r="AL15" s="179">
        <f>+AK15*W80</f>
        <v>0</v>
      </c>
      <c r="AN15" s="925">
        <f>+AH15+AA15</f>
        <v>48770845.59507589</v>
      </c>
      <c r="AO15" s="926"/>
      <c r="AP15" s="925">
        <f>+AJ15+AC15+K70</f>
        <v>35013878.724924117</v>
      </c>
      <c r="AQ15" s="926"/>
      <c r="AR15" s="925">
        <f>+AL15+AE15</f>
        <v>0</v>
      </c>
      <c r="AS15" s="931"/>
      <c r="AT15" s="170"/>
    </row>
    <row r="16" spans="1:242" s="36" customFormat="1" x14ac:dyDescent="0.2">
      <c r="A16" s="902"/>
      <c r="B16" s="905"/>
      <c r="C16" s="64"/>
      <c r="D16" s="100"/>
      <c r="E16" s="101" t="s">
        <v>278</v>
      </c>
      <c r="F16" s="102" t="s">
        <v>118</v>
      </c>
      <c r="G16" s="90">
        <v>7565989</v>
      </c>
      <c r="H16" s="90">
        <v>312512</v>
      </c>
      <c r="I16" s="107">
        <v>123822</v>
      </c>
      <c r="J16" s="110">
        <f t="shared" ref="J16:J69" si="5">SUM(G16:I16)</f>
        <v>8002323</v>
      </c>
      <c r="K16" s="105">
        <f t="shared" si="0"/>
        <v>8578490.256000001</v>
      </c>
      <c r="L16" s="34"/>
      <c r="M16" s="144">
        <v>0.7</v>
      </c>
      <c r="N16" s="147">
        <f t="shared" si="1"/>
        <v>6004943.1792000001</v>
      </c>
      <c r="O16" s="144">
        <v>0.3</v>
      </c>
      <c r="P16" s="145">
        <f t="shared" si="2"/>
        <v>2573547.0768000004</v>
      </c>
      <c r="Q16" s="155">
        <v>0</v>
      </c>
      <c r="R16" s="679">
        <f t="shared" si="3"/>
        <v>0</v>
      </c>
      <c r="S16" s="682">
        <f t="shared" ref="S16:S61" si="6">+M16+O16+Q16</f>
        <v>1</v>
      </c>
      <c r="U16" s="124"/>
      <c r="V16" s="121" t="s">
        <v>12</v>
      </c>
      <c r="W16" s="127">
        <f>SUM(W17:W19)</f>
        <v>0</v>
      </c>
      <c r="Y16" s="169"/>
      <c r="AT16" s="170"/>
    </row>
    <row r="17" spans="1:46" s="36" customFormat="1" ht="12.75" customHeight="1" x14ac:dyDescent="0.2">
      <c r="A17" s="902"/>
      <c r="B17" s="905"/>
      <c r="C17" s="64"/>
      <c r="D17" s="100"/>
      <c r="E17" s="101"/>
      <c r="F17" s="102" t="s">
        <v>118</v>
      </c>
      <c r="G17" s="90">
        <v>0</v>
      </c>
      <c r="H17" s="90">
        <v>0</v>
      </c>
      <c r="I17" s="107">
        <v>0</v>
      </c>
      <c r="J17" s="110">
        <f t="shared" si="5"/>
        <v>0</v>
      </c>
      <c r="K17" s="105">
        <f t="shared" si="0"/>
        <v>0</v>
      </c>
      <c r="L17" s="34"/>
      <c r="M17" s="144">
        <v>0</v>
      </c>
      <c r="N17" s="147">
        <f t="shared" si="1"/>
        <v>0</v>
      </c>
      <c r="O17" s="144">
        <v>0</v>
      </c>
      <c r="P17" s="145">
        <f t="shared" si="2"/>
        <v>0</v>
      </c>
      <c r="Q17" s="155">
        <v>0</v>
      </c>
      <c r="R17" s="679">
        <f t="shared" si="3"/>
        <v>0</v>
      </c>
      <c r="S17" s="682">
        <f t="shared" si="6"/>
        <v>0</v>
      </c>
      <c r="U17" s="125">
        <v>53103050000000</v>
      </c>
      <c r="V17" s="122" t="s">
        <v>13</v>
      </c>
      <c r="W17" s="128">
        <v>0</v>
      </c>
      <c r="Y17" s="169"/>
      <c r="AT17" s="170"/>
    </row>
    <row r="18" spans="1:46" s="36" customFormat="1" ht="13.5" customHeight="1" thickBot="1" x14ac:dyDescent="0.25">
      <c r="A18" s="902"/>
      <c r="B18" s="905"/>
      <c r="C18" s="64"/>
      <c r="D18" s="100"/>
      <c r="E18" s="101"/>
      <c r="F18" s="102" t="s">
        <v>118</v>
      </c>
      <c r="G18" s="90">
        <v>0</v>
      </c>
      <c r="H18" s="90">
        <v>0</v>
      </c>
      <c r="I18" s="107">
        <v>0</v>
      </c>
      <c r="J18" s="110">
        <f t="shared" si="5"/>
        <v>0</v>
      </c>
      <c r="K18" s="105">
        <f t="shared" si="0"/>
        <v>0</v>
      </c>
      <c r="L18" s="34"/>
      <c r="M18" s="144">
        <v>0</v>
      </c>
      <c r="N18" s="147">
        <f t="shared" si="1"/>
        <v>0</v>
      </c>
      <c r="O18" s="144">
        <v>0</v>
      </c>
      <c r="P18" s="145">
        <f t="shared" si="2"/>
        <v>0</v>
      </c>
      <c r="Q18" s="155">
        <v>0</v>
      </c>
      <c r="R18" s="679">
        <f t="shared" si="3"/>
        <v>0</v>
      </c>
      <c r="S18" s="682">
        <f t="shared" si="6"/>
        <v>0</v>
      </c>
      <c r="U18" s="125">
        <v>53103060000000</v>
      </c>
      <c r="V18" s="122" t="s">
        <v>14</v>
      </c>
      <c r="W18" s="128">
        <v>0</v>
      </c>
      <c r="Y18" s="180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2"/>
    </row>
    <row r="19" spans="1:46" s="36" customFormat="1" x14ac:dyDescent="0.2">
      <c r="A19" s="902"/>
      <c r="B19" s="905"/>
      <c r="C19" s="64"/>
      <c r="D19" s="100"/>
      <c r="E19" s="101"/>
      <c r="F19" s="102" t="s">
        <v>118</v>
      </c>
      <c r="G19" s="90">
        <v>0</v>
      </c>
      <c r="H19" s="90">
        <v>0</v>
      </c>
      <c r="I19" s="107">
        <v>0</v>
      </c>
      <c r="J19" s="110">
        <f t="shared" si="5"/>
        <v>0</v>
      </c>
      <c r="K19" s="105">
        <f t="shared" si="0"/>
        <v>0</v>
      </c>
      <c r="L19" s="34"/>
      <c r="M19" s="144">
        <v>0</v>
      </c>
      <c r="N19" s="147">
        <f t="shared" si="1"/>
        <v>0</v>
      </c>
      <c r="O19" s="144">
        <v>0</v>
      </c>
      <c r="P19" s="145">
        <f t="shared" si="2"/>
        <v>0</v>
      </c>
      <c r="Q19" s="155">
        <v>0</v>
      </c>
      <c r="R19" s="679">
        <f t="shared" si="3"/>
        <v>0</v>
      </c>
      <c r="S19" s="682">
        <f t="shared" si="6"/>
        <v>0</v>
      </c>
      <c r="U19" s="125">
        <v>53103080010000</v>
      </c>
      <c r="V19" s="122" t="s">
        <v>15</v>
      </c>
      <c r="W19" s="128">
        <v>0</v>
      </c>
      <c r="AC19" s="709" t="s">
        <v>353</v>
      </c>
    </row>
    <row r="20" spans="1:46" s="36" customFormat="1" x14ac:dyDescent="0.2">
      <c r="A20" s="902"/>
      <c r="B20" s="905"/>
      <c r="C20" s="64"/>
      <c r="D20" s="100"/>
      <c r="E20" s="101"/>
      <c r="F20" s="102" t="s">
        <v>118</v>
      </c>
      <c r="G20" s="90">
        <v>0</v>
      </c>
      <c r="H20" s="90">
        <v>0</v>
      </c>
      <c r="I20" s="107">
        <v>0</v>
      </c>
      <c r="J20" s="110">
        <f t="shared" si="5"/>
        <v>0</v>
      </c>
      <c r="K20" s="105">
        <f t="shared" si="0"/>
        <v>0</v>
      </c>
      <c r="L20" s="34"/>
      <c r="M20" s="144">
        <v>0</v>
      </c>
      <c r="N20" s="147">
        <f t="shared" si="1"/>
        <v>0</v>
      </c>
      <c r="O20" s="144">
        <v>0</v>
      </c>
      <c r="P20" s="145">
        <f t="shared" si="2"/>
        <v>0</v>
      </c>
      <c r="Q20" s="155">
        <v>0</v>
      </c>
      <c r="R20" s="679">
        <f t="shared" si="3"/>
        <v>0</v>
      </c>
      <c r="S20" s="682">
        <f t="shared" si="6"/>
        <v>0</v>
      </c>
      <c r="U20" s="124"/>
      <c r="V20" s="121" t="s">
        <v>16</v>
      </c>
      <c r="W20" s="183">
        <f>SUM(W21:W39)</f>
        <v>10874200</v>
      </c>
    </row>
    <row r="21" spans="1:46" s="36" customFormat="1" x14ac:dyDescent="0.2">
      <c r="A21" s="902"/>
      <c r="B21" s="905"/>
      <c r="C21" s="64"/>
      <c r="D21" s="100"/>
      <c r="E21" s="101"/>
      <c r="F21" s="102" t="s">
        <v>118</v>
      </c>
      <c r="G21" s="90">
        <v>0</v>
      </c>
      <c r="H21" s="90">
        <v>0</v>
      </c>
      <c r="I21" s="107">
        <v>0</v>
      </c>
      <c r="J21" s="110">
        <f t="shared" si="5"/>
        <v>0</v>
      </c>
      <c r="K21" s="105">
        <f t="shared" si="0"/>
        <v>0</v>
      </c>
      <c r="L21" s="34"/>
      <c r="M21" s="144">
        <v>0</v>
      </c>
      <c r="N21" s="147">
        <f t="shared" si="1"/>
        <v>0</v>
      </c>
      <c r="O21" s="144">
        <v>0</v>
      </c>
      <c r="P21" s="145">
        <f t="shared" si="2"/>
        <v>0</v>
      </c>
      <c r="Q21" s="155">
        <v>0</v>
      </c>
      <c r="R21" s="679">
        <f t="shared" si="3"/>
        <v>0</v>
      </c>
      <c r="S21" s="682">
        <f t="shared" si="6"/>
        <v>0</v>
      </c>
      <c r="U21" s="125">
        <v>53201010100000</v>
      </c>
      <c r="V21" s="122" t="s">
        <v>17</v>
      </c>
      <c r="W21" s="128">
        <f>2050*4*11*21</f>
        <v>1894200</v>
      </c>
    </row>
    <row r="22" spans="1:46" s="36" customFormat="1" x14ac:dyDescent="0.2">
      <c r="A22" s="902"/>
      <c r="B22" s="905"/>
      <c r="C22" s="64"/>
      <c r="D22" s="100"/>
      <c r="E22" s="101"/>
      <c r="F22" s="102" t="s">
        <v>118</v>
      </c>
      <c r="G22" s="90">
        <v>0</v>
      </c>
      <c r="H22" s="90">
        <v>0</v>
      </c>
      <c r="I22" s="107">
        <v>0</v>
      </c>
      <c r="J22" s="110">
        <f t="shared" si="5"/>
        <v>0</v>
      </c>
      <c r="K22" s="105">
        <f t="shared" si="0"/>
        <v>0</v>
      </c>
      <c r="L22" s="34"/>
      <c r="M22" s="144">
        <v>0</v>
      </c>
      <c r="N22" s="147">
        <f t="shared" si="1"/>
        <v>0</v>
      </c>
      <c r="O22" s="144">
        <v>0</v>
      </c>
      <c r="P22" s="145">
        <f t="shared" si="2"/>
        <v>0</v>
      </c>
      <c r="Q22" s="155">
        <v>0</v>
      </c>
      <c r="R22" s="679">
        <f t="shared" si="3"/>
        <v>0</v>
      </c>
      <c r="S22" s="682">
        <f t="shared" si="6"/>
        <v>0</v>
      </c>
      <c r="U22" s="125">
        <v>53202010100000</v>
      </c>
      <c r="V22" s="122" t="s">
        <v>18</v>
      </c>
      <c r="W22" s="128">
        <v>0</v>
      </c>
    </row>
    <row r="23" spans="1:46" s="36" customFormat="1" x14ac:dyDescent="0.2">
      <c r="A23" s="902"/>
      <c r="B23" s="905"/>
      <c r="C23" s="64"/>
      <c r="D23" s="100"/>
      <c r="E23" s="101"/>
      <c r="F23" s="102" t="s">
        <v>118</v>
      </c>
      <c r="G23" s="90">
        <v>0</v>
      </c>
      <c r="H23" s="90">
        <v>0</v>
      </c>
      <c r="I23" s="107">
        <v>0</v>
      </c>
      <c r="J23" s="110">
        <f t="shared" si="5"/>
        <v>0</v>
      </c>
      <c r="K23" s="105">
        <f t="shared" si="0"/>
        <v>0</v>
      </c>
      <c r="L23" s="34"/>
      <c r="M23" s="144">
        <v>0</v>
      </c>
      <c r="N23" s="147">
        <f t="shared" si="1"/>
        <v>0</v>
      </c>
      <c r="O23" s="144">
        <v>0</v>
      </c>
      <c r="P23" s="145">
        <f t="shared" si="2"/>
        <v>0</v>
      </c>
      <c r="Q23" s="155">
        <v>0</v>
      </c>
      <c r="R23" s="679">
        <f t="shared" si="3"/>
        <v>0</v>
      </c>
      <c r="S23" s="682">
        <f t="shared" si="6"/>
        <v>0</v>
      </c>
      <c r="U23" s="125">
        <v>53203010100000</v>
      </c>
      <c r="V23" s="122" t="s">
        <v>19</v>
      </c>
      <c r="W23" s="128">
        <f>100000*2*12</f>
        <v>2400000</v>
      </c>
    </row>
    <row r="24" spans="1:46" s="36" customFormat="1" ht="13.5" thickBot="1" x14ac:dyDescent="0.25">
      <c r="A24" s="902"/>
      <c r="B24" s="906"/>
      <c r="C24" s="117"/>
      <c r="D24" s="91"/>
      <c r="E24" s="92"/>
      <c r="F24" s="93" t="s">
        <v>118</v>
      </c>
      <c r="G24" s="94">
        <v>0</v>
      </c>
      <c r="H24" s="94">
        <v>0</v>
      </c>
      <c r="I24" s="108">
        <v>0</v>
      </c>
      <c r="J24" s="111">
        <f t="shared" si="5"/>
        <v>0</v>
      </c>
      <c r="K24" s="103">
        <f t="shared" si="0"/>
        <v>0</v>
      </c>
      <c r="L24" s="34"/>
      <c r="M24" s="149">
        <v>0</v>
      </c>
      <c r="N24" s="148">
        <f t="shared" si="1"/>
        <v>0</v>
      </c>
      <c r="O24" s="149">
        <v>0</v>
      </c>
      <c r="P24" s="158">
        <f t="shared" si="2"/>
        <v>0</v>
      </c>
      <c r="Q24" s="156">
        <v>0</v>
      </c>
      <c r="R24" s="680">
        <f t="shared" si="3"/>
        <v>0</v>
      </c>
      <c r="S24" s="683">
        <f t="shared" si="6"/>
        <v>0</v>
      </c>
      <c r="U24" s="125">
        <v>53203030000000</v>
      </c>
      <c r="V24" s="122" t="s">
        <v>20</v>
      </c>
      <c r="W24" s="128">
        <v>0</v>
      </c>
    </row>
    <row r="25" spans="1:46" s="36" customFormat="1" ht="12.75" customHeight="1" x14ac:dyDescent="0.2">
      <c r="A25" s="902"/>
      <c r="B25" s="907" t="s">
        <v>92</v>
      </c>
      <c r="C25" s="116" t="s">
        <v>130</v>
      </c>
      <c r="D25" s="95" t="s">
        <v>130</v>
      </c>
      <c r="E25" s="96" t="s">
        <v>141</v>
      </c>
      <c r="F25" s="97" t="s">
        <v>118</v>
      </c>
      <c r="G25" s="89">
        <v>19398523</v>
      </c>
      <c r="H25" s="89">
        <v>179386</v>
      </c>
      <c r="I25" s="106">
        <v>121504</v>
      </c>
      <c r="J25" s="109">
        <f t="shared" si="5"/>
        <v>19699413</v>
      </c>
      <c r="K25" s="104">
        <f t="shared" si="0"/>
        <v>21117770.736000001</v>
      </c>
      <c r="L25" s="34"/>
      <c r="M25" s="132">
        <v>0.5</v>
      </c>
      <c r="N25" s="146">
        <f t="shared" si="1"/>
        <v>10558885.368000001</v>
      </c>
      <c r="O25" s="132">
        <v>0.5</v>
      </c>
      <c r="P25" s="157">
        <f t="shared" si="2"/>
        <v>10558885.368000001</v>
      </c>
      <c r="Q25" s="154">
        <v>0</v>
      </c>
      <c r="R25" s="146">
        <f t="shared" si="3"/>
        <v>0</v>
      </c>
      <c r="S25" s="684">
        <f t="shared" si="6"/>
        <v>1</v>
      </c>
      <c r="U25" s="125">
        <v>53204030000000</v>
      </c>
      <c r="V25" s="122" t="s">
        <v>21</v>
      </c>
      <c r="W25" s="128">
        <v>0</v>
      </c>
      <c r="AG25" s="28"/>
    </row>
    <row r="26" spans="1:46" s="36" customFormat="1" ht="12.75" customHeight="1" x14ac:dyDescent="0.2">
      <c r="A26" s="902"/>
      <c r="B26" s="905"/>
      <c r="C26" s="64"/>
      <c r="D26" s="100"/>
      <c r="E26" s="101"/>
      <c r="F26" s="102" t="s">
        <v>118</v>
      </c>
      <c r="G26" s="90">
        <v>0</v>
      </c>
      <c r="H26" s="90">
        <v>0</v>
      </c>
      <c r="I26" s="107">
        <v>0</v>
      </c>
      <c r="J26" s="110">
        <f t="shared" si="5"/>
        <v>0</v>
      </c>
      <c r="K26" s="105">
        <f t="shared" si="0"/>
        <v>0</v>
      </c>
      <c r="L26" s="34"/>
      <c r="M26" s="144">
        <v>0</v>
      </c>
      <c r="N26" s="147">
        <f t="shared" si="1"/>
        <v>0</v>
      </c>
      <c r="O26" s="144">
        <v>0</v>
      </c>
      <c r="P26" s="145">
        <f t="shared" si="2"/>
        <v>0</v>
      </c>
      <c r="Q26" s="155">
        <v>0</v>
      </c>
      <c r="R26" s="679">
        <f t="shared" si="3"/>
        <v>0</v>
      </c>
      <c r="S26" s="682">
        <f t="shared" si="6"/>
        <v>0</v>
      </c>
      <c r="U26" s="125">
        <v>53204100100001</v>
      </c>
      <c r="V26" s="122" t="s">
        <v>22</v>
      </c>
      <c r="W26" s="128">
        <v>0</v>
      </c>
      <c r="AG26" s="28"/>
    </row>
    <row r="27" spans="1:46" s="36" customFormat="1" ht="12.75" customHeight="1" x14ac:dyDescent="0.2">
      <c r="A27" s="902"/>
      <c r="B27" s="905"/>
      <c r="C27" s="64"/>
      <c r="D27" s="100"/>
      <c r="E27" s="101"/>
      <c r="F27" s="102" t="s">
        <v>118</v>
      </c>
      <c r="G27" s="90">
        <v>0</v>
      </c>
      <c r="H27" s="90">
        <v>0</v>
      </c>
      <c r="I27" s="107">
        <v>0</v>
      </c>
      <c r="J27" s="110">
        <f t="shared" si="5"/>
        <v>0</v>
      </c>
      <c r="K27" s="105">
        <f t="shared" si="0"/>
        <v>0</v>
      </c>
      <c r="L27" s="34"/>
      <c r="M27" s="144">
        <v>0</v>
      </c>
      <c r="N27" s="147">
        <f t="shared" si="1"/>
        <v>0</v>
      </c>
      <c r="O27" s="144">
        <v>0</v>
      </c>
      <c r="P27" s="145">
        <f t="shared" si="2"/>
        <v>0</v>
      </c>
      <c r="Q27" s="155">
        <v>0</v>
      </c>
      <c r="R27" s="679">
        <f t="shared" si="3"/>
        <v>0</v>
      </c>
      <c r="S27" s="682">
        <f t="shared" si="6"/>
        <v>0</v>
      </c>
      <c r="U27" s="125">
        <v>53204130100000</v>
      </c>
      <c r="V27" s="122" t="s">
        <v>23</v>
      </c>
      <c r="W27" s="128">
        <v>0</v>
      </c>
      <c r="AG27" s="28"/>
    </row>
    <row r="28" spans="1:46" s="36" customFormat="1" ht="12.75" customHeight="1" x14ac:dyDescent="0.2">
      <c r="A28" s="902"/>
      <c r="B28" s="905"/>
      <c r="C28" s="64"/>
      <c r="D28" s="100"/>
      <c r="E28" s="101"/>
      <c r="F28" s="102" t="s">
        <v>118</v>
      </c>
      <c r="G28" s="90">
        <v>0</v>
      </c>
      <c r="H28" s="90">
        <v>0</v>
      </c>
      <c r="I28" s="107">
        <v>0</v>
      </c>
      <c r="J28" s="110">
        <f t="shared" si="5"/>
        <v>0</v>
      </c>
      <c r="K28" s="105">
        <f t="shared" si="0"/>
        <v>0</v>
      </c>
      <c r="L28" s="34"/>
      <c r="M28" s="144">
        <v>0</v>
      </c>
      <c r="N28" s="147">
        <f t="shared" si="1"/>
        <v>0</v>
      </c>
      <c r="O28" s="144">
        <v>0</v>
      </c>
      <c r="P28" s="145">
        <f t="shared" si="2"/>
        <v>0</v>
      </c>
      <c r="Q28" s="155">
        <v>0</v>
      </c>
      <c r="R28" s="679">
        <f t="shared" si="3"/>
        <v>0</v>
      </c>
      <c r="S28" s="682">
        <f t="shared" si="6"/>
        <v>0</v>
      </c>
      <c r="U28" s="125">
        <v>53205010100000</v>
      </c>
      <c r="V28" s="122" t="s">
        <v>24</v>
      </c>
      <c r="W28" s="128">
        <v>200000</v>
      </c>
      <c r="AG28" s="28"/>
    </row>
    <row r="29" spans="1:46" s="36" customFormat="1" ht="12.75" customHeight="1" x14ac:dyDescent="0.2">
      <c r="A29" s="902"/>
      <c r="B29" s="905"/>
      <c r="C29" s="64"/>
      <c r="D29" s="100"/>
      <c r="E29" s="101"/>
      <c r="F29" s="102" t="s">
        <v>118</v>
      </c>
      <c r="G29" s="90">
        <v>0</v>
      </c>
      <c r="H29" s="90">
        <v>0</v>
      </c>
      <c r="I29" s="107">
        <v>0</v>
      </c>
      <c r="J29" s="110">
        <f t="shared" si="5"/>
        <v>0</v>
      </c>
      <c r="K29" s="105">
        <f t="shared" si="0"/>
        <v>0</v>
      </c>
      <c r="L29" s="34"/>
      <c r="M29" s="144">
        <v>0</v>
      </c>
      <c r="N29" s="147">
        <f t="shared" si="1"/>
        <v>0</v>
      </c>
      <c r="O29" s="144">
        <v>0</v>
      </c>
      <c r="P29" s="145">
        <f t="shared" si="2"/>
        <v>0</v>
      </c>
      <c r="Q29" s="155">
        <v>0</v>
      </c>
      <c r="R29" s="679">
        <f t="shared" si="3"/>
        <v>0</v>
      </c>
      <c r="S29" s="682">
        <f t="shared" si="6"/>
        <v>0</v>
      </c>
      <c r="U29" s="125">
        <v>53205020100000</v>
      </c>
      <c r="V29" s="122" t="s">
        <v>25</v>
      </c>
      <c r="W29" s="128">
        <v>100000</v>
      </c>
      <c r="AG29" s="28"/>
    </row>
    <row r="30" spans="1:46" s="36" customFormat="1" ht="12.75" customHeight="1" x14ac:dyDescent="0.2">
      <c r="A30" s="902"/>
      <c r="B30" s="905"/>
      <c r="C30" s="64"/>
      <c r="D30" s="100"/>
      <c r="E30" s="101"/>
      <c r="F30" s="102" t="s">
        <v>118</v>
      </c>
      <c r="G30" s="90">
        <v>0</v>
      </c>
      <c r="H30" s="90">
        <v>0</v>
      </c>
      <c r="I30" s="107">
        <v>0</v>
      </c>
      <c r="J30" s="110">
        <f t="shared" si="5"/>
        <v>0</v>
      </c>
      <c r="K30" s="105">
        <f t="shared" si="0"/>
        <v>0</v>
      </c>
      <c r="L30" s="34"/>
      <c r="M30" s="144">
        <v>0</v>
      </c>
      <c r="N30" s="147">
        <f t="shared" si="1"/>
        <v>0</v>
      </c>
      <c r="O30" s="144">
        <v>0</v>
      </c>
      <c r="P30" s="145">
        <f t="shared" si="2"/>
        <v>0</v>
      </c>
      <c r="Q30" s="155">
        <v>0</v>
      </c>
      <c r="R30" s="679">
        <f t="shared" si="3"/>
        <v>0</v>
      </c>
      <c r="S30" s="682">
        <f t="shared" si="6"/>
        <v>0</v>
      </c>
      <c r="U30" s="125">
        <v>53205030100000</v>
      </c>
      <c r="V30" s="122" t="s">
        <v>26</v>
      </c>
      <c r="W30" s="128">
        <v>0</v>
      </c>
      <c r="AG30" s="28"/>
    </row>
    <row r="31" spans="1:46" s="36" customFormat="1" ht="12.75" customHeight="1" x14ac:dyDescent="0.2">
      <c r="A31" s="902"/>
      <c r="B31" s="905"/>
      <c r="C31" s="64"/>
      <c r="D31" s="100"/>
      <c r="E31" s="101"/>
      <c r="F31" s="102" t="s">
        <v>118</v>
      </c>
      <c r="G31" s="90">
        <v>0</v>
      </c>
      <c r="H31" s="90">
        <v>0</v>
      </c>
      <c r="I31" s="107">
        <v>0</v>
      </c>
      <c r="J31" s="110">
        <f t="shared" si="5"/>
        <v>0</v>
      </c>
      <c r="K31" s="105">
        <f t="shared" si="0"/>
        <v>0</v>
      </c>
      <c r="L31" s="34"/>
      <c r="M31" s="144">
        <v>0</v>
      </c>
      <c r="N31" s="147">
        <f t="shared" si="1"/>
        <v>0</v>
      </c>
      <c r="O31" s="144">
        <v>0</v>
      </c>
      <c r="P31" s="145">
        <f t="shared" si="2"/>
        <v>0</v>
      </c>
      <c r="Q31" s="155">
        <v>0</v>
      </c>
      <c r="R31" s="679">
        <f t="shared" si="3"/>
        <v>0</v>
      </c>
      <c r="S31" s="682">
        <f t="shared" si="6"/>
        <v>0</v>
      </c>
      <c r="U31" s="125">
        <v>53205050100000</v>
      </c>
      <c r="V31" s="122" t="s">
        <v>27</v>
      </c>
      <c r="W31" s="128">
        <v>0</v>
      </c>
      <c r="AG31" s="28"/>
    </row>
    <row r="32" spans="1:46" s="36" customFormat="1" ht="12.75" customHeight="1" x14ac:dyDescent="0.2">
      <c r="A32" s="902"/>
      <c r="B32" s="905"/>
      <c r="C32" s="64"/>
      <c r="D32" s="100"/>
      <c r="E32" s="101"/>
      <c r="F32" s="102" t="s">
        <v>118</v>
      </c>
      <c r="G32" s="90">
        <v>0</v>
      </c>
      <c r="H32" s="90">
        <v>0</v>
      </c>
      <c r="I32" s="107">
        <v>0</v>
      </c>
      <c r="J32" s="110">
        <f t="shared" si="5"/>
        <v>0</v>
      </c>
      <c r="K32" s="105">
        <f t="shared" si="0"/>
        <v>0</v>
      </c>
      <c r="L32" s="34"/>
      <c r="M32" s="144">
        <v>0</v>
      </c>
      <c r="N32" s="147">
        <f t="shared" si="1"/>
        <v>0</v>
      </c>
      <c r="O32" s="144">
        <v>0</v>
      </c>
      <c r="P32" s="145">
        <f t="shared" si="2"/>
        <v>0</v>
      </c>
      <c r="Q32" s="155">
        <v>0</v>
      </c>
      <c r="R32" s="679">
        <f t="shared" si="3"/>
        <v>0</v>
      </c>
      <c r="S32" s="682">
        <f t="shared" si="6"/>
        <v>0</v>
      </c>
      <c r="U32" s="125">
        <v>53205060100000</v>
      </c>
      <c r="V32" s="122" t="s">
        <v>28</v>
      </c>
      <c r="W32" s="128">
        <f>90000*12</f>
        <v>1080000</v>
      </c>
      <c r="AG32" s="28"/>
    </row>
    <row r="33" spans="1:33" s="36" customFormat="1" ht="12.75" customHeight="1" x14ac:dyDescent="0.2">
      <c r="A33" s="902"/>
      <c r="B33" s="905"/>
      <c r="C33" s="64"/>
      <c r="D33" s="100"/>
      <c r="E33" s="101"/>
      <c r="F33" s="102" t="s">
        <v>118</v>
      </c>
      <c r="G33" s="90">
        <v>0</v>
      </c>
      <c r="H33" s="90">
        <v>0</v>
      </c>
      <c r="I33" s="107">
        <v>0</v>
      </c>
      <c r="J33" s="110">
        <f t="shared" si="5"/>
        <v>0</v>
      </c>
      <c r="K33" s="105">
        <f t="shared" si="0"/>
        <v>0</v>
      </c>
      <c r="L33" s="34"/>
      <c r="M33" s="144">
        <v>0</v>
      </c>
      <c r="N33" s="147">
        <f t="shared" si="1"/>
        <v>0</v>
      </c>
      <c r="O33" s="144">
        <v>0</v>
      </c>
      <c r="P33" s="145">
        <f t="shared" si="2"/>
        <v>0</v>
      </c>
      <c r="Q33" s="155">
        <v>0</v>
      </c>
      <c r="R33" s="679">
        <f t="shared" si="3"/>
        <v>0</v>
      </c>
      <c r="S33" s="682">
        <f t="shared" si="6"/>
        <v>0</v>
      </c>
      <c r="U33" s="125">
        <v>53205070100000</v>
      </c>
      <c r="V33" s="122" t="s">
        <v>29</v>
      </c>
      <c r="W33" s="128">
        <v>0</v>
      </c>
      <c r="AG33" s="28"/>
    </row>
    <row r="34" spans="1:33" s="36" customFormat="1" ht="12.75" customHeight="1" thickBot="1" x14ac:dyDescent="0.25">
      <c r="A34" s="902"/>
      <c r="B34" s="906"/>
      <c r="C34" s="117"/>
      <c r="D34" s="91"/>
      <c r="E34" s="92"/>
      <c r="F34" s="93" t="s">
        <v>118</v>
      </c>
      <c r="G34" s="94">
        <v>0</v>
      </c>
      <c r="H34" s="94">
        <v>0</v>
      </c>
      <c r="I34" s="108">
        <v>0</v>
      </c>
      <c r="J34" s="111">
        <f t="shared" si="5"/>
        <v>0</v>
      </c>
      <c r="K34" s="103">
        <f t="shared" si="0"/>
        <v>0</v>
      </c>
      <c r="L34" s="34"/>
      <c r="M34" s="149">
        <v>0</v>
      </c>
      <c r="N34" s="148">
        <f t="shared" si="1"/>
        <v>0</v>
      </c>
      <c r="O34" s="149">
        <v>0</v>
      </c>
      <c r="P34" s="158">
        <f t="shared" si="2"/>
        <v>0</v>
      </c>
      <c r="Q34" s="156">
        <v>0</v>
      </c>
      <c r="R34" s="680">
        <f t="shared" si="3"/>
        <v>0</v>
      </c>
      <c r="S34" s="683">
        <f t="shared" si="6"/>
        <v>0</v>
      </c>
      <c r="U34" s="125">
        <v>53208010100000</v>
      </c>
      <c r="V34" s="122" t="s">
        <v>30</v>
      </c>
      <c r="W34" s="128">
        <v>0</v>
      </c>
      <c r="AG34" s="28"/>
    </row>
    <row r="35" spans="1:33" s="36" customFormat="1" ht="12.75" customHeight="1" x14ac:dyDescent="0.2">
      <c r="A35" s="902"/>
      <c r="B35" s="907" t="s">
        <v>91</v>
      </c>
      <c r="C35" s="116" t="s">
        <v>130</v>
      </c>
      <c r="D35" s="95" t="s">
        <v>130</v>
      </c>
      <c r="E35" s="96" t="s">
        <v>140</v>
      </c>
      <c r="F35" s="97" t="s">
        <v>118</v>
      </c>
      <c r="G35" s="89">
        <v>14065682</v>
      </c>
      <c r="H35" s="89">
        <v>216394</v>
      </c>
      <c r="I35" s="106">
        <v>121504</v>
      </c>
      <c r="J35" s="109">
        <f t="shared" si="5"/>
        <v>14403580</v>
      </c>
      <c r="K35" s="104">
        <f t="shared" si="0"/>
        <v>15440637.760000002</v>
      </c>
      <c r="L35" s="34"/>
      <c r="M35" s="132">
        <v>0.6</v>
      </c>
      <c r="N35" s="146">
        <f t="shared" si="1"/>
        <v>9264382.6560000014</v>
      </c>
      <c r="O35" s="132">
        <v>0.4</v>
      </c>
      <c r="P35" s="157">
        <f t="shared" si="2"/>
        <v>6176255.1040000012</v>
      </c>
      <c r="Q35" s="154">
        <v>0</v>
      </c>
      <c r="R35" s="146">
        <f t="shared" si="3"/>
        <v>0</v>
      </c>
      <c r="S35" s="684">
        <f t="shared" si="6"/>
        <v>1</v>
      </c>
      <c r="U35" s="125">
        <v>53208070100001</v>
      </c>
      <c r="V35" s="122" t="s">
        <v>31</v>
      </c>
      <c r="W35" s="128">
        <v>400000</v>
      </c>
      <c r="AG35" s="28"/>
    </row>
    <row r="36" spans="1:33" s="36" customFormat="1" ht="12.75" customHeight="1" x14ac:dyDescent="0.2">
      <c r="A36" s="902"/>
      <c r="B36" s="905"/>
      <c r="C36" s="64"/>
      <c r="D36" s="100"/>
      <c r="E36" s="101"/>
      <c r="F36" s="102" t="s">
        <v>118</v>
      </c>
      <c r="G36" s="90">
        <v>0</v>
      </c>
      <c r="H36" s="90">
        <v>0</v>
      </c>
      <c r="I36" s="107">
        <v>0</v>
      </c>
      <c r="J36" s="110">
        <f t="shared" si="5"/>
        <v>0</v>
      </c>
      <c r="K36" s="105">
        <f t="shared" si="0"/>
        <v>0</v>
      </c>
      <c r="L36" s="34"/>
      <c r="M36" s="144">
        <v>0</v>
      </c>
      <c r="N36" s="147">
        <f t="shared" si="1"/>
        <v>0</v>
      </c>
      <c r="O36" s="144">
        <v>0</v>
      </c>
      <c r="P36" s="145">
        <f t="shared" si="2"/>
        <v>0</v>
      </c>
      <c r="Q36" s="155">
        <v>0</v>
      </c>
      <c r="R36" s="679">
        <f t="shared" si="3"/>
        <v>0</v>
      </c>
      <c r="S36" s="682">
        <f t="shared" si="6"/>
        <v>0</v>
      </c>
      <c r="U36" s="125">
        <v>53208100100001</v>
      </c>
      <c r="V36" s="122" t="s">
        <v>131</v>
      </c>
      <c r="W36" s="128">
        <v>0</v>
      </c>
      <c r="AG36" s="28"/>
    </row>
    <row r="37" spans="1:33" s="36" customFormat="1" ht="12.75" customHeight="1" x14ac:dyDescent="0.2">
      <c r="A37" s="902"/>
      <c r="B37" s="905"/>
      <c r="C37" s="64"/>
      <c r="D37" s="100"/>
      <c r="E37" s="101"/>
      <c r="F37" s="102" t="s">
        <v>118</v>
      </c>
      <c r="G37" s="90">
        <v>0</v>
      </c>
      <c r="H37" s="90">
        <v>0</v>
      </c>
      <c r="I37" s="107">
        <v>0</v>
      </c>
      <c r="J37" s="110">
        <f t="shared" si="5"/>
        <v>0</v>
      </c>
      <c r="K37" s="105">
        <f t="shared" si="0"/>
        <v>0</v>
      </c>
      <c r="L37" s="34"/>
      <c r="M37" s="144">
        <v>0</v>
      </c>
      <c r="N37" s="147">
        <f t="shared" si="1"/>
        <v>0</v>
      </c>
      <c r="O37" s="144">
        <v>0</v>
      </c>
      <c r="P37" s="145">
        <f t="shared" si="2"/>
        <v>0</v>
      </c>
      <c r="Q37" s="155">
        <v>0</v>
      </c>
      <c r="R37" s="679">
        <f t="shared" si="3"/>
        <v>0</v>
      </c>
      <c r="S37" s="682">
        <f t="shared" si="6"/>
        <v>0</v>
      </c>
      <c r="U37" s="125">
        <v>53211030000000</v>
      </c>
      <c r="V37" s="122" t="s">
        <v>32</v>
      </c>
      <c r="W37" s="128">
        <v>0</v>
      </c>
      <c r="AG37" s="28"/>
    </row>
    <row r="38" spans="1:33" s="36" customFormat="1" ht="12.75" customHeight="1" x14ac:dyDescent="0.2">
      <c r="A38" s="902"/>
      <c r="B38" s="905"/>
      <c r="C38" s="64"/>
      <c r="D38" s="100"/>
      <c r="E38" s="101"/>
      <c r="F38" s="102" t="s">
        <v>118</v>
      </c>
      <c r="G38" s="90">
        <v>0</v>
      </c>
      <c r="H38" s="90">
        <v>0</v>
      </c>
      <c r="I38" s="107">
        <v>0</v>
      </c>
      <c r="J38" s="110">
        <f t="shared" si="5"/>
        <v>0</v>
      </c>
      <c r="K38" s="105">
        <f t="shared" si="0"/>
        <v>0</v>
      </c>
      <c r="L38" s="34"/>
      <c r="M38" s="144">
        <v>0</v>
      </c>
      <c r="N38" s="147">
        <f t="shared" si="1"/>
        <v>0</v>
      </c>
      <c r="O38" s="144">
        <v>0</v>
      </c>
      <c r="P38" s="145">
        <f t="shared" si="2"/>
        <v>0</v>
      </c>
      <c r="Q38" s="155">
        <v>0</v>
      </c>
      <c r="R38" s="679">
        <f t="shared" si="3"/>
        <v>0</v>
      </c>
      <c r="S38" s="682">
        <f t="shared" si="6"/>
        <v>0</v>
      </c>
      <c r="U38" s="125">
        <v>53212020100000</v>
      </c>
      <c r="V38" s="122" t="s">
        <v>98</v>
      </c>
      <c r="W38" s="128">
        <f>400000*12</f>
        <v>4800000</v>
      </c>
      <c r="AG38" s="28"/>
    </row>
    <row r="39" spans="1:33" s="36" customFormat="1" ht="12.75" customHeight="1" thickBot="1" x14ac:dyDescent="0.25">
      <c r="A39" s="902"/>
      <c r="B39" s="906"/>
      <c r="C39" s="117"/>
      <c r="D39" s="91"/>
      <c r="E39" s="92"/>
      <c r="F39" s="93" t="s">
        <v>118</v>
      </c>
      <c r="G39" s="94">
        <v>0</v>
      </c>
      <c r="H39" s="94">
        <v>0</v>
      </c>
      <c r="I39" s="108">
        <v>0</v>
      </c>
      <c r="J39" s="111">
        <f t="shared" si="5"/>
        <v>0</v>
      </c>
      <c r="K39" s="103">
        <f t="shared" si="0"/>
        <v>0</v>
      </c>
      <c r="L39" s="34"/>
      <c r="M39" s="149">
        <v>0</v>
      </c>
      <c r="N39" s="148">
        <f t="shared" si="1"/>
        <v>0</v>
      </c>
      <c r="O39" s="149">
        <v>0</v>
      </c>
      <c r="P39" s="158">
        <f t="shared" si="2"/>
        <v>0</v>
      </c>
      <c r="Q39" s="156">
        <v>0</v>
      </c>
      <c r="R39" s="680">
        <f t="shared" si="3"/>
        <v>0</v>
      </c>
      <c r="S39" s="683">
        <f t="shared" si="6"/>
        <v>0</v>
      </c>
      <c r="U39" s="125">
        <v>53214020000000</v>
      </c>
      <c r="V39" s="122" t="s">
        <v>33</v>
      </c>
      <c r="W39" s="128">
        <v>0</v>
      </c>
      <c r="AG39" s="28"/>
    </row>
    <row r="40" spans="1:33" s="36" customFormat="1" ht="12.75" customHeight="1" x14ac:dyDescent="0.2">
      <c r="A40" s="902"/>
      <c r="B40" s="908" t="s">
        <v>119</v>
      </c>
      <c r="C40" s="118" t="s">
        <v>130</v>
      </c>
      <c r="D40" s="86" t="s">
        <v>130</v>
      </c>
      <c r="E40" s="87" t="s">
        <v>281</v>
      </c>
      <c r="F40" s="88" t="s">
        <v>118</v>
      </c>
      <c r="G40" s="89">
        <v>473550</v>
      </c>
      <c r="H40" s="89">
        <v>0</v>
      </c>
      <c r="I40" s="106">
        <v>0</v>
      </c>
      <c r="J40" s="112">
        <f t="shared" ref="J40:J61" si="7">SUM(G40:I40)</f>
        <v>473550</v>
      </c>
      <c r="K40" s="114">
        <f t="shared" si="0"/>
        <v>507645.60000000003</v>
      </c>
      <c r="L40" s="34"/>
      <c r="M40" s="132">
        <v>0.6</v>
      </c>
      <c r="N40" s="146">
        <f t="shared" si="1"/>
        <v>304587.36</v>
      </c>
      <c r="O40" s="132">
        <v>0.4</v>
      </c>
      <c r="P40" s="157">
        <f t="shared" si="2"/>
        <v>203058.24000000002</v>
      </c>
      <c r="Q40" s="154">
        <v>0</v>
      </c>
      <c r="R40" s="146">
        <f t="shared" si="3"/>
        <v>0</v>
      </c>
      <c r="S40" s="684">
        <f t="shared" si="6"/>
        <v>1</v>
      </c>
      <c r="U40" s="123"/>
      <c r="V40" s="120" t="s">
        <v>34</v>
      </c>
      <c r="W40" s="126">
        <f>SUM(W41,W46,W49,W60,W70,W78)</f>
        <v>2870000</v>
      </c>
      <c r="AG40" s="28"/>
    </row>
    <row r="41" spans="1:33" s="36" customFormat="1" ht="12.75" customHeight="1" x14ac:dyDescent="0.2">
      <c r="A41" s="902"/>
      <c r="B41" s="909"/>
      <c r="C41" s="65"/>
      <c r="D41" s="67"/>
      <c r="E41" s="68" t="s">
        <v>282</v>
      </c>
      <c r="F41" s="76" t="s">
        <v>118</v>
      </c>
      <c r="G41" s="90">
        <v>473550</v>
      </c>
      <c r="H41" s="90">
        <v>0</v>
      </c>
      <c r="I41" s="107">
        <v>0</v>
      </c>
      <c r="J41" s="113">
        <f t="shared" ref="J41:J48" si="8">SUM(G41:I41)</f>
        <v>473550</v>
      </c>
      <c r="K41" s="115">
        <f t="shared" si="0"/>
        <v>507645.60000000003</v>
      </c>
      <c r="L41" s="34"/>
      <c r="M41" s="144">
        <v>0.6</v>
      </c>
      <c r="N41" s="147">
        <f t="shared" si="1"/>
        <v>304587.36</v>
      </c>
      <c r="O41" s="144">
        <v>0.4</v>
      </c>
      <c r="P41" s="145">
        <f t="shared" si="2"/>
        <v>203058.24000000002</v>
      </c>
      <c r="Q41" s="155">
        <v>0</v>
      </c>
      <c r="R41" s="679">
        <f t="shared" si="3"/>
        <v>0</v>
      </c>
      <c r="S41" s="682">
        <f t="shared" si="6"/>
        <v>1</v>
      </c>
      <c r="U41" s="124"/>
      <c r="V41" s="121" t="s">
        <v>35</v>
      </c>
      <c r="W41" s="127">
        <f>SUM(W42:W45)</f>
        <v>0</v>
      </c>
      <c r="AG41" s="28"/>
    </row>
    <row r="42" spans="1:33" s="36" customFormat="1" ht="12.75" customHeight="1" x14ac:dyDescent="0.2">
      <c r="A42" s="902"/>
      <c r="B42" s="909"/>
      <c r="C42" s="65"/>
      <c r="D42" s="67"/>
      <c r="E42" s="68"/>
      <c r="F42" s="76" t="s">
        <v>118</v>
      </c>
      <c r="G42" s="90">
        <v>0</v>
      </c>
      <c r="H42" s="90">
        <v>0</v>
      </c>
      <c r="I42" s="107">
        <v>0</v>
      </c>
      <c r="J42" s="113">
        <f t="shared" si="8"/>
        <v>0</v>
      </c>
      <c r="K42" s="115">
        <f t="shared" si="0"/>
        <v>0</v>
      </c>
      <c r="L42" s="34"/>
      <c r="M42" s="144">
        <v>0</v>
      </c>
      <c r="N42" s="147">
        <f t="shared" si="1"/>
        <v>0</v>
      </c>
      <c r="O42" s="144">
        <v>0</v>
      </c>
      <c r="P42" s="145">
        <f t="shared" si="2"/>
        <v>0</v>
      </c>
      <c r="Q42" s="155">
        <v>0</v>
      </c>
      <c r="R42" s="679">
        <f t="shared" si="3"/>
        <v>0</v>
      </c>
      <c r="S42" s="682">
        <f t="shared" si="6"/>
        <v>0</v>
      </c>
      <c r="U42" s="125">
        <v>53202020100000</v>
      </c>
      <c r="V42" s="122" t="s">
        <v>39</v>
      </c>
      <c r="W42" s="128">
        <v>0</v>
      </c>
      <c r="AG42" s="28"/>
    </row>
    <row r="43" spans="1:33" s="36" customFormat="1" ht="12.75" customHeight="1" x14ac:dyDescent="0.2">
      <c r="A43" s="902"/>
      <c r="B43" s="909"/>
      <c r="C43" s="65"/>
      <c r="D43" s="67"/>
      <c r="E43" s="68"/>
      <c r="F43" s="76" t="s">
        <v>118</v>
      </c>
      <c r="G43" s="90">
        <v>0</v>
      </c>
      <c r="H43" s="90">
        <v>0</v>
      </c>
      <c r="I43" s="107">
        <v>0</v>
      </c>
      <c r="J43" s="113">
        <f t="shared" si="8"/>
        <v>0</v>
      </c>
      <c r="K43" s="115">
        <f t="shared" si="0"/>
        <v>0</v>
      </c>
      <c r="L43" s="34"/>
      <c r="M43" s="144">
        <v>0</v>
      </c>
      <c r="N43" s="147">
        <f t="shared" si="1"/>
        <v>0</v>
      </c>
      <c r="O43" s="144">
        <v>0</v>
      </c>
      <c r="P43" s="145">
        <f t="shared" si="2"/>
        <v>0</v>
      </c>
      <c r="Q43" s="155">
        <v>0</v>
      </c>
      <c r="R43" s="679">
        <f t="shared" si="3"/>
        <v>0</v>
      </c>
      <c r="S43" s="682">
        <f t="shared" si="6"/>
        <v>0</v>
      </c>
      <c r="U43" s="125">
        <v>53202030000000</v>
      </c>
      <c r="V43" s="122" t="s">
        <v>40</v>
      </c>
      <c r="W43" s="128">
        <v>0</v>
      </c>
      <c r="AG43" s="28"/>
    </row>
    <row r="44" spans="1:33" s="36" customFormat="1" ht="12.75" customHeight="1" x14ac:dyDescent="0.2">
      <c r="A44" s="902"/>
      <c r="B44" s="909"/>
      <c r="C44" s="65"/>
      <c r="D44" s="67"/>
      <c r="E44" s="68"/>
      <c r="F44" s="76" t="s">
        <v>118</v>
      </c>
      <c r="G44" s="90">
        <v>0</v>
      </c>
      <c r="H44" s="90">
        <v>0</v>
      </c>
      <c r="I44" s="107">
        <v>0</v>
      </c>
      <c r="J44" s="113">
        <f t="shared" si="8"/>
        <v>0</v>
      </c>
      <c r="K44" s="115">
        <f t="shared" si="0"/>
        <v>0</v>
      </c>
      <c r="L44" s="34"/>
      <c r="M44" s="144">
        <v>0</v>
      </c>
      <c r="N44" s="147">
        <f t="shared" si="1"/>
        <v>0</v>
      </c>
      <c r="O44" s="144">
        <v>0</v>
      </c>
      <c r="P44" s="145">
        <f t="shared" si="2"/>
        <v>0</v>
      </c>
      <c r="Q44" s="155">
        <v>0</v>
      </c>
      <c r="R44" s="679">
        <f t="shared" si="3"/>
        <v>0</v>
      </c>
      <c r="S44" s="682">
        <f t="shared" si="6"/>
        <v>0</v>
      </c>
      <c r="U44" s="125">
        <v>53211020000000</v>
      </c>
      <c r="V44" s="122" t="s">
        <v>41</v>
      </c>
      <c r="W44" s="128">
        <v>0</v>
      </c>
      <c r="AG44" s="28"/>
    </row>
    <row r="45" spans="1:33" s="36" customFormat="1" ht="12.75" customHeight="1" x14ac:dyDescent="0.2">
      <c r="A45" s="902"/>
      <c r="B45" s="909"/>
      <c r="C45" s="65"/>
      <c r="D45" s="67"/>
      <c r="E45" s="68"/>
      <c r="F45" s="76" t="s">
        <v>118</v>
      </c>
      <c r="G45" s="90">
        <v>0</v>
      </c>
      <c r="H45" s="90">
        <v>0</v>
      </c>
      <c r="I45" s="107">
        <v>0</v>
      </c>
      <c r="J45" s="113">
        <f t="shared" si="8"/>
        <v>0</v>
      </c>
      <c r="K45" s="115">
        <f t="shared" si="0"/>
        <v>0</v>
      </c>
      <c r="L45" s="34"/>
      <c r="M45" s="144">
        <v>0</v>
      </c>
      <c r="N45" s="147">
        <f t="shared" si="1"/>
        <v>0</v>
      </c>
      <c r="O45" s="144">
        <v>0</v>
      </c>
      <c r="P45" s="145">
        <f t="shared" si="2"/>
        <v>0</v>
      </c>
      <c r="Q45" s="155">
        <v>0</v>
      </c>
      <c r="R45" s="679">
        <f t="shared" si="3"/>
        <v>0</v>
      </c>
      <c r="S45" s="682">
        <f t="shared" si="6"/>
        <v>0</v>
      </c>
      <c r="U45" s="125">
        <v>53101004030000</v>
      </c>
      <c r="V45" s="122" t="s">
        <v>38</v>
      </c>
      <c r="W45" s="128">
        <v>0</v>
      </c>
      <c r="AG45" s="28"/>
    </row>
    <row r="46" spans="1:33" s="36" customFormat="1" ht="12.75" customHeight="1" x14ac:dyDescent="0.2">
      <c r="A46" s="902"/>
      <c r="B46" s="909"/>
      <c r="C46" s="65"/>
      <c r="D46" s="67"/>
      <c r="E46" s="68"/>
      <c r="F46" s="76" t="s">
        <v>118</v>
      </c>
      <c r="G46" s="90">
        <v>0</v>
      </c>
      <c r="H46" s="90">
        <v>0</v>
      </c>
      <c r="I46" s="107">
        <v>0</v>
      </c>
      <c r="J46" s="113">
        <f t="shared" si="8"/>
        <v>0</v>
      </c>
      <c r="K46" s="115">
        <f t="shared" si="0"/>
        <v>0</v>
      </c>
      <c r="L46" s="34"/>
      <c r="M46" s="144">
        <v>0</v>
      </c>
      <c r="N46" s="147">
        <f t="shared" si="1"/>
        <v>0</v>
      </c>
      <c r="O46" s="144">
        <v>0</v>
      </c>
      <c r="P46" s="145">
        <f t="shared" si="2"/>
        <v>0</v>
      </c>
      <c r="Q46" s="155">
        <v>0</v>
      </c>
      <c r="R46" s="679">
        <f t="shared" si="3"/>
        <v>0</v>
      </c>
      <c r="S46" s="682">
        <f t="shared" si="6"/>
        <v>0</v>
      </c>
      <c r="U46" s="124"/>
      <c r="V46" s="121" t="s">
        <v>42</v>
      </c>
      <c r="W46" s="127">
        <f>SUM(W47:W48)</f>
        <v>0</v>
      </c>
      <c r="AG46" s="28"/>
    </row>
    <row r="47" spans="1:33" s="36" customFormat="1" ht="12.75" customHeight="1" x14ac:dyDescent="0.2">
      <c r="A47" s="902"/>
      <c r="B47" s="909"/>
      <c r="C47" s="65"/>
      <c r="D47" s="67"/>
      <c r="E47" s="68"/>
      <c r="F47" s="76" t="s">
        <v>118</v>
      </c>
      <c r="G47" s="90">
        <v>0</v>
      </c>
      <c r="H47" s="90">
        <v>0</v>
      </c>
      <c r="I47" s="107">
        <v>0</v>
      </c>
      <c r="J47" s="113">
        <f t="shared" si="8"/>
        <v>0</v>
      </c>
      <c r="K47" s="115">
        <f t="shared" si="0"/>
        <v>0</v>
      </c>
      <c r="L47" s="34"/>
      <c r="M47" s="144">
        <v>0</v>
      </c>
      <c r="N47" s="147">
        <f t="shared" si="1"/>
        <v>0</v>
      </c>
      <c r="O47" s="144">
        <v>0</v>
      </c>
      <c r="P47" s="145">
        <f t="shared" si="2"/>
        <v>0</v>
      </c>
      <c r="Q47" s="155">
        <v>0</v>
      </c>
      <c r="R47" s="679">
        <f t="shared" si="3"/>
        <v>0</v>
      </c>
      <c r="S47" s="682">
        <f t="shared" si="6"/>
        <v>0</v>
      </c>
      <c r="U47" s="125">
        <v>53205080000000</v>
      </c>
      <c r="V47" s="122" t="s">
        <v>43</v>
      </c>
      <c r="W47" s="128">
        <v>0</v>
      </c>
      <c r="AG47" s="28"/>
    </row>
    <row r="48" spans="1:33" s="36" customFormat="1" ht="12.75" customHeight="1" x14ac:dyDescent="0.2">
      <c r="A48" s="902"/>
      <c r="B48" s="909"/>
      <c r="C48" s="65"/>
      <c r="D48" s="67"/>
      <c r="E48" s="68"/>
      <c r="F48" s="76" t="s">
        <v>118</v>
      </c>
      <c r="G48" s="90">
        <v>0</v>
      </c>
      <c r="H48" s="90">
        <v>0</v>
      </c>
      <c r="I48" s="107">
        <v>0</v>
      </c>
      <c r="J48" s="113">
        <f t="shared" si="8"/>
        <v>0</v>
      </c>
      <c r="K48" s="115">
        <f t="shared" si="0"/>
        <v>0</v>
      </c>
      <c r="L48" s="34"/>
      <c r="M48" s="144">
        <v>0</v>
      </c>
      <c r="N48" s="147">
        <f t="shared" si="1"/>
        <v>0</v>
      </c>
      <c r="O48" s="144">
        <v>0</v>
      </c>
      <c r="P48" s="145">
        <f t="shared" si="2"/>
        <v>0</v>
      </c>
      <c r="Q48" s="155">
        <v>0</v>
      </c>
      <c r="R48" s="679">
        <f t="shared" si="3"/>
        <v>0</v>
      </c>
      <c r="S48" s="682">
        <f t="shared" si="6"/>
        <v>0</v>
      </c>
      <c r="U48" s="125">
        <v>53205990000000</v>
      </c>
      <c r="V48" s="122" t="s">
        <v>44</v>
      </c>
      <c r="W48" s="128">
        <v>0</v>
      </c>
      <c r="AG48" s="28"/>
    </row>
    <row r="49" spans="1:33" s="36" customFormat="1" ht="12.75" customHeight="1" x14ac:dyDescent="0.2">
      <c r="A49" s="902"/>
      <c r="B49" s="910"/>
      <c r="C49" s="65"/>
      <c r="D49" s="67"/>
      <c r="E49" s="68"/>
      <c r="F49" s="76" t="s">
        <v>118</v>
      </c>
      <c r="G49" s="90">
        <v>0</v>
      </c>
      <c r="H49" s="90">
        <v>0</v>
      </c>
      <c r="I49" s="107">
        <v>0</v>
      </c>
      <c r="J49" s="113">
        <f t="shared" si="7"/>
        <v>0</v>
      </c>
      <c r="K49" s="115">
        <f t="shared" si="0"/>
        <v>0</v>
      </c>
      <c r="L49" s="34"/>
      <c r="M49" s="144">
        <v>0</v>
      </c>
      <c r="N49" s="147">
        <f t="shared" si="1"/>
        <v>0</v>
      </c>
      <c r="O49" s="144">
        <v>0</v>
      </c>
      <c r="P49" s="145">
        <f t="shared" si="2"/>
        <v>0</v>
      </c>
      <c r="Q49" s="155">
        <v>0</v>
      </c>
      <c r="R49" s="679">
        <f t="shared" si="3"/>
        <v>0</v>
      </c>
      <c r="S49" s="682">
        <f t="shared" si="6"/>
        <v>0</v>
      </c>
      <c r="U49" s="124"/>
      <c r="V49" s="121" t="s">
        <v>45</v>
      </c>
      <c r="W49" s="127">
        <f>SUM(W50:W59)</f>
        <v>800000</v>
      </c>
      <c r="AG49" s="28"/>
    </row>
    <row r="50" spans="1:33" s="36" customFormat="1" ht="12.75" customHeight="1" x14ac:dyDescent="0.2">
      <c r="A50" s="902"/>
      <c r="B50" s="909"/>
      <c r="C50" s="65"/>
      <c r="D50" s="67"/>
      <c r="E50" s="68"/>
      <c r="F50" s="76" t="s">
        <v>118</v>
      </c>
      <c r="G50" s="90">
        <v>0</v>
      </c>
      <c r="H50" s="90">
        <v>0</v>
      </c>
      <c r="I50" s="107">
        <v>0</v>
      </c>
      <c r="J50" s="113">
        <f t="shared" ref="J50:J53" si="9">SUM(G50:I50)</f>
        <v>0</v>
      </c>
      <c r="K50" s="115">
        <f t="shared" si="0"/>
        <v>0</v>
      </c>
      <c r="L50" s="34"/>
      <c r="M50" s="144">
        <v>0</v>
      </c>
      <c r="N50" s="147">
        <f t="shared" si="1"/>
        <v>0</v>
      </c>
      <c r="O50" s="144">
        <v>0</v>
      </c>
      <c r="P50" s="145">
        <f t="shared" si="2"/>
        <v>0</v>
      </c>
      <c r="Q50" s="155">
        <v>0</v>
      </c>
      <c r="R50" s="679">
        <f t="shared" si="3"/>
        <v>0</v>
      </c>
      <c r="S50" s="682">
        <f t="shared" si="6"/>
        <v>0</v>
      </c>
      <c r="U50" s="125">
        <v>53203010200000</v>
      </c>
      <c r="V50" s="122" t="s">
        <v>46</v>
      </c>
      <c r="W50" s="128">
        <v>0</v>
      </c>
      <c r="AG50" s="28"/>
    </row>
    <row r="51" spans="1:33" s="36" customFormat="1" ht="12.75" customHeight="1" x14ac:dyDescent="0.2">
      <c r="A51" s="902"/>
      <c r="B51" s="909"/>
      <c r="C51" s="65"/>
      <c r="D51" s="67"/>
      <c r="E51" s="68"/>
      <c r="F51" s="76" t="s">
        <v>118</v>
      </c>
      <c r="G51" s="90">
        <v>0</v>
      </c>
      <c r="H51" s="90">
        <v>0</v>
      </c>
      <c r="I51" s="107">
        <v>0</v>
      </c>
      <c r="J51" s="113">
        <f t="shared" si="9"/>
        <v>0</v>
      </c>
      <c r="K51" s="115">
        <f t="shared" si="0"/>
        <v>0</v>
      </c>
      <c r="L51" s="34"/>
      <c r="M51" s="144">
        <v>0</v>
      </c>
      <c r="N51" s="147">
        <f t="shared" si="1"/>
        <v>0</v>
      </c>
      <c r="O51" s="144">
        <v>0</v>
      </c>
      <c r="P51" s="145">
        <f t="shared" si="2"/>
        <v>0</v>
      </c>
      <c r="Q51" s="155">
        <v>0</v>
      </c>
      <c r="R51" s="679">
        <f t="shared" si="3"/>
        <v>0</v>
      </c>
      <c r="S51" s="682">
        <f t="shared" si="6"/>
        <v>0</v>
      </c>
      <c r="U51" s="125">
        <v>53204010000000</v>
      </c>
      <c r="V51" s="122" t="s">
        <v>47</v>
      </c>
      <c r="W51" s="128">
        <v>400000</v>
      </c>
      <c r="AG51" s="28"/>
    </row>
    <row r="52" spans="1:33" s="36" customFormat="1" ht="12.75" customHeight="1" x14ac:dyDescent="0.2">
      <c r="A52" s="902"/>
      <c r="B52" s="909"/>
      <c r="C52" s="65"/>
      <c r="D52" s="67"/>
      <c r="E52" s="68"/>
      <c r="F52" s="76" t="s">
        <v>118</v>
      </c>
      <c r="G52" s="90">
        <v>0</v>
      </c>
      <c r="H52" s="90">
        <v>0</v>
      </c>
      <c r="I52" s="107">
        <v>0</v>
      </c>
      <c r="J52" s="113">
        <f t="shared" si="9"/>
        <v>0</v>
      </c>
      <c r="K52" s="115">
        <f t="shared" si="0"/>
        <v>0</v>
      </c>
      <c r="L52" s="34"/>
      <c r="M52" s="144">
        <v>0</v>
      </c>
      <c r="N52" s="147">
        <f t="shared" si="1"/>
        <v>0</v>
      </c>
      <c r="O52" s="144">
        <v>0</v>
      </c>
      <c r="P52" s="145">
        <f t="shared" si="2"/>
        <v>0</v>
      </c>
      <c r="Q52" s="155">
        <v>0</v>
      </c>
      <c r="R52" s="679">
        <f t="shared" si="3"/>
        <v>0</v>
      </c>
      <c r="S52" s="682">
        <f t="shared" si="6"/>
        <v>0</v>
      </c>
      <c r="U52" s="125">
        <v>53204040200000</v>
      </c>
      <c r="V52" s="122" t="s">
        <v>48</v>
      </c>
      <c r="W52" s="128">
        <v>0</v>
      </c>
      <c r="AG52" s="28"/>
    </row>
    <row r="53" spans="1:33" s="36" customFormat="1" ht="12.75" customHeight="1" x14ac:dyDescent="0.2">
      <c r="A53" s="902"/>
      <c r="B53" s="909"/>
      <c r="C53" s="65"/>
      <c r="D53" s="67"/>
      <c r="E53" s="68"/>
      <c r="F53" s="76" t="s">
        <v>118</v>
      </c>
      <c r="G53" s="90">
        <v>0</v>
      </c>
      <c r="H53" s="90">
        <v>0</v>
      </c>
      <c r="I53" s="107">
        <v>0</v>
      </c>
      <c r="J53" s="113">
        <f t="shared" si="9"/>
        <v>0</v>
      </c>
      <c r="K53" s="115">
        <f t="shared" si="0"/>
        <v>0</v>
      </c>
      <c r="L53" s="34"/>
      <c r="M53" s="144">
        <v>0</v>
      </c>
      <c r="N53" s="147">
        <f t="shared" si="1"/>
        <v>0</v>
      </c>
      <c r="O53" s="144">
        <v>0</v>
      </c>
      <c r="P53" s="145">
        <f t="shared" si="2"/>
        <v>0</v>
      </c>
      <c r="Q53" s="155">
        <v>0</v>
      </c>
      <c r="R53" s="679">
        <f t="shared" si="3"/>
        <v>0</v>
      </c>
      <c r="S53" s="682">
        <f t="shared" si="6"/>
        <v>0</v>
      </c>
      <c r="U53" s="125">
        <v>53204060000000</v>
      </c>
      <c r="V53" s="122" t="s">
        <v>49</v>
      </c>
      <c r="W53" s="128">
        <v>0</v>
      </c>
      <c r="AG53" s="28"/>
    </row>
    <row r="54" spans="1:33" s="36" customFormat="1" ht="12.75" customHeight="1" x14ac:dyDescent="0.2">
      <c r="A54" s="902"/>
      <c r="B54" s="910"/>
      <c r="C54" s="65"/>
      <c r="D54" s="67"/>
      <c r="E54" s="68"/>
      <c r="F54" s="76" t="s">
        <v>118</v>
      </c>
      <c r="G54" s="90">
        <v>0</v>
      </c>
      <c r="H54" s="90">
        <v>0</v>
      </c>
      <c r="I54" s="107">
        <v>0</v>
      </c>
      <c r="J54" s="113">
        <f t="shared" si="7"/>
        <v>0</v>
      </c>
      <c r="K54" s="115">
        <f t="shared" si="0"/>
        <v>0</v>
      </c>
      <c r="L54" s="34"/>
      <c r="M54" s="144">
        <v>0</v>
      </c>
      <c r="N54" s="147">
        <f t="shared" si="1"/>
        <v>0</v>
      </c>
      <c r="O54" s="144">
        <v>0</v>
      </c>
      <c r="P54" s="145">
        <f t="shared" si="2"/>
        <v>0</v>
      </c>
      <c r="Q54" s="155">
        <v>0</v>
      </c>
      <c r="R54" s="679">
        <f t="shared" si="3"/>
        <v>0</v>
      </c>
      <c r="S54" s="682">
        <f t="shared" si="6"/>
        <v>0</v>
      </c>
      <c r="U54" s="125">
        <v>53204070000000</v>
      </c>
      <c r="V54" s="122" t="s">
        <v>50</v>
      </c>
      <c r="W54" s="128">
        <v>400000</v>
      </c>
      <c r="AG54" s="28"/>
    </row>
    <row r="55" spans="1:33" s="36" customFormat="1" ht="12.75" customHeight="1" x14ac:dyDescent="0.2">
      <c r="A55" s="902"/>
      <c r="B55" s="910"/>
      <c r="C55" s="65"/>
      <c r="D55" s="67"/>
      <c r="E55" s="68"/>
      <c r="F55" s="76" t="s">
        <v>118</v>
      </c>
      <c r="G55" s="90">
        <v>0</v>
      </c>
      <c r="H55" s="90">
        <v>0</v>
      </c>
      <c r="I55" s="107">
        <v>0</v>
      </c>
      <c r="J55" s="113">
        <f t="shared" si="7"/>
        <v>0</v>
      </c>
      <c r="K55" s="115">
        <f t="shared" si="0"/>
        <v>0</v>
      </c>
      <c r="L55" s="34"/>
      <c r="M55" s="144">
        <v>0</v>
      </c>
      <c r="N55" s="147">
        <f t="shared" si="1"/>
        <v>0</v>
      </c>
      <c r="O55" s="144">
        <v>0</v>
      </c>
      <c r="P55" s="145">
        <f t="shared" si="2"/>
        <v>0</v>
      </c>
      <c r="Q55" s="155">
        <v>0</v>
      </c>
      <c r="R55" s="679">
        <f t="shared" si="3"/>
        <v>0</v>
      </c>
      <c r="S55" s="682">
        <f t="shared" si="6"/>
        <v>0</v>
      </c>
      <c r="U55" s="125">
        <v>53204080000000</v>
      </c>
      <c r="V55" s="122" t="s">
        <v>51</v>
      </c>
      <c r="W55" s="128">
        <v>0</v>
      </c>
      <c r="AG55" s="28"/>
    </row>
    <row r="56" spans="1:33" s="36" customFormat="1" ht="12.75" customHeight="1" x14ac:dyDescent="0.2">
      <c r="A56" s="902"/>
      <c r="B56" s="910"/>
      <c r="C56" s="65"/>
      <c r="D56" s="67"/>
      <c r="E56" s="68"/>
      <c r="F56" s="76" t="s">
        <v>118</v>
      </c>
      <c r="G56" s="90">
        <v>0</v>
      </c>
      <c r="H56" s="90">
        <v>0</v>
      </c>
      <c r="I56" s="107">
        <v>0</v>
      </c>
      <c r="J56" s="113">
        <f t="shared" si="7"/>
        <v>0</v>
      </c>
      <c r="K56" s="115">
        <f t="shared" si="0"/>
        <v>0</v>
      </c>
      <c r="L56" s="34"/>
      <c r="M56" s="144">
        <v>0</v>
      </c>
      <c r="N56" s="147">
        <f t="shared" si="1"/>
        <v>0</v>
      </c>
      <c r="O56" s="144">
        <v>0</v>
      </c>
      <c r="P56" s="145">
        <f t="shared" si="2"/>
        <v>0</v>
      </c>
      <c r="Q56" s="155">
        <v>0</v>
      </c>
      <c r="R56" s="679">
        <f t="shared" si="3"/>
        <v>0</v>
      </c>
      <c r="S56" s="682">
        <f t="shared" si="6"/>
        <v>0</v>
      </c>
      <c r="U56" s="125">
        <v>53214010000000</v>
      </c>
      <c r="V56" s="122" t="s">
        <v>52</v>
      </c>
      <c r="W56" s="128">
        <v>0</v>
      </c>
      <c r="AG56" s="28"/>
    </row>
    <row r="57" spans="1:33" s="36" customFormat="1" ht="12.75" customHeight="1" x14ac:dyDescent="0.2">
      <c r="A57" s="902"/>
      <c r="B57" s="910"/>
      <c r="C57" s="65"/>
      <c r="D57" s="67"/>
      <c r="E57" s="68"/>
      <c r="F57" s="76" t="s">
        <v>118</v>
      </c>
      <c r="G57" s="90">
        <v>0</v>
      </c>
      <c r="H57" s="90">
        <v>0</v>
      </c>
      <c r="I57" s="107">
        <v>0</v>
      </c>
      <c r="J57" s="113">
        <f t="shared" si="7"/>
        <v>0</v>
      </c>
      <c r="K57" s="115">
        <f t="shared" si="0"/>
        <v>0</v>
      </c>
      <c r="L57" s="34"/>
      <c r="M57" s="144">
        <v>0</v>
      </c>
      <c r="N57" s="147">
        <f t="shared" si="1"/>
        <v>0</v>
      </c>
      <c r="O57" s="144">
        <v>0</v>
      </c>
      <c r="P57" s="145">
        <f t="shared" si="2"/>
        <v>0</v>
      </c>
      <c r="Q57" s="155">
        <v>0</v>
      </c>
      <c r="R57" s="679">
        <f t="shared" si="3"/>
        <v>0</v>
      </c>
      <c r="S57" s="682">
        <f t="shared" si="6"/>
        <v>0</v>
      </c>
      <c r="U57" s="125">
        <v>53214040000000</v>
      </c>
      <c r="V57" s="122" t="s">
        <v>132</v>
      </c>
      <c r="W57" s="128">
        <v>0</v>
      </c>
      <c r="AG57" s="28"/>
    </row>
    <row r="58" spans="1:33" s="36" customFormat="1" ht="12.75" customHeight="1" x14ac:dyDescent="0.2">
      <c r="A58" s="902"/>
      <c r="B58" s="910"/>
      <c r="C58" s="65"/>
      <c r="D58" s="67"/>
      <c r="E58" s="68"/>
      <c r="F58" s="76" t="s">
        <v>118</v>
      </c>
      <c r="G58" s="90">
        <v>0</v>
      </c>
      <c r="H58" s="90">
        <v>0</v>
      </c>
      <c r="I58" s="107">
        <v>0</v>
      </c>
      <c r="J58" s="113">
        <f t="shared" si="7"/>
        <v>0</v>
      </c>
      <c r="K58" s="115">
        <f t="shared" si="0"/>
        <v>0</v>
      </c>
      <c r="L58" s="34"/>
      <c r="M58" s="144">
        <v>0</v>
      </c>
      <c r="N58" s="147">
        <f t="shared" si="1"/>
        <v>0</v>
      </c>
      <c r="O58" s="144">
        <v>0</v>
      </c>
      <c r="P58" s="145">
        <f t="shared" si="2"/>
        <v>0</v>
      </c>
      <c r="Q58" s="155">
        <v>0</v>
      </c>
      <c r="R58" s="679">
        <f t="shared" si="3"/>
        <v>0</v>
      </c>
      <c r="S58" s="682">
        <f t="shared" si="6"/>
        <v>0</v>
      </c>
      <c r="U58" s="125">
        <v>55201010100004</v>
      </c>
      <c r="V58" s="122" t="s">
        <v>53</v>
      </c>
      <c r="W58" s="128">
        <v>0</v>
      </c>
      <c r="AG58" s="28"/>
    </row>
    <row r="59" spans="1:33" s="36" customFormat="1" ht="12.75" customHeight="1" x14ac:dyDescent="0.2">
      <c r="A59" s="902"/>
      <c r="B59" s="910"/>
      <c r="C59" s="65"/>
      <c r="D59" s="67"/>
      <c r="E59" s="68"/>
      <c r="F59" s="76" t="s">
        <v>118</v>
      </c>
      <c r="G59" s="90">
        <v>0</v>
      </c>
      <c r="H59" s="90">
        <v>0</v>
      </c>
      <c r="I59" s="107">
        <v>0</v>
      </c>
      <c r="J59" s="113">
        <f t="shared" si="7"/>
        <v>0</v>
      </c>
      <c r="K59" s="115">
        <f t="shared" si="0"/>
        <v>0</v>
      </c>
      <c r="L59" s="34"/>
      <c r="M59" s="144">
        <v>0</v>
      </c>
      <c r="N59" s="147">
        <f t="shared" si="1"/>
        <v>0</v>
      </c>
      <c r="O59" s="144">
        <v>0</v>
      </c>
      <c r="P59" s="145">
        <f t="shared" si="2"/>
        <v>0</v>
      </c>
      <c r="Q59" s="155">
        <v>0</v>
      </c>
      <c r="R59" s="679">
        <f t="shared" si="3"/>
        <v>0</v>
      </c>
      <c r="S59" s="682">
        <f t="shared" si="6"/>
        <v>0</v>
      </c>
      <c r="U59" s="125">
        <v>55201010100005</v>
      </c>
      <c r="V59" s="122" t="s">
        <v>54</v>
      </c>
      <c r="W59" s="128">
        <v>0</v>
      </c>
      <c r="AG59" s="28"/>
    </row>
    <row r="60" spans="1:33" s="36" customFormat="1" ht="12.75" customHeight="1" x14ac:dyDescent="0.2">
      <c r="A60" s="902"/>
      <c r="B60" s="910"/>
      <c r="C60" s="65"/>
      <c r="D60" s="67"/>
      <c r="E60" s="68"/>
      <c r="F60" s="76" t="s">
        <v>118</v>
      </c>
      <c r="G60" s="90">
        <v>0</v>
      </c>
      <c r="H60" s="90">
        <v>0</v>
      </c>
      <c r="I60" s="107">
        <v>0</v>
      </c>
      <c r="J60" s="113">
        <f t="shared" si="7"/>
        <v>0</v>
      </c>
      <c r="K60" s="115">
        <f t="shared" si="0"/>
        <v>0</v>
      </c>
      <c r="L60" s="34"/>
      <c r="M60" s="144">
        <v>0</v>
      </c>
      <c r="N60" s="147">
        <f t="shared" si="1"/>
        <v>0</v>
      </c>
      <c r="O60" s="144">
        <v>0</v>
      </c>
      <c r="P60" s="145">
        <f t="shared" si="2"/>
        <v>0</v>
      </c>
      <c r="Q60" s="155">
        <v>0</v>
      </c>
      <c r="R60" s="679">
        <f t="shared" si="3"/>
        <v>0</v>
      </c>
      <c r="S60" s="682">
        <f t="shared" si="6"/>
        <v>0</v>
      </c>
      <c r="U60" s="124"/>
      <c r="V60" s="121" t="s">
        <v>55</v>
      </c>
      <c r="W60" s="127">
        <f>SUM(W61:W69)</f>
        <v>2070000</v>
      </c>
      <c r="AG60" s="28"/>
    </row>
    <row r="61" spans="1:33" s="36" customFormat="1" ht="12.75" customHeight="1" thickBot="1" x14ac:dyDescent="0.25">
      <c r="A61" s="903"/>
      <c r="B61" s="911"/>
      <c r="C61" s="117"/>
      <c r="D61" s="91"/>
      <c r="E61" s="92"/>
      <c r="F61" s="93" t="s">
        <v>118</v>
      </c>
      <c r="G61" s="94">
        <v>0</v>
      </c>
      <c r="H61" s="94">
        <v>0</v>
      </c>
      <c r="I61" s="108">
        <v>0</v>
      </c>
      <c r="J61" s="111">
        <f t="shared" si="7"/>
        <v>0</v>
      </c>
      <c r="K61" s="103">
        <f t="shared" si="0"/>
        <v>0</v>
      </c>
      <c r="L61" s="34"/>
      <c r="M61" s="279">
        <v>0</v>
      </c>
      <c r="N61" s="280">
        <f t="shared" si="1"/>
        <v>0</v>
      </c>
      <c r="O61" s="279">
        <v>0</v>
      </c>
      <c r="P61" s="281">
        <f t="shared" si="2"/>
        <v>0</v>
      </c>
      <c r="Q61" s="282">
        <v>0</v>
      </c>
      <c r="R61" s="681">
        <f t="shared" si="3"/>
        <v>0</v>
      </c>
      <c r="S61" s="683">
        <f t="shared" si="6"/>
        <v>0</v>
      </c>
      <c r="U61" s="125">
        <v>53207010000000</v>
      </c>
      <c r="V61" s="122" t="s">
        <v>56</v>
      </c>
      <c r="W61" s="128">
        <v>0</v>
      </c>
      <c r="AG61" s="28"/>
    </row>
    <row r="62" spans="1:33" s="36" customFormat="1" ht="12.75" customHeight="1" thickBot="1" x14ac:dyDescent="0.25">
      <c r="A62" s="28"/>
      <c r="B62" s="28"/>
      <c r="C62" s="28"/>
      <c r="D62" s="28"/>
      <c r="E62" s="28"/>
      <c r="F62" s="717" t="s">
        <v>351</v>
      </c>
      <c r="G62" s="28"/>
      <c r="H62" s="28"/>
      <c r="I62" s="28"/>
      <c r="J62" s="28"/>
      <c r="K62" s="278">
        <f>SUM(K15:K61)</f>
        <v>70040524.319999993</v>
      </c>
      <c r="L62" s="28"/>
      <c r="M62" s="283">
        <f>+N62/$K$62</f>
        <v>0.58209710649407664</v>
      </c>
      <c r="N62" s="284">
        <f>SUM(N15:N61)</f>
        <v>40770386.544</v>
      </c>
      <c r="O62" s="283">
        <f>+P62/$K$62</f>
        <v>0.41790289350592347</v>
      </c>
      <c r="P62" s="284">
        <f>SUM(P15:P61)</f>
        <v>29270137.776000001</v>
      </c>
      <c r="Q62" s="283">
        <f>+R62/$K$62</f>
        <v>0</v>
      </c>
      <c r="R62" s="284">
        <f>SUM(R15:R61)</f>
        <v>0</v>
      </c>
      <c r="S62" s="28"/>
      <c r="U62" s="125">
        <v>53207020000000</v>
      </c>
      <c r="V62" s="122" t="s">
        <v>57</v>
      </c>
      <c r="W62" s="128">
        <v>150000</v>
      </c>
      <c r="AG62" s="28"/>
    </row>
    <row r="63" spans="1:33" s="36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59">
        <v>1</v>
      </c>
      <c r="L63" s="28"/>
      <c r="M63" s="28"/>
      <c r="O63" s="28"/>
      <c r="P63" s="28"/>
      <c r="Q63" s="28"/>
      <c r="R63" s="28"/>
      <c r="S63" s="28"/>
      <c r="U63" s="125">
        <v>53208020000000</v>
      </c>
      <c r="V63" s="122" t="s">
        <v>58</v>
      </c>
      <c r="W63" s="128">
        <v>0</v>
      </c>
      <c r="AG63" s="28"/>
    </row>
    <row r="64" spans="1:33" s="36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25">
        <v>53208990000000</v>
      </c>
      <c r="V64" s="122" t="s">
        <v>59</v>
      </c>
      <c r="W64" s="128">
        <v>0</v>
      </c>
      <c r="AG64" s="28"/>
    </row>
    <row r="65" spans="1:33" s="36" customFormat="1" ht="12.75" customHeight="1" x14ac:dyDescent="0.2">
      <c r="A65" s="896" t="s">
        <v>144</v>
      </c>
      <c r="B65" s="899" t="s">
        <v>121</v>
      </c>
      <c r="C65" s="116"/>
      <c r="D65" s="95"/>
      <c r="E65" s="96"/>
      <c r="F65" s="97" t="s">
        <v>120</v>
      </c>
      <c r="G65" s="89">
        <v>0</v>
      </c>
      <c r="H65" s="89">
        <v>0</v>
      </c>
      <c r="I65" s="106">
        <v>0</v>
      </c>
      <c r="J65" s="109">
        <f t="shared" si="5"/>
        <v>0</v>
      </c>
      <c r="K65" s="104">
        <f t="shared" si="0"/>
        <v>0</v>
      </c>
      <c r="L65" s="34"/>
      <c r="M65" s="28"/>
      <c r="N65" s="28"/>
      <c r="O65" s="28"/>
      <c r="P65" s="28"/>
      <c r="Q65" s="28"/>
      <c r="R65" s="28"/>
      <c r="S65" s="28"/>
      <c r="U65" s="125">
        <v>53209010000000</v>
      </c>
      <c r="V65" s="122" t="s">
        <v>60</v>
      </c>
      <c r="W65" s="128">
        <v>0</v>
      </c>
      <c r="AG65" s="28"/>
    </row>
    <row r="66" spans="1:33" s="36" customFormat="1" ht="12.75" customHeight="1" x14ac:dyDescent="0.2">
      <c r="A66" s="897"/>
      <c r="B66" s="900"/>
      <c r="C66" s="66"/>
      <c r="D66" s="98"/>
      <c r="E66" s="99"/>
      <c r="F66" s="69" t="s">
        <v>120</v>
      </c>
      <c r="G66" s="90">
        <v>0</v>
      </c>
      <c r="H66" s="90">
        <v>0</v>
      </c>
      <c r="I66" s="107">
        <v>0</v>
      </c>
      <c r="J66" s="110">
        <f t="shared" si="5"/>
        <v>0</v>
      </c>
      <c r="K66" s="105">
        <f t="shared" si="0"/>
        <v>0</v>
      </c>
      <c r="L66" s="34"/>
      <c r="M66" s="28"/>
      <c r="N66" s="28"/>
      <c r="O66" s="487"/>
      <c r="P66" s="28"/>
      <c r="Q66" s="28"/>
      <c r="R66" s="28"/>
      <c r="S66" s="28"/>
      <c r="U66" s="125">
        <v>53209040000000</v>
      </c>
      <c r="V66" s="122" t="s">
        <v>61</v>
      </c>
      <c r="W66" s="128">
        <v>0</v>
      </c>
      <c r="AG66" s="28"/>
    </row>
    <row r="67" spans="1:33" s="36" customFormat="1" ht="12.75" customHeight="1" x14ac:dyDescent="0.2">
      <c r="A67" s="897"/>
      <c r="B67" s="900"/>
      <c r="C67" s="66"/>
      <c r="D67" s="98"/>
      <c r="E67" s="99"/>
      <c r="F67" s="69" t="s">
        <v>120</v>
      </c>
      <c r="G67" s="90">
        <v>0</v>
      </c>
      <c r="H67" s="90">
        <v>0</v>
      </c>
      <c r="I67" s="107">
        <v>0</v>
      </c>
      <c r="J67" s="110">
        <f t="shared" si="5"/>
        <v>0</v>
      </c>
      <c r="K67" s="105">
        <f t="shared" si="0"/>
        <v>0</v>
      </c>
      <c r="L67" s="34"/>
      <c r="M67" s="28"/>
      <c r="N67" s="28"/>
      <c r="O67" s="28"/>
      <c r="P67" s="28"/>
      <c r="Q67" s="28"/>
      <c r="R67" s="28"/>
      <c r="S67" s="28"/>
      <c r="U67" s="125">
        <v>53209050000000</v>
      </c>
      <c r="V67" s="122" t="s">
        <v>62</v>
      </c>
      <c r="W67" s="128">
        <f>160000*12</f>
        <v>1920000</v>
      </c>
      <c r="AG67" s="28"/>
    </row>
    <row r="68" spans="1:33" s="36" customFormat="1" ht="12.75" customHeight="1" x14ac:dyDescent="0.2">
      <c r="A68" s="897"/>
      <c r="B68" s="900"/>
      <c r="C68" s="64"/>
      <c r="D68" s="100"/>
      <c r="E68" s="101"/>
      <c r="F68" s="102" t="s">
        <v>120</v>
      </c>
      <c r="G68" s="90">
        <v>0</v>
      </c>
      <c r="H68" s="90">
        <v>0</v>
      </c>
      <c r="I68" s="107">
        <v>0</v>
      </c>
      <c r="J68" s="110">
        <f t="shared" si="5"/>
        <v>0</v>
      </c>
      <c r="K68" s="105">
        <f t="shared" si="0"/>
        <v>0</v>
      </c>
      <c r="L68" s="34"/>
      <c r="M68" s="28"/>
      <c r="N68" s="28"/>
      <c r="O68" s="28"/>
      <c r="P68" s="28"/>
      <c r="Q68" s="28"/>
      <c r="R68" s="28"/>
      <c r="S68" s="28"/>
      <c r="U68" s="125">
        <v>53209990000000</v>
      </c>
      <c r="V68" s="122" t="s">
        <v>63</v>
      </c>
      <c r="W68" s="128">
        <v>0</v>
      </c>
      <c r="AG68" s="28"/>
    </row>
    <row r="69" spans="1:33" s="36" customFormat="1" ht="12.75" customHeight="1" thickBot="1" x14ac:dyDescent="0.25">
      <c r="A69" s="898"/>
      <c r="B69" s="901"/>
      <c r="C69" s="117"/>
      <c r="D69" s="91"/>
      <c r="E69" s="92"/>
      <c r="F69" s="93" t="s">
        <v>120</v>
      </c>
      <c r="G69" s="94">
        <v>0</v>
      </c>
      <c r="H69" s="94">
        <v>0</v>
      </c>
      <c r="I69" s="108">
        <v>0</v>
      </c>
      <c r="J69" s="111">
        <f t="shared" si="5"/>
        <v>0</v>
      </c>
      <c r="K69" s="103">
        <f t="shared" si="0"/>
        <v>0</v>
      </c>
      <c r="L69" s="34"/>
      <c r="M69" s="28"/>
      <c r="N69" s="28"/>
      <c r="O69" s="28"/>
      <c r="P69" s="28"/>
      <c r="Q69" s="28"/>
      <c r="R69" s="28"/>
      <c r="S69" s="28"/>
      <c r="U69" s="125">
        <v>53210020100000</v>
      </c>
      <c r="V69" s="122" t="s">
        <v>64</v>
      </c>
      <c r="W69" s="128">
        <v>0</v>
      </c>
      <c r="AG69" s="28"/>
    </row>
    <row r="70" spans="1:33" ht="15.75" x14ac:dyDescent="0.2">
      <c r="C70" s="26"/>
      <c r="D70" s="26"/>
      <c r="E70" s="38"/>
      <c r="F70" s="38"/>
      <c r="G70" s="38"/>
      <c r="H70" s="38"/>
      <c r="I70" s="38"/>
      <c r="K70" s="58">
        <f>SUM(K65:K69)</f>
        <v>0</v>
      </c>
      <c r="L70" s="34"/>
      <c r="U70" s="124"/>
      <c r="V70" s="121" t="s">
        <v>65</v>
      </c>
      <c r="W70" s="127">
        <f>SUM(W71:W77)</f>
        <v>0</v>
      </c>
    </row>
    <row r="71" spans="1:33" x14ac:dyDescent="0.2">
      <c r="K71" s="59">
        <v>1</v>
      </c>
      <c r="L71" s="34"/>
      <c r="M71" s="39"/>
      <c r="O71" s="39"/>
      <c r="Q71" s="39"/>
      <c r="U71" s="125">
        <v>53206030000000</v>
      </c>
      <c r="V71" s="122" t="s">
        <v>99</v>
      </c>
      <c r="W71" s="128">
        <v>0</v>
      </c>
    </row>
    <row r="72" spans="1:33" x14ac:dyDescent="0.2">
      <c r="L72" s="34"/>
      <c r="U72" s="125">
        <v>53206040000000</v>
      </c>
      <c r="V72" s="122" t="s">
        <v>100</v>
      </c>
      <c r="W72" s="128">
        <v>0</v>
      </c>
    </row>
    <row r="73" spans="1:33" x14ac:dyDescent="0.2">
      <c r="U73" s="125">
        <v>53206060000000</v>
      </c>
      <c r="V73" s="122" t="s">
        <v>101</v>
      </c>
      <c r="W73" s="128">
        <v>0</v>
      </c>
    </row>
    <row r="74" spans="1:33" x14ac:dyDescent="0.2">
      <c r="U74" s="125">
        <v>53206070000000</v>
      </c>
      <c r="V74" s="122" t="s">
        <v>102</v>
      </c>
      <c r="W74" s="128">
        <v>0</v>
      </c>
    </row>
    <row r="75" spans="1:33" ht="15.75" customHeight="1" x14ac:dyDescent="0.2">
      <c r="H75" s="119"/>
      <c r="U75" s="125">
        <v>53206990000000</v>
      </c>
      <c r="V75" s="122" t="s">
        <v>103</v>
      </c>
      <c r="W75" s="128">
        <v>0</v>
      </c>
    </row>
    <row r="76" spans="1:33" x14ac:dyDescent="0.2">
      <c r="U76" s="125">
        <v>53208030000000</v>
      </c>
      <c r="V76" s="122" t="s">
        <v>104</v>
      </c>
      <c r="W76" s="128">
        <v>0</v>
      </c>
    </row>
    <row r="77" spans="1:33" x14ac:dyDescent="0.2">
      <c r="U77" s="125">
        <v>53212060000000</v>
      </c>
      <c r="V77" s="122" t="s">
        <v>97</v>
      </c>
      <c r="W77" s="128">
        <v>0</v>
      </c>
    </row>
    <row r="78" spans="1:33" x14ac:dyDescent="0.2">
      <c r="U78" s="124"/>
      <c r="V78" s="121" t="s">
        <v>66</v>
      </c>
      <c r="W78" s="127">
        <f>SUM(W79:W79)</f>
        <v>0</v>
      </c>
    </row>
    <row r="79" spans="1:33" x14ac:dyDescent="0.2">
      <c r="U79" s="125">
        <v>53204999000000</v>
      </c>
      <c r="V79" s="122" t="s">
        <v>96</v>
      </c>
      <c r="W79" s="128">
        <v>0</v>
      </c>
    </row>
    <row r="80" spans="1:33" x14ac:dyDescent="0.2">
      <c r="U80" s="129"/>
      <c r="V80" s="130" t="s">
        <v>146</v>
      </c>
      <c r="W80" s="131">
        <f>+W40+W15</f>
        <v>13744200</v>
      </c>
    </row>
    <row r="83" ht="15.75" customHeight="1" x14ac:dyDescent="0.2"/>
    <row r="97" spans="11:12" x14ac:dyDescent="0.2">
      <c r="L97" s="133"/>
    </row>
    <row r="99" spans="11:12" x14ac:dyDescent="0.2">
      <c r="K99" s="142"/>
    </row>
    <row r="101" spans="11:12" x14ac:dyDescent="0.2">
      <c r="K101" s="134"/>
    </row>
  </sheetData>
  <sheetProtection algorithmName="SHA-512" hashValue="up1h49ZtwdWXb3KTceyf5D7HRoNiBWfhUMZCtgce2AJChR4WwPHjYas48o8pp6VqFm1p3mcjJqJD600tI5jMug==" saltValue="RreK92Qb7Fcxs4tE/Q+N2A==" spinCount="100000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6" priority="1" operator="equal">
      <formula>1</formula>
    </cfRule>
  </conditionalFormatting>
  <pageMargins left="0.7" right="0.7" top="0.75" bottom="0.75" header="0.3" footer="0.3"/>
  <pageSetup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K15"/>
  <sheetViews>
    <sheetView showGridLines="0" topLeftCell="C1" zoomScale="80" zoomScaleNormal="80" workbookViewId="0">
      <selection activeCell="I15" sqref="I15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9" width="14.140625" style="22" customWidth="1"/>
    <col min="10" max="10" width="15.28515625" style="22" customWidth="1"/>
    <col min="11" max="14" width="14.140625" style="22" customWidth="1"/>
    <col min="15" max="15" width="15.42578125" style="22" customWidth="1"/>
    <col min="16" max="17" width="14.140625" style="22" customWidth="1"/>
    <col min="18" max="18" width="13.28515625" style="4" customWidth="1"/>
    <col min="19" max="19" width="14.140625" style="4" bestFit="1" customWidth="1"/>
    <col min="20" max="20" width="16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1" t="s">
        <v>210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1" t="s">
        <v>202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82"/>
      <c r="F4" s="82" t="s">
        <v>0</v>
      </c>
      <c r="G4" s="940" t="str">
        <f>+'B) Reajuste Tarifas y Ocupación'!F5</f>
        <v>(DEPTO./DELEG.)</v>
      </c>
      <c r="H4" s="941"/>
      <c r="I4" s="82"/>
      <c r="J4" s="82"/>
      <c r="K4" s="82"/>
      <c r="L4" s="82"/>
      <c r="M4" s="82"/>
      <c r="N4" s="82"/>
      <c r="O4" s="82"/>
      <c r="P4" s="82"/>
      <c r="Q4" s="82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82"/>
      <c r="F5" s="82"/>
      <c r="G5" s="85"/>
      <c r="H5" s="85"/>
      <c r="I5" s="82"/>
      <c r="J5" s="82"/>
      <c r="K5" s="82"/>
      <c r="L5" s="82"/>
      <c r="M5" s="82"/>
      <c r="N5" s="82"/>
      <c r="O5" s="82"/>
      <c r="P5" s="82"/>
      <c r="Q5" s="82"/>
      <c r="IA5" s="4"/>
      <c r="IB5" s="4"/>
      <c r="IC5" s="4"/>
      <c r="ID5" s="4"/>
      <c r="IE5" s="4"/>
      <c r="IF5" s="4"/>
    </row>
    <row r="6" spans="1:245" s="6" customFormat="1" ht="15.75" x14ac:dyDescent="0.2">
      <c r="A6" s="948" t="s">
        <v>164</v>
      </c>
      <c r="B6" s="948"/>
      <c r="C6" s="948"/>
      <c r="D6" s="948"/>
      <c r="E6" s="84"/>
      <c r="F6" s="82"/>
      <c r="G6" s="85"/>
      <c r="H6" s="85"/>
      <c r="I6" s="82"/>
      <c r="J6" s="82"/>
      <c r="K6" s="82"/>
      <c r="L6" s="82"/>
      <c r="M6" s="82"/>
      <c r="N6" s="82"/>
      <c r="O6" s="82"/>
      <c r="P6" s="82"/>
      <c r="Q6" s="82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949" t="s">
        <v>113</v>
      </c>
      <c r="B8" s="951" t="s">
        <v>5</v>
      </c>
      <c r="C8" s="945" t="s">
        <v>244</v>
      </c>
      <c r="D8" s="946"/>
      <c r="E8" s="946"/>
      <c r="F8" s="946"/>
      <c r="G8" s="947"/>
      <c r="H8" s="942" t="s">
        <v>229</v>
      </c>
      <c r="I8" s="943"/>
      <c r="J8" s="943"/>
      <c r="K8" s="943"/>
      <c r="L8" s="944"/>
      <c r="M8" s="937" t="s">
        <v>124</v>
      </c>
      <c r="N8" s="938"/>
      <c r="O8" s="938"/>
      <c r="P8" s="938"/>
      <c r="Q8" s="939"/>
      <c r="R8" s="937" t="s">
        <v>125</v>
      </c>
      <c r="S8" s="938"/>
      <c r="T8" s="938"/>
      <c r="U8" s="938"/>
      <c r="V8" s="939"/>
    </row>
    <row r="9" spans="1:245" ht="64.5" thickBot="1" x14ac:dyDescent="0.25">
      <c r="A9" s="950" t="e">
        <f>NA()</f>
        <v>#N/A</v>
      </c>
      <c r="B9" s="952" t="e">
        <f>NA()</f>
        <v>#N/A</v>
      </c>
      <c r="C9" s="75" t="s">
        <v>86</v>
      </c>
      <c r="D9" s="74" t="s">
        <v>142</v>
      </c>
      <c r="E9" s="74" t="s">
        <v>143</v>
      </c>
      <c r="F9" s="74" t="s">
        <v>87</v>
      </c>
      <c r="G9" s="452" t="s">
        <v>88</v>
      </c>
      <c r="H9" s="472" t="s">
        <v>86</v>
      </c>
      <c r="I9" s="473" t="s">
        <v>142</v>
      </c>
      <c r="J9" s="473" t="s">
        <v>143</v>
      </c>
      <c r="K9" s="473" t="s">
        <v>87</v>
      </c>
      <c r="L9" s="455" t="s">
        <v>88</v>
      </c>
      <c r="M9" s="472" t="s">
        <v>86</v>
      </c>
      <c r="N9" s="473" t="s">
        <v>142</v>
      </c>
      <c r="O9" s="473" t="s">
        <v>143</v>
      </c>
      <c r="P9" s="473" t="s">
        <v>87</v>
      </c>
      <c r="Q9" s="455" t="s">
        <v>88</v>
      </c>
      <c r="R9" s="472" t="s">
        <v>86</v>
      </c>
      <c r="S9" s="473" t="s">
        <v>142</v>
      </c>
      <c r="T9" s="473" t="s">
        <v>143</v>
      </c>
      <c r="U9" s="473" t="s">
        <v>87</v>
      </c>
      <c r="V9" s="455" t="s">
        <v>88</v>
      </c>
    </row>
    <row r="10" spans="1:245" s="10" customFormat="1" x14ac:dyDescent="0.2">
      <c r="A10" s="934" t="str">
        <f>+'B) Reajuste Tarifas y Ocupación'!A12</f>
        <v>Jardín Infantil Pequeños Héroes</v>
      </c>
      <c r="B10" s="249" t="str">
        <f>+'B) Reajuste Tarifas y Ocupación'!B12</f>
        <v>Media jornada</v>
      </c>
      <c r="C10" s="561">
        <f>+'B) Reajuste Tarifas y Ocupación'!M12</f>
        <v>74300</v>
      </c>
      <c r="D10" s="562">
        <f>+'B) Reajuste Tarifas y Ocupación'!N12</f>
        <v>89100</v>
      </c>
      <c r="E10" s="562">
        <f>+'B) Reajuste Tarifas y Ocupación'!O12</f>
        <v>89100</v>
      </c>
      <c r="F10" s="562">
        <f>+'B) Reajuste Tarifas y Ocupación'!P12</f>
        <v>127300</v>
      </c>
      <c r="G10" s="258">
        <f>+'B) Reajuste Tarifas y Ocupación'!Q12</f>
        <v>187200</v>
      </c>
      <c r="H10" s="578">
        <f>+'B) Reajuste Tarifas y Ocupación'!C12</f>
        <v>70200</v>
      </c>
      <c r="I10" s="579">
        <f>+'B) Reajuste Tarifas y Ocupación'!D12</f>
        <v>84300</v>
      </c>
      <c r="J10" s="579">
        <f>+'B) Reajuste Tarifas y Ocupación'!E12</f>
        <v>84300</v>
      </c>
      <c r="K10" s="579">
        <f>+'B) Reajuste Tarifas y Ocupación'!F12</f>
        <v>120400</v>
      </c>
      <c r="L10" s="580">
        <f>+'B) Reajuste Tarifas y Ocupación'!G12</f>
        <v>177100</v>
      </c>
      <c r="M10" s="393">
        <f t="shared" ref="M10:Q11" si="0">C10-H10</f>
        <v>4100</v>
      </c>
      <c r="N10" s="398">
        <f t="shared" si="0"/>
        <v>4800</v>
      </c>
      <c r="O10" s="398">
        <f t="shared" si="0"/>
        <v>4800</v>
      </c>
      <c r="P10" s="398">
        <f t="shared" si="0"/>
        <v>6900</v>
      </c>
      <c r="Q10" s="399">
        <f t="shared" si="0"/>
        <v>10100</v>
      </c>
      <c r="R10" s="474">
        <f>+'B) Reajuste Tarifas y Ocupación'!H12</f>
        <v>5.7000000000000002E-2</v>
      </c>
      <c r="S10" s="475">
        <f>+'B) Reajuste Tarifas y Ocupación'!I12</f>
        <v>5.7000000000000002E-2</v>
      </c>
      <c r="T10" s="475">
        <f>+'B) Reajuste Tarifas y Ocupación'!J12</f>
        <v>5.7000000000000002E-2</v>
      </c>
      <c r="U10" s="475">
        <f>+'B) Reajuste Tarifas y Ocupación'!K12</f>
        <v>5.7000000000000002E-2</v>
      </c>
      <c r="V10" s="476">
        <f>+'B) Reajuste Tarifas y Ocupación'!L12</f>
        <v>5.7000000000000002E-2</v>
      </c>
    </row>
    <row r="11" spans="1:245" s="10" customFormat="1" x14ac:dyDescent="0.2">
      <c r="A11" s="935"/>
      <c r="B11" s="563" t="str">
        <f>+'B) Reajuste Tarifas y Ocupación'!B13</f>
        <v>Media jornada Extendida</v>
      </c>
      <c r="C11" s="564">
        <f>+'B) Reajuste Tarifas y Ocupación'!M13</f>
        <v>106200</v>
      </c>
      <c r="D11" s="565">
        <f>+'B) Reajuste Tarifas y Ocupación'!N13</f>
        <v>127400</v>
      </c>
      <c r="E11" s="565">
        <f>+'B) Reajuste Tarifas y Ocupación'!O13</f>
        <v>127400</v>
      </c>
      <c r="F11" s="565">
        <f>+'B) Reajuste Tarifas y Ocupación'!P13</f>
        <v>173100</v>
      </c>
      <c r="G11" s="554">
        <f>+'B) Reajuste Tarifas y Ocupación'!Q13</f>
        <v>270000</v>
      </c>
      <c r="H11" s="581">
        <f>+'B) Reajuste Tarifas y Ocupación'!C13</f>
        <v>100400</v>
      </c>
      <c r="I11" s="582">
        <f>+'B) Reajuste Tarifas y Ocupación'!D13</f>
        <v>120500</v>
      </c>
      <c r="J11" s="582">
        <f>+'B) Reajuste Tarifas y Ocupación'!E13</f>
        <v>120500</v>
      </c>
      <c r="K11" s="582">
        <f>+'B) Reajuste Tarifas y Ocupación'!F13</f>
        <v>163700</v>
      </c>
      <c r="L11" s="583">
        <f>+'B) Reajuste Tarifas y Ocupación'!G13</f>
        <v>255400</v>
      </c>
      <c r="M11" s="477">
        <f t="shared" si="0"/>
        <v>5800</v>
      </c>
      <c r="N11" s="478">
        <f t="shared" si="0"/>
        <v>6900</v>
      </c>
      <c r="O11" s="478">
        <f t="shared" si="0"/>
        <v>6900</v>
      </c>
      <c r="P11" s="478">
        <f t="shared" si="0"/>
        <v>9400</v>
      </c>
      <c r="Q11" s="567">
        <f t="shared" si="0"/>
        <v>14600</v>
      </c>
      <c r="R11" s="479">
        <f>+'B) Reajuste Tarifas y Ocupación'!H13</f>
        <v>5.7000000000000002E-2</v>
      </c>
      <c r="S11" s="480">
        <f>+'B) Reajuste Tarifas y Ocupación'!I13</f>
        <v>5.7000000000000002E-2</v>
      </c>
      <c r="T11" s="480">
        <f>+'B) Reajuste Tarifas y Ocupación'!J13</f>
        <v>5.7000000000000002E-2</v>
      </c>
      <c r="U11" s="480">
        <f>+'B) Reajuste Tarifas y Ocupación'!K13</f>
        <v>5.7000000000000002E-2</v>
      </c>
      <c r="V11" s="481">
        <f>+'B) Reajuste Tarifas y Ocupación'!L13</f>
        <v>5.7000000000000002E-2</v>
      </c>
    </row>
    <row r="12" spans="1:245" s="10" customFormat="1" ht="13.5" thickBot="1" x14ac:dyDescent="0.25">
      <c r="A12" s="936"/>
      <c r="B12" s="251" t="str">
        <f>+'B) Reajuste Tarifas y Ocupación'!B14</f>
        <v>Jornada Completa</v>
      </c>
      <c r="C12" s="336">
        <f>+'B) Reajuste Tarifas y Ocupación'!M14</f>
        <v>123800</v>
      </c>
      <c r="D12" s="566">
        <f>+'B) Reajuste Tarifas y Ocupación'!N14</f>
        <v>148600</v>
      </c>
      <c r="E12" s="566">
        <f>+'B) Reajuste Tarifas y Ocupación'!O14</f>
        <v>148600</v>
      </c>
      <c r="F12" s="566">
        <f>+'B) Reajuste Tarifas y Ocupación'!P14</f>
        <v>208300</v>
      </c>
      <c r="G12" s="555">
        <f>+'B) Reajuste Tarifas y Ocupación'!Q14</f>
        <v>331000</v>
      </c>
      <c r="H12" s="575">
        <f>+'B) Reajuste Tarifas y Ocupación'!C14</f>
        <v>117100</v>
      </c>
      <c r="I12" s="576">
        <f>+'B) Reajuste Tarifas y Ocupación'!D14</f>
        <v>140500</v>
      </c>
      <c r="J12" s="576">
        <f>+'B) Reajuste Tarifas y Ocupación'!E14</f>
        <v>140500</v>
      </c>
      <c r="K12" s="576">
        <f>+'B) Reajuste Tarifas y Ocupación'!F14</f>
        <v>197000</v>
      </c>
      <c r="L12" s="577">
        <f>+'B) Reajuste Tarifas y Ocupación'!G14</f>
        <v>313100</v>
      </c>
      <c r="M12" s="259">
        <f t="shared" ref="M12:M13" si="1">C12-H12</f>
        <v>6700</v>
      </c>
      <c r="N12" s="482">
        <f t="shared" ref="N12:N13" si="2">D12-I12</f>
        <v>8100</v>
      </c>
      <c r="O12" s="482">
        <f t="shared" ref="O12:O13" si="3">E12-J12</f>
        <v>8100</v>
      </c>
      <c r="P12" s="482">
        <f t="shared" ref="P12:P13" si="4">F12-K12</f>
        <v>11300</v>
      </c>
      <c r="Q12" s="568">
        <f t="shared" ref="Q12:Q13" si="5">G12-L12</f>
        <v>17900</v>
      </c>
      <c r="R12" s="260">
        <f>+'B) Reajuste Tarifas y Ocupación'!H14</f>
        <v>5.7000000000000002E-2</v>
      </c>
      <c r="S12" s="483">
        <f>+'B) Reajuste Tarifas y Ocupación'!I14</f>
        <v>5.7000000000000002E-2</v>
      </c>
      <c r="T12" s="483">
        <f>+'B) Reajuste Tarifas y Ocupación'!J14</f>
        <v>5.7000000000000002E-2</v>
      </c>
      <c r="U12" s="483">
        <f>+'B) Reajuste Tarifas y Ocupación'!K14</f>
        <v>5.7000000000000002E-2</v>
      </c>
      <c r="V12" s="261">
        <f>+'B) Reajuste Tarifas y Ocupación'!L14</f>
        <v>5.7000000000000002E-2</v>
      </c>
    </row>
    <row r="13" spans="1:245" x14ac:dyDescent="0.2">
      <c r="A13" s="932" t="str">
        <f>+'B) Reajuste Tarifas y Ocupación'!A15</f>
        <v>Sala Cuna Pequeños Héroes</v>
      </c>
      <c r="B13" s="557" t="str">
        <f>+'B) Reajuste Tarifas y Ocupación'!B15</f>
        <v>Diurna</v>
      </c>
      <c r="C13" s="558">
        <f>+'B) Reajuste Tarifas y Ocupación'!M15</f>
        <v>327700</v>
      </c>
      <c r="D13" s="559">
        <f>+'B) Reajuste Tarifas y Ocupación'!N15</f>
        <v>393300</v>
      </c>
      <c r="E13" s="559">
        <f>+'B) Reajuste Tarifas y Ocupación'!O15</f>
        <v>393300</v>
      </c>
      <c r="F13" s="559">
        <f>+'B) Reajuste Tarifas y Ocupación'!P15</f>
        <v>409600</v>
      </c>
      <c r="G13" s="560">
        <f>+'B) Reajuste Tarifas y Ocupación'!Q15</f>
        <v>491600</v>
      </c>
      <c r="H13" s="569">
        <f>+'B) Reajuste Tarifas y Ocupación'!C15</f>
        <v>310000</v>
      </c>
      <c r="I13" s="570">
        <f>+'B) Reajuste Tarifas y Ocupación'!D15</f>
        <v>372000</v>
      </c>
      <c r="J13" s="570">
        <f>+'B) Reajuste Tarifas y Ocupación'!E15</f>
        <v>372000</v>
      </c>
      <c r="K13" s="570">
        <f>+'B) Reajuste Tarifas y Ocupación'!F15</f>
        <v>387500</v>
      </c>
      <c r="L13" s="571">
        <f>+'B) Reajuste Tarifas y Ocupación'!G15</f>
        <v>465000</v>
      </c>
      <c r="M13" s="393">
        <f t="shared" si="1"/>
        <v>17700</v>
      </c>
      <c r="N13" s="398">
        <f t="shared" si="2"/>
        <v>21300</v>
      </c>
      <c r="O13" s="398">
        <f t="shared" si="3"/>
        <v>21300</v>
      </c>
      <c r="P13" s="398">
        <f t="shared" si="4"/>
        <v>22100</v>
      </c>
      <c r="Q13" s="399">
        <f t="shared" si="5"/>
        <v>26600</v>
      </c>
      <c r="R13" s="474">
        <f>+'B) Reajuste Tarifas y Ocupación'!H15</f>
        <v>5.7000000000000002E-2</v>
      </c>
      <c r="S13" s="475">
        <f>+'B) Reajuste Tarifas y Ocupación'!I15</f>
        <v>5.7000000000000002E-2</v>
      </c>
      <c r="T13" s="475">
        <f>+'B) Reajuste Tarifas y Ocupación'!J15</f>
        <v>5.7000000000000002E-2</v>
      </c>
      <c r="U13" s="475">
        <f>+'B) Reajuste Tarifas y Ocupación'!K15</f>
        <v>5.7000000000000002E-2</v>
      </c>
      <c r="V13" s="476">
        <f>+'B) Reajuste Tarifas y Ocupación'!L15</f>
        <v>5.7000000000000002E-2</v>
      </c>
    </row>
    <row r="14" spans="1:245" x14ac:dyDescent="0.2">
      <c r="A14" s="932"/>
      <c r="B14" s="250" t="str">
        <f>+'B) Reajuste Tarifas y Ocupación'!B16</f>
        <v>Nocturna</v>
      </c>
      <c r="C14" s="459"/>
      <c r="D14" s="460"/>
      <c r="E14" s="460"/>
      <c r="F14" s="460"/>
      <c r="G14" s="556"/>
      <c r="H14" s="572"/>
      <c r="I14" s="573"/>
      <c r="J14" s="573"/>
      <c r="K14" s="573"/>
      <c r="L14" s="574"/>
      <c r="M14" s="572"/>
      <c r="N14" s="573"/>
      <c r="O14" s="573"/>
      <c r="P14" s="573"/>
      <c r="Q14" s="574"/>
      <c r="R14" s="484"/>
      <c r="S14" s="485"/>
      <c r="T14" s="485"/>
      <c r="U14" s="485"/>
      <c r="V14" s="486"/>
    </row>
    <row r="15" spans="1:245" ht="13.5" thickBot="1" x14ac:dyDescent="0.25">
      <c r="A15" s="933"/>
      <c r="B15" s="251" t="str">
        <f>+'B) Reajuste Tarifas y Ocupación'!B17</f>
        <v>Media Jornada</v>
      </c>
      <c r="C15" s="336">
        <f>+'B) Reajuste Tarifas y Ocupación'!M17</f>
        <v>196700</v>
      </c>
      <c r="D15" s="337">
        <f>+'B) Reajuste Tarifas y Ocupación'!N17</f>
        <v>236000</v>
      </c>
      <c r="E15" s="337">
        <f>+'B) Reajuste Tarifas y Ocupación'!O17</f>
        <v>236000</v>
      </c>
      <c r="F15" s="337">
        <f>+'B) Reajuste Tarifas y Ocupación'!P17</f>
        <v>295000</v>
      </c>
      <c r="G15" s="555">
        <f>+'B) Reajuste Tarifas y Ocupación'!Q17</f>
        <v>393300</v>
      </c>
      <c r="H15" s="575">
        <f>+'B) Reajuste Tarifas y Ocupación'!C17</f>
        <v>186000</v>
      </c>
      <c r="I15" s="576">
        <f>+'B) Reajuste Tarifas y Ocupación'!D17</f>
        <v>223200</v>
      </c>
      <c r="J15" s="576">
        <f>+'B) Reajuste Tarifas y Ocupación'!E17</f>
        <v>223200</v>
      </c>
      <c r="K15" s="576">
        <f>+'B) Reajuste Tarifas y Ocupación'!F17</f>
        <v>279000</v>
      </c>
      <c r="L15" s="577">
        <f>+'B) Reajuste Tarifas y Ocupación'!G17</f>
        <v>372000</v>
      </c>
      <c r="M15" s="259">
        <f t="shared" ref="M15" si="6">C15-H15</f>
        <v>10700</v>
      </c>
      <c r="N15" s="482">
        <f t="shared" ref="N15" si="7">D15-I15</f>
        <v>12800</v>
      </c>
      <c r="O15" s="482">
        <f t="shared" ref="O15" si="8">E15-J15</f>
        <v>12800</v>
      </c>
      <c r="P15" s="482">
        <f t="shared" ref="P15" si="9">F15-K15</f>
        <v>16000</v>
      </c>
      <c r="Q15" s="568">
        <f t="shared" ref="Q15" si="10">G15-L15</f>
        <v>21300</v>
      </c>
      <c r="R15" s="260">
        <f>+'B) Reajuste Tarifas y Ocupación'!H17</f>
        <v>5.7000000000000002E-2</v>
      </c>
      <c r="S15" s="483">
        <f>+'B) Reajuste Tarifas y Ocupación'!I17</f>
        <v>5.7000000000000002E-2</v>
      </c>
      <c r="T15" s="483">
        <f>+'B) Reajuste Tarifas y Ocupación'!J17</f>
        <v>5.7000000000000002E-2</v>
      </c>
      <c r="U15" s="483">
        <f>+'B) Reajuste Tarifas y Ocupación'!K17</f>
        <v>5.7000000000000002E-2</v>
      </c>
      <c r="V15" s="261">
        <f>+'B) Reajuste Tarifas y Ocupación'!L17</f>
        <v>5.7000000000000002E-2</v>
      </c>
    </row>
  </sheetData>
  <sheetProtection algorithmName="SHA-512" hashValue="CVg5rMDfMzTSE4f+DhQFb5UU0cKZ3Kdw9LqtNoOkbYkaBBMFgiV/5oLRV5G5EjVCPcFLy/SpxwR7yN6lLjeb0g==" saltValue="OlgGN9g+yPOONPxcnbEqNQ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5" priority="7" operator="lessThan">
      <formula>0</formula>
    </cfRule>
  </conditionalFormatting>
  <conditionalFormatting sqref="H14:L14">
    <cfRule type="cellIs" dxfId="4" priority="6" operator="lessThan">
      <formula>0</formula>
    </cfRule>
  </conditionalFormatting>
  <conditionalFormatting sqref="R14:V14">
    <cfRule type="cellIs" dxfId="3" priority="3" operator="lessThan">
      <formula>0</formula>
    </cfRule>
  </conditionalFormatting>
  <conditionalFormatting sqref="R14:V14">
    <cfRule type="cellIs" dxfId="2" priority="4" operator="lessThan">
      <formula>0</formula>
    </cfRule>
  </conditionalFormatting>
  <conditionalFormatting sqref="M13:Q13 M15:Q15">
    <cfRule type="cellIs" dxfId="1" priority="2" operator="lessThan">
      <formula>0</formula>
    </cfRule>
  </conditionalFormatting>
  <conditionalFormatting sqref="M14:Q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Y49"/>
  <sheetViews>
    <sheetView showGridLines="0" topLeftCell="A4" zoomScale="80" zoomScaleNormal="80" workbookViewId="0">
      <selection activeCell="L28" sqref="L28:L35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8.7109375" style="28" customWidth="1"/>
    <col min="7" max="8" width="14.85546875" style="28" customWidth="1"/>
    <col min="9" max="9" width="15" style="28" customWidth="1"/>
    <col min="10" max="10" width="15.140625" style="28" customWidth="1"/>
    <col min="11" max="11" width="19.140625" style="28" customWidth="1"/>
    <col min="12" max="12" width="23.85546875" style="28" customWidth="1"/>
    <col min="13" max="13" width="16.140625" style="28" customWidth="1"/>
    <col min="14" max="14" width="17.140625" style="28" customWidth="1"/>
    <col min="15" max="15" width="20.7109375" style="28" customWidth="1"/>
    <col min="16" max="16" width="17.7109375" style="28" customWidth="1"/>
    <col min="17" max="17" width="17.140625" style="28" customWidth="1"/>
    <col min="18" max="18" width="18.140625" style="40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5703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1" t="s">
        <v>211</v>
      </c>
      <c r="F1" s="41"/>
      <c r="G1" s="41"/>
      <c r="H1" s="41"/>
      <c r="I1" s="41"/>
      <c r="J1" s="41"/>
      <c r="K1" s="7"/>
      <c r="IM1" s="4"/>
      <c r="IN1" s="4"/>
    </row>
    <row r="2" spans="2:259" s="6" customFormat="1" x14ac:dyDescent="0.2">
      <c r="E2" s="41" t="s">
        <v>203</v>
      </c>
      <c r="F2" s="41"/>
      <c r="G2" s="41"/>
      <c r="H2" s="41"/>
      <c r="I2" s="41"/>
      <c r="J2" s="41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81" t="s">
        <v>0</v>
      </c>
      <c r="E4" s="143" t="str">
        <f>+'B) Reajuste Tarifas y Ocupación'!F5</f>
        <v>(DEPTO./DELEG.)</v>
      </c>
      <c r="F4" s="53"/>
      <c r="G4" s="54"/>
      <c r="H4" s="54"/>
      <c r="I4" s="54"/>
      <c r="J4" s="54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82"/>
      <c r="E5" s="85"/>
      <c r="F5" s="85"/>
      <c r="G5" s="85"/>
      <c r="H5" s="509"/>
      <c r="I5" s="85"/>
      <c r="J5" s="85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82"/>
      <c r="E6" s="85"/>
      <c r="F6" s="85"/>
      <c r="G6" s="85"/>
      <c r="H6" s="509"/>
      <c r="I6" s="85"/>
      <c r="J6" s="85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814" t="s">
        <v>165</v>
      </c>
      <c r="C7" s="814"/>
      <c r="D7" s="814"/>
      <c r="E7" s="814"/>
      <c r="F7" s="83"/>
      <c r="G7" s="55" t="s">
        <v>4</v>
      </c>
      <c r="H7" s="56">
        <v>7.1999999999999995E-2</v>
      </c>
      <c r="I7" s="83"/>
      <c r="J7" s="83"/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2.75" customHeight="1" x14ac:dyDescent="0.2">
      <c r="B9" s="884" t="s">
        <v>113</v>
      </c>
      <c r="C9" s="962" t="s">
        <v>73</v>
      </c>
      <c r="D9" s="888" t="s">
        <v>74</v>
      </c>
      <c r="E9" s="890" t="s">
        <v>3</v>
      </c>
      <c r="F9" s="959" t="s">
        <v>81</v>
      </c>
      <c r="G9" s="884" t="s">
        <v>273</v>
      </c>
      <c r="H9" s="975" t="s">
        <v>274</v>
      </c>
      <c r="I9" s="912" t="s">
        <v>275</v>
      </c>
      <c r="J9" s="980" t="s">
        <v>116</v>
      </c>
      <c r="K9" s="975" t="s">
        <v>247</v>
      </c>
      <c r="L9" s="977" t="s">
        <v>114</v>
      </c>
      <c r="O9" s="27"/>
      <c r="P9" s="27"/>
      <c r="Q9" s="27"/>
      <c r="R9" s="27"/>
      <c r="S9" s="27"/>
      <c r="T9" s="27"/>
    </row>
    <row r="10" spans="2:259" ht="30" customHeight="1" thickBot="1" x14ac:dyDescent="0.25">
      <c r="B10" s="961"/>
      <c r="C10" s="963"/>
      <c r="D10" s="964"/>
      <c r="E10" s="965"/>
      <c r="F10" s="960"/>
      <c r="G10" s="961"/>
      <c r="H10" s="982"/>
      <c r="I10" s="979"/>
      <c r="J10" s="981"/>
      <c r="K10" s="976"/>
      <c r="L10" s="978"/>
      <c r="M10" s="29"/>
      <c r="N10" s="49"/>
      <c r="O10" s="49"/>
      <c r="P10" s="20"/>
      <c r="Q10" s="20"/>
      <c r="R10" s="20"/>
      <c r="S10" s="29"/>
      <c r="T10" s="953"/>
      <c r="U10" s="953"/>
      <c r="V10" s="953"/>
      <c r="W10" s="953"/>
      <c r="X10" s="29"/>
    </row>
    <row r="11" spans="2:259" s="2" customFormat="1" ht="13.5" thickBot="1" x14ac:dyDescent="0.25">
      <c r="B11" s="954" t="str">
        <f>+'B) Reajuste Tarifas y Ocupación'!A12</f>
        <v>Jardín Infantil Pequeños Héroes</v>
      </c>
      <c r="C11" s="725" t="s">
        <v>360</v>
      </c>
      <c r="D11" s="341" t="s">
        <v>130</v>
      </c>
      <c r="E11" s="341" t="s">
        <v>136</v>
      </c>
      <c r="F11" s="381" t="s">
        <v>232</v>
      </c>
      <c r="G11" s="718">
        <v>10005072</v>
      </c>
      <c r="H11" s="585">
        <f>+G11*(1+$H$7)</f>
        <v>10725437.184</v>
      </c>
      <c r="I11" s="719">
        <v>390000</v>
      </c>
      <c r="J11" s="731">
        <v>132398</v>
      </c>
      <c r="K11" s="728">
        <f>SUM(H11:J11)</f>
        <v>11247835.184</v>
      </c>
      <c r="L11" s="956">
        <f>SUM(K11:K27)</f>
        <v>53365037.765333354</v>
      </c>
      <c r="M11" s="685" t="s">
        <v>352</v>
      </c>
      <c r="N11" s="33"/>
      <c r="O11" s="720">
        <v>10725437</v>
      </c>
      <c r="P11" s="728">
        <v>11247835</v>
      </c>
      <c r="Q11" s="50"/>
      <c r="R11" s="50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955"/>
      <c r="C12" s="746" t="s">
        <v>130</v>
      </c>
      <c r="D12" s="686" t="s">
        <v>130</v>
      </c>
      <c r="E12" s="757" t="s">
        <v>136</v>
      </c>
      <c r="F12" s="758" t="s">
        <v>232</v>
      </c>
      <c r="G12" s="759">
        <f>(7191285/9)*8</f>
        <v>6392253.333333333</v>
      </c>
      <c r="H12" s="688">
        <f t="shared" ref="H12:H24" si="0">+G12*(1+$H$7)</f>
        <v>6852495.5733333332</v>
      </c>
      <c r="I12" s="748">
        <v>190000</v>
      </c>
      <c r="J12" s="749">
        <v>0</v>
      </c>
      <c r="K12" s="729">
        <f>SUM(H12:J12)</f>
        <v>7042495.5733333332</v>
      </c>
      <c r="L12" s="957"/>
      <c r="M12" s="685" t="s">
        <v>370</v>
      </c>
      <c r="N12" s="33"/>
      <c r="O12" s="721">
        <f>856562*9</f>
        <v>7709058</v>
      </c>
      <c r="P12" s="724">
        <v>8032102</v>
      </c>
      <c r="Q12" s="696"/>
      <c r="R12" s="696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955"/>
      <c r="C13" s="382" t="s">
        <v>357</v>
      </c>
      <c r="D13" s="383" t="s">
        <v>316</v>
      </c>
      <c r="E13" s="383" t="s">
        <v>137</v>
      </c>
      <c r="F13" s="384" t="s">
        <v>232</v>
      </c>
      <c r="G13" s="726">
        <v>3944152</v>
      </c>
      <c r="H13" s="585">
        <f t="shared" si="0"/>
        <v>4228130.9440000001</v>
      </c>
      <c r="I13" s="723">
        <v>190000</v>
      </c>
      <c r="J13" s="732">
        <v>133044</v>
      </c>
      <c r="K13" s="724">
        <f t="shared" ref="K13:K35" si="1">SUM(H13:J13)</f>
        <v>4551174.9440000001</v>
      </c>
      <c r="L13" s="957"/>
      <c r="M13" s="29"/>
      <c r="N13" s="33"/>
      <c r="O13" s="722">
        <v>4228131</v>
      </c>
      <c r="P13" s="724">
        <v>4551175</v>
      </c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955"/>
      <c r="C14" s="382" t="s">
        <v>356</v>
      </c>
      <c r="D14" s="383" t="s">
        <v>130</v>
      </c>
      <c r="E14" s="383" t="s">
        <v>137</v>
      </c>
      <c r="F14" s="384" t="s">
        <v>232</v>
      </c>
      <c r="G14" s="726">
        <v>3547852</v>
      </c>
      <c r="H14" s="585">
        <f t="shared" si="0"/>
        <v>3803297.344</v>
      </c>
      <c r="I14" s="723">
        <v>190000</v>
      </c>
      <c r="J14" s="732">
        <v>133044</v>
      </c>
      <c r="K14" s="724">
        <f t="shared" si="1"/>
        <v>4126341.344</v>
      </c>
      <c r="L14" s="957"/>
      <c r="M14" s="29"/>
      <c r="N14" s="33"/>
      <c r="O14" s="722">
        <v>3803298</v>
      </c>
      <c r="P14" s="724">
        <v>4126342</v>
      </c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955"/>
      <c r="C15" s="382" t="s">
        <v>321</v>
      </c>
      <c r="D15" s="383" t="s">
        <v>130</v>
      </c>
      <c r="E15" s="383" t="s">
        <v>137</v>
      </c>
      <c r="F15" s="384" t="s">
        <v>232</v>
      </c>
      <c r="G15" s="726">
        <v>5803870</v>
      </c>
      <c r="H15" s="585">
        <f t="shared" si="0"/>
        <v>6221748.6400000006</v>
      </c>
      <c r="I15" s="723">
        <v>190000</v>
      </c>
      <c r="J15" s="732">
        <v>133044</v>
      </c>
      <c r="K15" s="724">
        <f t="shared" si="1"/>
        <v>6544792.6400000006</v>
      </c>
      <c r="L15" s="957"/>
      <c r="M15" s="29"/>
      <c r="N15" s="33"/>
      <c r="O15" s="722">
        <v>6221749</v>
      </c>
      <c r="P15" s="724">
        <v>6544793</v>
      </c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955"/>
      <c r="C16" s="746" t="s">
        <v>130</v>
      </c>
      <c r="D16" s="686" t="s">
        <v>130</v>
      </c>
      <c r="E16" s="686" t="s">
        <v>137</v>
      </c>
      <c r="F16" s="687" t="s">
        <v>232</v>
      </c>
      <c r="G16" s="734">
        <v>352155</v>
      </c>
      <c r="H16" s="688">
        <f t="shared" si="0"/>
        <v>377510.16000000003</v>
      </c>
      <c r="I16" s="748">
        <v>100000</v>
      </c>
      <c r="J16" s="749">
        <v>0</v>
      </c>
      <c r="K16" s="724">
        <f t="shared" si="1"/>
        <v>477510.16000000003</v>
      </c>
      <c r="L16" s="957"/>
      <c r="M16" s="685" t="s">
        <v>355</v>
      </c>
      <c r="N16" s="33"/>
      <c r="O16" s="747">
        <v>377510</v>
      </c>
      <c r="P16" s="724">
        <v>477510</v>
      </c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955"/>
      <c r="C17" s="382" t="s">
        <v>130</v>
      </c>
      <c r="D17" s="383" t="s">
        <v>130</v>
      </c>
      <c r="E17" s="383" t="s">
        <v>137</v>
      </c>
      <c r="F17" s="384" t="s">
        <v>232</v>
      </c>
      <c r="G17" s="726">
        <v>3350172</v>
      </c>
      <c r="H17" s="585">
        <f t="shared" si="0"/>
        <v>3591384.3840000001</v>
      </c>
      <c r="I17" s="723">
        <v>190000</v>
      </c>
      <c r="J17" s="733">
        <v>0</v>
      </c>
      <c r="K17" s="724">
        <f t="shared" si="1"/>
        <v>3781384.3840000001</v>
      </c>
      <c r="L17" s="957"/>
      <c r="M17" s="966" t="s">
        <v>363</v>
      </c>
      <c r="N17" s="33"/>
      <c r="O17" s="722">
        <v>3591384</v>
      </c>
      <c r="P17" s="724">
        <v>3914428</v>
      </c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955"/>
      <c r="C18" s="382" t="s">
        <v>130</v>
      </c>
      <c r="D18" s="383" t="s">
        <v>130</v>
      </c>
      <c r="E18" s="383" t="s">
        <v>137</v>
      </c>
      <c r="F18" s="384" t="s">
        <v>232</v>
      </c>
      <c r="G18" s="726">
        <v>3350172</v>
      </c>
      <c r="H18" s="585">
        <f t="shared" si="0"/>
        <v>3591384.3840000001</v>
      </c>
      <c r="I18" s="723">
        <v>190000</v>
      </c>
      <c r="J18" s="733">
        <v>0</v>
      </c>
      <c r="K18" s="724">
        <f t="shared" si="1"/>
        <v>3781384.3840000001</v>
      </c>
      <c r="L18" s="957"/>
      <c r="M18" s="966"/>
      <c r="N18" s="33"/>
      <c r="O18" s="585">
        <v>3591384</v>
      </c>
      <c r="P18" s="724">
        <v>3914428</v>
      </c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955"/>
      <c r="C19" s="382" t="s">
        <v>130</v>
      </c>
      <c r="D19" s="383" t="s">
        <v>130</v>
      </c>
      <c r="E19" s="383" t="s">
        <v>137</v>
      </c>
      <c r="F19" s="384" t="s">
        <v>232</v>
      </c>
      <c r="G19" s="750">
        <v>3350172</v>
      </c>
      <c r="H19" s="585">
        <f t="shared" si="0"/>
        <v>3591384.3840000001</v>
      </c>
      <c r="I19" s="723">
        <v>190000</v>
      </c>
      <c r="J19" s="733">
        <v>0</v>
      </c>
      <c r="K19" s="729">
        <f t="shared" si="1"/>
        <v>3781384.3840000001</v>
      </c>
      <c r="L19" s="957"/>
      <c r="M19" s="966"/>
      <c r="N19" s="33"/>
      <c r="O19" s="688">
        <v>3591384</v>
      </c>
      <c r="P19" s="729">
        <v>3914428</v>
      </c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327" customFormat="1" x14ac:dyDescent="0.2">
      <c r="B20" s="955"/>
      <c r="C20" s="382"/>
      <c r="D20" s="383"/>
      <c r="E20" s="686"/>
      <c r="F20" s="687"/>
      <c r="G20" s="750"/>
      <c r="H20" s="585">
        <f t="shared" si="0"/>
        <v>0</v>
      </c>
      <c r="I20" s="723"/>
      <c r="J20" s="733"/>
      <c r="K20" s="729"/>
      <c r="L20" s="958"/>
      <c r="M20" s="966"/>
      <c r="N20" s="335"/>
      <c r="O20" s="688"/>
      <c r="P20" s="729"/>
      <c r="Q20" s="330"/>
      <c r="R20" s="330"/>
      <c r="S20" s="333"/>
      <c r="T20" s="332"/>
      <c r="U20" s="332"/>
      <c r="V20" s="332"/>
      <c r="W20" s="332"/>
      <c r="X20" s="334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328"/>
      <c r="BF20" s="328"/>
      <c r="BG20" s="328"/>
      <c r="BH20" s="328"/>
      <c r="BI20" s="328"/>
      <c r="BJ20" s="328"/>
      <c r="BK20" s="328"/>
      <c r="BL20" s="328"/>
      <c r="BM20" s="328"/>
      <c r="BN20" s="328"/>
      <c r="BO20" s="328"/>
      <c r="BP20" s="328"/>
      <c r="BQ20" s="328"/>
      <c r="BR20" s="328"/>
      <c r="BS20" s="328"/>
      <c r="BT20" s="328"/>
      <c r="BU20" s="328"/>
      <c r="BV20" s="328"/>
      <c r="BW20" s="328"/>
      <c r="BX20" s="328"/>
      <c r="BY20" s="328"/>
      <c r="BZ20" s="328"/>
      <c r="CA20" s="328"/>
      <c r="CB20" s="328"/>
      <c r="CC20" s="328"/>
      <c r="CD20" s="328"/>
      <c r="CE20" s="328"/>
      <c r="CF20" s="328"/>
      <c r="CG20" s="328"/>
      <c r="CH20" s="328"/>
      <c r="CI20" s="328"/>
      <c r="CJ20" s="328"/>
      <c r="CK20" s="328"/>
      <c r="CL20" s="328"/>
      <c r="CM20" s="328"/>
      <c r="CN20" s="328"/>
      <c r="CO20" s="328"/>
      <c r="CP20" s="328"/>
      <c r="CQ20" s="328"/>
      <c r="CR20" s="328"/>
      <c r="CS20" s="328"/>
      <c r="CT20" s="328"/>
      <c r="CU20" s="328"/>
      <c r="CV20" s="328"/>
      <c r="CW20" s="328"/>
      <c r="CX20" s="328"/>
      <c r="CY20" s="328"/>
      <c r="CZ20" s="328"/>
      <c r="DA20" s="328"/>
      <c r="DB20" s="328"/>
      <c r="DC20" s="328"/>
      <c r="DD20" s="328"/>
      <c r="DE20" s="328"/>
      <c r="DF20" s="328"/>
      <c r="DG20" s="328"/>
      <c r="DH20" s="328"/>
      <c r="DI20" s="328"/>
      <c r="DJ20" s="328"/>
      <c r="DK20" s="328"/>
      <c r="DL20" s="328"/>
      <c r="DM20" s="328"/>
      <c r="DN20" s="328"/>
      <c r="DO20" s="328"/>
      <c r="DP20" s="328"/>
      <c r="DQ20" s="328"/>
      <c r="DR20" s="328"/>
      <c r="DS20" s="328"/>
      <c r="DT20" s="328"/>
      <c r="DU20" s="328"/>
      <c r="DV20" s="328"/>
      <c r="DW20" s="328"/>
      <c r="DX20" s="328"/>
      <c r="DY20" s="328"/>
      <c r="DZ20" s="328"/>
      <c r="EA20" s="328"/>
      <c r="EB20" s="328"/>
      <c r="EC20" s="328"/>
      <c r="ED20" s="328"/>
      <c r="EE20" s="328"/>
      <c r="EF20" s="328"/>
      <c r="EG20" s="328"/>
      <c r="EH20" s="328"/>
      <c r="EI20" s="328"/>
      <c r="EJ20" s="328"/>
      <c r="EK20" s="328"/>
      <c r="EL20" s="328"/>
      <c r="EM20" s="328"/>
      <c r="EN20" s="328"/>
      <c r="EO20" s="328"/>
      <c r="EP20" s="328"/>
      <c r="EQ20" s="328"/>
      <c r="ER20" s="328"/>
      <c r="ES20" s="328"/>
      <c r="ET20" s="328"/>
      <c r="EU20" s="328"/>
      <c r="EV20" s="328"/>
      <c r="EW20" s="328"/>
      <c r="EX20" s="328"/>
      <c r="EY20" s="328"/>
      <c r="EZ20" s="328"/>
      <c r="FA20" s="328"/>
      <c r="FB20" s="328"/>
      <c r="FC20" s="328"/>
      <c r="FD20" s="328"/>
      <c r="FE20" s="328"/>
      <c r="FF20" s="328"/>
      <c r="FG20" s="328"/>
      <c r="FH20" s="328"/>
      <c r="FI20" s="328"/>
      <c r="FJ20" s="328"/>
      <c r="FK20" s="328"/>
      <c r="FL20" s="328"/>
      <c r="FM20" s="328"/>
      <c r="FN20" s="328"/>
      <c r="FO20" s="328"/>
      <c r="FP20" s="328"/>
      <c r="FQ20" s="328"/>
      <c r="FR20" s="328"/>
      <c r="FS20" s="328"/>
      <c r="FT20" s="328"/>
      <c r="FU20" s="328"/>
      <c r="FV20" s="328"/>
      <c r="FW20" s="328"/>
      <c r="FX20" s="328"/>
      <c r="FY20" s="328"/>
      <c r="FZ20" s="328"/>
      <c r="GA20" s="328"/>
      <c r="GB20" s="328"/>
      <c r="GC20" s="328"/>
      <c r="GD20" s="328"/>
      <c r="GE20" s="328"/>
      <c r="GF20" s="328"/>
      <c r="GG20" s="328"/>
      <c r="GH20" s="328"/>
      <c r="GI20" s="328"/>
      <c r="GJ20" s="328"/>
      <c r="GK20" s="328"/>
      <c r="GL20" s="328"/>
      <c r="GM20" s="328"/>
      <c r="GN20" s="328"/>
      <c r="GO20" s="328"/>
      <c r="GP20" s="328"/>
      <c r="GQ20" s="328"/>
      <c r="GR20" s="328"/>
      <c r="GS20" s="328"/>
      <c r="GT20" s="328"/>
      <c r="GU20" s="328"/>
      <c r="GV20" s="328"/>
      <c r="GW20" s="328"/>
      <c r="GX20" s="328"/>
      <c r="GY20" s="328"/>
      <c r="GZ20" s="328"/>
      <c r="HA20" s="328"/>
      <c r="HB20" s="328"/>
      <c r="HC20" s="328"/>
      <c r="HD20" s="328"/>
      <c r="HE20" s="328"/>
      <c r="HF20" s="328"/>
      <c r="HG20" s="328"/>
      <c r="HH20" s="328"/>
      <c r="HI20" s="328"/>
      <c r="HJ20" s="328"/>
      <c r="HK20" s="328"/>
      <c r="HL20" s="328"/>
      <c r="HM20" s="328"/>
      <c r="HN20" s="328"/>
      <c r="HO20" s="328"/>
      <c r="HP20" s="328"/>
      <c r="HQ20" s="328"/>
      <c r="HR20" s="328"/>
      <c r="HS20" s="328"/>
      <c r="HT20" s="328"/>
      <c r="HU20" s="328"/>
      <c r="HV20" s="328"/>
      <c r="HW20" s="328"/>
      <c r="HX20" s="328"/>
      <c r="HY20" s="328"/>
      <c r="HZ20" s="328"/>
      <c r="IA20" s="328"/>
      <c r="IB20" s="328"/>
      <c r="IC20" s="328"/>
      <c r="ID20" s="328"/>
      <c r="IE20" s="328"/>
      <c r="IF20" s="328"/>
      <c r="IG20" s="328"/>
      <c r="IH20" s="328"/>
      <c r="II20" s="328"/>
      <c r="IJ20" s="328"/>
      <c r="IK20" s="328"/>
      <c r="IL20" s="328"/>
      <c r="IM20" s="328"/>
      <c r="IN20" s="328"/>
      <c r="IO20" s="328"/>
      <c r="IP20" s="328"/>
      <c r="IQ20" s="328"/>
      <c r="IR20" s="328"/>
      <c r="IS20" s="328"/>
      <c r="IT20" s="328"/>
      <c r="IU20" s="328"/>
      <c r="IV20" s="328"/>
      <c r="IW20" s="328"/>
      <c r="IX20" s="328"/>
      <c r="IY20" s="328"/>
    </row>
    <row r="21" spans="2:259" s="327" customFormat="1" x14ac:dyDescent="0.2">
      <c r="B21" s="955"/>
      <c r="C21" s="382"/>
      <c r="D21" s="383"/>
      <c r="E21" s="686"/>
      <c r="F21" s="687"/>
      <c r="G21" s="750"/>
      <c r="H21" s="585">
        <f t="shared" si="0"/>
        <v>0</v>
      </c>
      <c r="I21" s="723"/>
      <c r="J21" s="733"/>
      <c r="K21" s="729"/>
      <c r="L21" s="958"/>
      <c r="M21" s="685"/>
      <c r="N21" s="335"/>
      <c r="O21" s="688"/>
      <c r="P21" s="729"/>
      <c r="Q21" s="330"/>
      <c r="R21" s="330"/>
      <c r="S21" s="333"/>
      <c r="T21" s="332"/>
      <c r="U21" s="332"/>
      <c r="V21" s="332"/>
      <c r="W21" s="332"/>
      <c r="X21" s="334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8"/>
      <c r="AU21" s="328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8"/>
      <c r="BK21" s="328"/>
      <c r="BL21" s="328"/>
      <c r="BM21" s="328"/>
      <c r="BN21" s="328"/>
      <c r="BO21" s="328"/>
      <c r="BP21" s="328"/>
      <c r="BQ21" s="328"/>
      <c r="BR21" s="328"/>
      <c r="BS21" s="328"/>
      <c r="BT21" s="328"/>
      <c r="BU21" s="328"/>
      <c r="BV21" s="328"/>
      <c r="BW21" s="328"/>
      <c r="BX21" s="328"/>
      <c r="BY21" s="328"/>
      <c r="BZ21" s="328"/>
      <c r="CA21" s="328"/>
      <c r="CB21" s="328"/>
      <c r="CC21" s="328"/>
      <c r="CD21" s="328"/>
      <c r="CE21" s="328"/>
      <c r="CF21" s="328"/>
      <c r="CG21" s="328"/>
      <c r="CH21" s="328"/>
      <c r="CI21" s="328"/>
      <c r="CJ21" s="328"/>
      <c r="CK21" s="328"/>
      <c r="CL21" s="328"/>
      <c r="CM21" s="328"/>
      <c r="CN21" s="328"/>
      <c r="CO21" s="328"/>
      <c r="CP21" s="328"/>
      <c r="CQ21" s="328"/>
      <c r="CR21" s="328"/>
      <c r="CS21" s="328"/>
      <c r="CT21" s="328"/>
      <c r="CU21" s="328"/>
      <c r="CV21" s="328"/>
      <c r="CW21" s="328"/>
      <c r="CX21" s="328"/>
      <c r="CY21" s="328"/>
      <c r="CZ21" s="328"/>
      <c r="DA21" s="328"/>
      <c r="DB21" s="328"/>
      <c r="DC21" s="328"/>
      <c r="DD21" s="328"/>
      <c r="DE21" s="328"/>
      <c r="DF21" s="328"/>
      <c r="DG21" s="328"/>
      <c r="DH21" s="328"/>
      <c r="DI21" s="328"/>
      <c r="DJ21" s="328"/>
      <c r="DK21" s="328"/>
      <c r="DL21" s="328"/>
      <c r="DM21" s="328"/>
      <c r="DN21" s="328"/>
      <c r="DO21" s="328"/>
      <c r="DP21" s="328"/>
      <c r="DQ21" s="328"/>
      <c r="DR21" s="328"/>
      <c r="DS21" s="328"/>
      <c r="DT21" s="328"/>
      <c r="DU21" s="328"/>
      <c r="DV21" s="328"/>
      <c r="DW21" s="328"/>
      <c r="DX21" s="328"/>
      <c r="DY21" s="328"/>
      <c r="DZ21" s="328"/>
      <c r="EA21" s="328"/>
      <c r="EB21" s="328"/>
      <c r="EC21" s="328"/>
      <c r="ED21" s="328"/>
      <c r="EE21" s="328"/>
      <c r="EF21" s="328"/>
      <c r="EG21" s="328"/>
      <c r="EH21" s="328"/>
      <c r="EI21" s="328"/>
      <c r="EJ21" s="328"/>
      <c r="EK21" s="328"/>
      <c r="EL21" s="328"/>
      <c r="EM21" s="328"/>
      <c r="EN21" s="328"/>
      <c r="EO21" s="328"/>
      <c r="EP21" s="328"/>
      <c r="EQ21" s="328"/>
      <c r="ER21" s="328"/>
      <c r="ES21" s="328"/>
      <c r="ET21" s="328"/>
      <c r="EU21" s="328"/>
      <c r="EV21" s="328"/>
      <c r="EW21" s="328"/>
      <c r="EX21" s="328"/>
      <c r="EY21" s="328"/>
      <c r="EZ21" s="328"/>
      <c r="FA21" s="328"/>
      <c r="FB21" s="328"/>
      <c r="FC21" s="328"/>
      <c r="FD21" s="328"/>
      <c r="FE21" s="328"/>
      <c r="FF21" s="328"/>
      <c r="FG21" s="328"/>
      <c r="FH21" s="328"/>
      <c r="FI21" s="328"/>
      <c r="FJ21" s="328"/>
      <c r="FK21" s="328"/>
      <c r="FL21" s="328"/>
      <c r="FM21" s="328"/>
      <c r="FN21" s="328"/>
      <c r="FO21" s="328"/>
      <c r="FP21" s="328"/>
      <c r="FQ21" s="328"/>
      <c r="FR21" s="328"/>
      <c r="FS21" s="328"/>
      <c r="FT21" s="328"/>
      <c r="FU21" s="328"/>
      <c r="FV21" s="328"/>
      <c r="FW21" s="328"/>
      <c r="FX21" s="328"/>
      <c r="FY21" s="328"/>
      <c r="FZ21" s="328"/>
      <c r="GA21" s="328"/>
      <c r="GB21" s="328"/>
      <c r="GC21" s="328"/>
      <c r="GD21" s="328"/>
      <c r="GE21" s="328"/>
      <c r="GF21" s="328"/>
      <c r="GG21" s="328"/>
      <c r="GH21" s="328"/>
      <c r="GI21" s="328"/>
      <c r="GJ21" s="328"/>
      <c r="GK21" s="328"/>
      <c r="GL21" s="328"/>
      <c r="GM21" s="328"/>
      <c r="GN21" s="328"/>
      <c r="GO21" s="328"/>
      <c r="GP21" s="328"/>
      <c r="GQ21" s="328"/>
      <c r="GR21" s="328"/>
      <c r="GS21" s="328"/>
      <c r="GT21" s="328"/>
      <c r="GU21" s="328"/>
      <c r="GV21" s="328"/>
      <c r="GW21" s="328"/>
      <c r="GX21" s="328"/>
      <c r="GY21" s="328"/>
      <c r="GZ21" s="328"/>
      <c r="HA21" s="328"/>
      <c r="HB21" s="328"/>
      <c r="HC21" s="328"/>
      <c r="HD21" s="328"/>
      <c r="HE21" s="328"/>
      <c r="HF21" s="328"/>
      <c r="HG21" s="328"/>
      <c r="HH21" s="328"/>
      <c r="HI21" s="328"/>
      <c r="HJ21" s="328"/>
      <c r="HK21" s="328"/>
      <c r="HL21" s="328"/>
      <c r="HM21" s="328"/>
      <c r="HN21" s="328"/>
      <c r="HO21" s="328"/>
      <c r="HP21" s="328"/>
      <c r="HQ21" s="328"/>
      <c r="HR21" s="328"/>
      <c r="HS21" s="328"/>
      <c r="HT21" s="328"/>
      <c r="HU21" s="328"/>
      <c r="HV21" s="328"/>
      <c r="HW21" s="328"/>
      <c r="HX21" s="328"/>
      <c r="HY21" s="328"/>
      <c r="HZ21" s="328"/>
      <c r="IA21" s="328"/>
      <c r="IB21" s="328"/>
      <c r="IC21" s="328"/>
      <c r="ID21" s="328"/>
      <c r="IE21" s="328"/>
      <c r="IF21" s="328"/>
      <c r="IG21" s="328"/>
      <c r="IH21" s="328"/>
      <c r="II21" s="328"/>
      <c r="IJ21" s="328"/>
      <c r="IK21" s="328"/>
      <c r="IL21" s="328"/>
      <c r="IM21" s="328"/>
      <c r="IN21" s="328"/>
      <c r="IO21" s="328"/>
      <c r="IP21" s="328"/>
      <c r="IQ21" s="328"/>
      <c r="IR21" s="328"/>
      <c r="IS21" s="328"/>
      <c r="IT21" s="328"/>
      <c r="IU21" s="328"/>
      <c r="IV21" s="328"/>
      <c r="IW21" s="328"/>
      <c r="IX21" s="328"/>
      <c r="IY21" s="328"/>
    </row>
    <row r="22" spans="2:259" s="2" customFormat="1" x14ac:dyDescent="0.2">
      <c r="B22" s="955"/>
      <c r="C22" s="382" t="s">
        <v>130</v>
      </c>
      <c r="D22" s="383" t="s">
        <v>318</v>
      </c>
      <c r="E22" s="383" t="s">
        <v>138</v>
      </c>
      <c r="F22" s="384" t="s">
        <v>232</v>
      </c>
      <c r="G22" s="750">
        <v>3350172</v>
      </c>
      <c r="H22" s="585">
        <f t="shared" si="0"/>
        <v>3591384.3840000001</v>
      </c>
      <c r="I22" s="723">
        <v>290000</v>
      </c>
      <c r="J22" s="733">
        <v>133044</v>
      </c>
      <c r="K22" s="724">
        <f t="shared" si="1"/>
        <v>4014428.3840000001</v>
      </c>
      <c r="L22" s="957"/>
      <c r="M22" s="29"/>
      <c r="N22" s="33"/>
      <c r="O22" s="585">
        <v>5737564</v>
      </c>
      <c r="P22" s="724">
        <v>6160608</v>
      </c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955"/>
      <c r="C23" s="382" t="s">
        <v>130</v>
      </c>
      <c r="D23" s="383" t="s">
        <v>320</v>
      </c>
      <c r="E23" s="383" t="s">
        <v>139</v>
      </c>
      <c r="F23" s="384" t="s">
        <v>232</v>
      </c>
      <c r="G23" s="750">
        <v>3350172</v>
      </c>
      <c r="H23" s="585">
        <f t="shared" si="0"/>
        <v>3591384.3840000001</v>
      </c>
      <c r="I23" s="723">
        <v>290000</v>
      </c>
      <c r="J23" s="733">
        <v>134922</v>
      </c>
      <c r="K23" s="724">
        <f t="shared" si="1"/>
        <v>4016306.3840000001</v>
      </c>
      <c r="L23" s="957"/>
      <c r="M23" s="29"/>
      <c r="N23" s="33"/>
      <c r="O23" s="585">
        <v>5971407</v>
      </c>
      <c r="P23" s="724">
        <v>6396329</v>
      </c>
      <c r="Q23" s="20"/>
      <c r="R23" s="20"/>
      <c r="S23" s="31"/>
      <c r="T23" s="30"/>
      <c r="U23" s="30"/>
      <c r="V23" s="30"/>
      <c r="W23" s="30"/>
      <c r="X23" s="32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327" customFormat="1" x14ac:dyDescent="0.2">
      <c r="B24" s="955"/>
      <c r="C24" s="382"/>
      <c r="D24" s="692"/>
      <c r="E24" s="693"/>
      <c r="F24" s="694"/>
      <c r="G24" s="750">
        <v>3350172</v>
      </c>
      <c r="H24" s="585">
        <f t="shared" si="0"/>
        <v>3591384.3840000001</v>
      </c>
      <c r="I24" s="695"/>
      <c r="J24" s="735"/>
      <c r="K24" s="730"/>
      <c r="L24" s="958"/>
      <c r="M24" s="331"/>
      <c r="N24" s="335"/>
      <c r="O24" s="586"/>
      <c r="P24" s="730"/>
      <c r="Q24" s="330"/>
      <c r="R24" s="330"/>
      <c r="S24" s="333"/>
      <c r="T24" s="332"/>
      <c r="U24" s="332"/>
      <c r="V24" s="332"/>
      <c r="W24" s="332"/>
      <c r="X24" s="334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328"/>
      <c r="BR24" s="328"/>
      <c r="BS24" s="328"/>
      <c r="BT24" s="328"/>
      <c r="BU24" s="328"/>
      <c r="BV24" s="328"/>
      <c r="BW24" s="328"/>
      <c r="BX24" s="328"/>
      <c r="BY24" s="328"/>
      <c r="BZ24" s="328"/>
      <c r="CA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328"/>
      <c r="CM24" s="328"/>
      <c r="CN24" s="328"/>
      <c r="CO24" s="328"/>
      <c r="CP24" s="328"/>
      <c r="CQ24" s="328"/>
      <c r="CR24" s="328"/>
      <c r="CS24" s="328"/>
      <c r="CT24" s="328"/>
      <c r="CU24" s="328"/>
      <c r="CV24" s="328"/>
      <c r="CW24" s="328"/>
      <c r="CX24" s="328"/>
      <c r="CY24" s="328"/>
      <c r="CZ24" s="328"/>
      <c r="DA24" s="328"/>
      <c r="DB24" s="328"/>
      <c r="DC24" s="328"/>
      <c r="DD24" s="328"/>
      <c r="DE24" s="328"/>
      <c r="DF24" s="328"/>
      <c r="DG24" s="328"/>
      <c r="DH24" s="328"/>
      <c r="DI24" s="328"/>
      <c r="DJ24" s="328"/>
      <c r="DK24" s="328"/>
      <c r="DL24" s="328"/>
      <c r="DM24" s="328"/>
      <c r="DN24" s="328"/>
      <c r="DO24" s="328"/>
      <c r="DP24" s="328"/>
      <c r="DQ24" s="328"/>
      <c r="DR24" s="328"/>
      <c r="DS24" s="328"/>
      <c r="DT24" s="328"/>
      <c r="DU24" s="328"/>
      <c r="DV24" s="328"/>
      <c r="DW24" s="328"/>
      <c r="DX24" s="328"/>
      <c r="DY24" s="328"/>
      <c r="DZ24" s="328"/>
      <c r="EA24" s="328"/>
      <c r="EB24" s="328"/>
      <c r="EC24" s="328"/>
      <c r="ED24" s="328"/>
      <c r="EE24" s="328"/>
      <c r="EF24" s="328"/>
      <c r="EG24" s="328"/>
      <c r="EH24" s="328"/>
      <c r="EI24" s="328"/>
      <c r="EJ24" s="328"/>
      <c r="EK24" s="328"/>
      <c r="EL24" s="328"/>
      <c r="EM24" s="328"/>
      <c r="EN24" s="328"/>
      <c r="EO24" s="328"/>
      <c r="EP24" s="328"/>
      <c r="EQ24" s="328"/>
      <c r="ER24" s="328"/>
      <c r="ES24" s="328"/>
      <c r="ET24" s="328"/>
      <c r="EU24" s="328"/>
      <c r="EV24" s="328"/>
      <c r="EW24" s="328"/>
      <c r="EX24" s="328"/>
      <c r="EY24" s="328"/>
      <c r="EZ24" s="328"/>
      <c r="FA24" s="328"/>
      <c r="FB24" s="328"/>
      <c r="FC24" s="328"/>
      <c r="FD24" s="328"/>
      <c r="FE24" s="328"/>
      <c r="FF24" s="328"/>
      <c r="FG24" s="328"/>
      <c r="FH24" s="328"/>
      <c r="FI24" s="328"/>
      <c r="FJ24" s="328"/>
      <c r="FK24" s="328"/>
      <c r="FL24" s="328"/>
      <c r="FM24" s="328"/>
      <c r="FN24" s="328"/>
      <c r="FO24" s="328"/>
      <c r="FP24" s="328"/>
      <c r="FQ24" s="328"/>
      <c r="FR24" s="328"/>
      <c r="FS24" s="328"/>
      <c r="FT24" s="328"/>
      <c r="FU24" s="328"/>
      <c r="FV24" s="328"/>
      <c r="FW24" s="328"/>
      <c r="FX24" s="328"/>
      <c r="FY24" s="328"/>
      <c r="FZ24" s="328"/>
      <c r="GA24" s="328"/>
      <c r="GB24" s="328"/>
      <c r="GC24" s="328"/>
      <c r="GD24" s="328"/>
      <c r="GE24" s="328"/>
      <c r="GF24" s="328"/>
      <c r="GG24" s="328"/>
      <c r="GH24" s="328"/>
      <c r="GI24" s="328"/>
      <c r="GJ24" s="328"/>
      <c r="GK24" s="328"/>
      <c r="GL24" s="328"/>
      <c r="GM24" s="328"/>
      <c r="GN24" s="328"/>
      <c r="GO24" s="328"/>
      <c r="GP24" s="328"/>
      <c r="GQ24" s="328"/>
      <c r="GR24" s="328"/>
      <c r="GS24" s="328"/>
      <c r="GT24" s="328"/>
      <c r="GU24" s="328"/>
      <c r="GV24" s="328"/>
      <c r="GW24" s="328"/>
      <c r="GX24" s="328"/>
      <c r="GY24" s="328"/>
      <c r="GZ24" s="328"/>
      <c r="HA24" s="328"/>
      <c r="HB24" s="328"/>
      <c r="HC24" s="328"/>
      <c r="HD24" s="328"/>
      <c r="HE24" s="328"/>
      <c r="HF24" s="328"/>
      <c r="HG24" s="328"/>
      <c r="HH24" s="328"/>
      <c r="HI24" s="328"/>
      <c r="HJ24" s="328"/>
      <c r="HK24" s="328"/>
      <c r="HL24" s="328"/>
      <c r="HM24" s="328"/>
      <c r="HN24" s="328"/>
      <c r="HO24" s="328"/>
      <c r="HP24" s="328"/>
      <c r="HQ24" s="328"/>
      <c r="HR24" s="328"/>
      <c r="HS24" s="328"/>
      <c r="HT24" s="328"/>
      <c r="HU24" s="328"/>
      <c r="HV24" s="328"/>
      <c r="HW24" s="328"/>
      <c r="HX24" s="328"/>
      <c r="HY24" s="328"/>
      <c r="HZ24" s="328"/>
      <c r="IA24" s="328"/>
      <c r="IB24" s="328"/>
      <c r="IC24" s="328"/>
      <c r="ID24" s="328"/>
      <c r="IE24" s="328"/>
      <c r="IF24" s="328"/>
      <c r="IG24" s="328"/>
      <c r="IH24" s="328"/>
      <c r="II24" s="328"/>
      <c r="IJ24" s="328"/>
      <c r="IK24" s="328"/>
      <c r="IL24" s="328"/>
      <c r="IM24" s="328"/>
      <c r="IN24" s="328"/>
      <c r="IO24" s="328"/>
      <c r="IP24" s="328"/>
      <c r="IQ24" s="328"/>
      <c r="IR24" s="328"/>
      <c r="IS24" s="328"/>
      <c r="IT24" s="328"/>
      <c r="IU24" s="328"/>
      <c r="IV24" s="328"/>
      <c r="IW24" s="328"/>
      <c r="IX24" s="328"/>
      <c r="IY24" s="328"/>
    </row>
    <row r="25" spans="2:259" s="327" customFormat="1" x14ac:dyDescent="0.2">
      <c r="B25" s="955"/>
      <c r="C25" s="382"/>
      <c r="D25" s="692"/>
      <c r="E25" s="693"/>
      <c r="F25" s="694"/>
      <c r="G25" s="750">
        <v>3350172</v>
      </c>
      <c r="H25" s="586"/>
      <c r="I25" s="695"/>
      <c r="J25" s="735"/>
      <c r="K25" s="730"/>
      <c r="L25" s="958"/>
      <c r="M25" s="331"/>
      <c r="N25" s="335"/>
      <c r="O25" s="586"/>
      <c r="P25" s="730"/>
      <c r="Q25" s="330"/>
      <c r="R25" s="330"/>
      <c r="S25" s="333"/>
      <c r="T25" s="332"/>
      <c r="U25" s="332"/>
      <c r="V25" s="332"/>
      <c r="W25" s="332"/>
      <c r="X25" s="334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A25" s="328"/>
      <c r="BB25" s="328"/>
      <c r="BC25" s="328"/>
      <c r="BD25" s="328"/>
      <c r="BE25" s="328"/>
      <c r="BF25" s="328"/>
      <c r="BG25" s="328"/>
      <c r="BH25" s="328"/>
      <c r="BI25" s="328"/>
      <c r="BJ25" s="328"/>
      <c r="BK25" s="328"/>
      <c r="BL25" s="328"/>
      <c r="BM25" s="328"/>
      <c r="BN25" s="328"/>
      <c r="BO25" s="328"/>
      <c r="BP25" s="328"/>
      <c r="BQ25" s="328"/>
      <c r="BR25" s="328"/>
      <c r="BS25" s="328"/>
      <c r="BT25" s="328"/>
      <c r="BU25" s="328"/>
      <c r="BV25" s="328"/>
      <c r="BW25" s="328"/>
      <c r="BX25" s="328"/>
      <c r="BY25" s="328"/>
      <c r="BZ25" s="328"/>
      <c r="CA25" s="328"/>
      <c r="CB25" s="328"/>
      <c r="CC25" s="328"/>
      <c r="CD25" s="328"/>
      <c r="CE25" s="328"/>
      <c r="CF25" s="328"/>
      <c r="CG25" s="328"/>
      <c r="CH25" s="328"/>
      <c r="CI25" s="328"/>
      <c r="CJ25" s="328"/>
      <c r="CK25" s="328"/>
      <c r="CL25" s="328"/>
      <c r="CM25" s="328"/>
      <c r="CN25" s="328"/>
      <c r="CO25" s="328"/>
      <c r="CP25" s="328"/>
      <c r="CQ25" s="328"/>
      <c r="CR25" s="328"/>
      <c r="CS25" s="328"/>
      <c r="CT25" s="328"/>
      <c r="CU25" s="328"/>
      <c r="CV25" s="328"/>
      <c r="CW25" s="328"/>
      <c r="CX25" s="328"/>
      <c r="CY25" s="328"/>
      <c r="CZ25" s="328"/>
      <c r="DA25" s="328"/>
      <c r="DB25" s="328"/>
      <c r="DC25" s="328"/>
      <c r="DD25" s="328"/>
      <c r="DE25" s="328"/>
      <c r="DF25" s="328"/>
      <c r="DG25" s="328"/>
      <c r="DH25" s="328"/>
      <c r="DI25" s="328"/>
      <c r="DJ25" s="328"/>
      <c r="DK25" s="328"/>
      <c r="DL25" s="328"/>
      <c r="DM25" s="328"/>
      <c r="DN25" s="328"/>
      <c r="DO25" s="328"/>
      <c r="DP25" s="328"/>
      <c r="DQ25" s="328"/>
      <c r="DR25" s="328"/>
      <c r="DS25" s="328"/>
      <c r="DT25" s="328"/>
      <c r="DU25" s="328"/>
      <c r="DV25" s="328"/>
      <c r="DW25" s="328"/>
      <c r="DX25" s="328"/>
      <c r="DY25" s="328"/>
      <c r="DZ25" s="328"/>
      <c r="EA25" s="328"/>
      <c r="EB25" s="328"/>
      <c r="EC25" s="328"/>
      <c r="ED25" s="328"/>
      <c r="EE25" s="328"/>
      <c r="EF25" s="328"/>
      <c r="EG25" s="328"/>
      <c r="EH25" s="328"/>
      <c r="EI25" s="328"/>
      <c r="EJ25" s="328"/>
      <c r="EK25" s="328"/>
      <c r="EL25" s="328"/>
      <c r="EM25" s="328"/>
      <c r="EN25" s="328"/>
      <c r="EO25" s="328"/>
      <c r="EP25" s="328"/>
      <c r="EQ25" s="328"/>
      <c r="ER25" s="328"/>
      <c r="ES25" s="328"/>
      <c r="ET25" s="328"/>
      <c r="EU25" s="328"/>
      <c r="EV25" s="328"/>
      <c r="EW25" s="328"/>
      <c r="EX25" s="328"/>
      <c r="EY25" s="328"/>
      <c r="EZ25" s="328"/>
      <c r="FA25" s="328"/>
      <c r="FB25" s="328"/>
      <c r="FC25" s="328"/>
      <c r="FD25" s="328"/>
      <c r="FE25" s="328"/>
      <c r="FF25" s="328"/>
      <c r="FG25" s="328"/>
      <c r="FH25" s="328"/>
      <c r="FI25" s="328"/>
      <c r="FJ25" s="328"/>
      <c r="FK25" s="328"/>
      <c r="FL25" s="328"/>
      <c r="FM25" s="328"/>
      <c r="FN25" s="328"/>
      <c r="FO25" s="328"/>
      <c r="FP25" s="328"/>
      <c r="FQ25" s="328"/>
      <c r="FR25" s="328"/>
      <c r="FS25" s="328"/>
      <c r="FT25" s="328"/>
      <c r="FU25" s="328"/>
      <c r="FV25" s="328"/>
      <c r="FW25" s="328"/>
      <c r="FX25" s="328"/>
      <c r="FY25" s="328"/>
      <c r="FZ25" s="328"/>
      <c r="GA25" s="328"/>
      <c r="GB25" s="328"/>
      <c r="GC25" s="328"/>
      <c r="GD25" s="328"/>
      <c r="GE25" s="328"/>
      <c r="GF25" s="328"/>
      <c r="GG25" s="328"/>
      <c r="GH25" s="328"/>
      <c r="GI25" s="328"/>
      <c r="GJ25" s="328"/>
      <c r="GK25" s="328"/>
      <c r="GL25" s="328"/>
      <c r="GM25" s="328"/>
      <c r="GN25" s="328"/>
      <c r="GO25" s="328"/>
      <c r="GP25" s="328"/>
      <c r="GQ25" s="328"/>
      <c r="GR25" s="328"/>
      <c r="GS25" s="328"/>
      <c r="GT25" s="328"/>
      <c r="GU25" s="328"/>
      <c r="GV25" s="328"/>
      <c r="GW25" s="328"/>
      <c r="GX25" s="328"/>
      <c r="GY25" s="328"/>
      <c r="GZ25" s="328"/>
      <c r="HA25" s="328"/>
      <c r="HB25" s="328"/>
      <c r="HC25" s="328"/>
      <c r="HD25" s="328"/>
      <c r="HE25" s="328"/>
      <c r="HF25" s="328"/>
      <c r="HG25" s="328"/>
      <c r="HH25" s="328"/>
      <c r="HI25" s="328"/>
      <c r="HJ25" s="328"/>
      <c r="HK25" s="328"/>
      <c r="HL25" s="328"/>
      <c r="HM25" s="328"/>
      <c r="HN25" s="328"/>
      <c r="HO25" s="328"/>
      <c r="HP25" s="328"/>
      <c r="HQ25" s="328"/>
      <c r="HR25" s="328"/>
      <c r="HS25" s="328"/>
      <c r="HT25" s="328"/>
      <c r="HU25" s="328"/>
      <c r="HV25" s="328"/>
      <c r="HW25" s="328"/>
      <c r="HX25" s="328"/>
      <c r="HY25" s="328"/>
      <c r="HZ25" s="328"/>
      <c r="IA25" s="328"/>
      <c r="IB25" s="328"/>
      <c r="IC25" s="328"/>
      <c r="ID25" s="328"/>
      <c r="IE25" s="328"/>
      <c r="IF25" s="328"/>
      <c r="IG25" s="328"/>
      <c r="IH25" s="328"/>
      <c r="II25" s="328"/>
      <c r="IJ25" s="328"/>
      <c r="IK25" s="328"/>
      <c r="IL25" s="328"/>
      <c r="IM25" s="328"/>
      <c r="IN25" s="328"/>
      <c r="IO25" s="328"/>
      <c r="IP25" s="328"/>
      <c r="IQ25" s="328"/>
      <c r="IR25" s="328"/>
      <c r="IS25" s="328"/>
      <c r="IT25" s="328"/>
      <c r="IU25" s="328"/>
      <c r="IV25" s="328"/>
      <c r="IW25" s="328"/>
      <c r="IX25" s="328"/>
      <c r="IY25" s="328"/>
    </row>
    <row r="26" spans="2:259" s="327" customFormat="1" x14ac:dyDescent="0.2">
      <c r="B26" s="955"/>
      <c r="C26" s="382"/>
      <c r="D26" s="692"/>
      <c r="E26" s="693"/>
      <c r="F26" s="694"/>
      <c r="G26" s="750">
        <v>3350172</v>
      </c>
      <c r="H26" s="586"/>
      <c r="I26" s="695"/>
      <c r="J26" s="735"/>
      <c r="K26" s="730"/>
      <c r="L26" s="958"/>
      <c r="M26" s="331"/>
      <c r="N26" s="335"/>
      <c r="O26" s="586"/>
      <c r="P26" s="730"/>
      <c r="Q26" s="330"/>
      <c r="R26" s="330"/>
      <c r="S26" s="333"/>
      <c r="T26" s="332"/>
      <c r="U26" s="332"/>
      <c r="V26" s="332"/>
      <c r="W26" s="332"/>
      <c r="X26" s="334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328"/>
      <c r="AY26" s="328"/>
      <c r="AZ26" s="328"/>
      <c r="BA26" s="328"/>
      <c r="BB26" s="328"/>
      <c r="BC26" s="328"/>
      <c r="BD26" s="328"/>
      <c r="BE26" s="328"/>
      <c r="BF26" s="328"/>
      <c r="BG26" s="328"/>
      <c r="BH26" s="328"/>
      <c r="BI26" s="328"/>
      <c r="BJ26" s="328"/>
      <c r="BK26" s="328"/>
      <c r="BL26" s="328"/>
      <c r="BM26" s="328"/>
      <c r="BN26" s="328"/>
      <c r="BO26" s="328"/>
      <c r="BP26" s="328"/>
      <c r="BQ26" s="328"/>
      <c r="BR26" s="328"/>
      <c r="BS26" s="328"/>
      <c r="BT26" s="328"/>
      <c r="BU26" s="328"/>
      <c r="BV26" s="328"/>
      <c r="BW26" s="328"/>
      <c r="BX26" s="328"/>
      <c r="BY26" s="328"/>
      <c r="BZ26" s="328"/>
      <c r="CA26" s="328"/>
      <c r="CB26" s="328"/>
      <c r="CC26" s="328"/>
      <c r="CD26" s="328"/>
      <c r="CE26" s="328"/>
      <c r="CF26" s="328"/>
      <c r="CG26" s="328"/>
      <c r="CH26" s="328"/>
      <c r="CI26" s="328"/>
      <c r="CJ26" s="328"/>
      <c r="CK26" s="328"/>
      <c r="CL26" s="328"/>
      <c r="CM26" s="328"/>
      <c r="CN26" s="328"/>
      <c r="CO26" s="328"/>
      <c r="CP26" s="328"/>
      <c r="CQ26" s="328"/>
      <c r="CR26" s="328"/>
      <c r="CS26" s="328"/>
      <c r="CT26" s="328"/>
      <c r="CU26" s="328"/>
      <c r="CV26" s="328"/>
      <c r="CW26" s="328"/>
      <c r="CX26" s="328"/>
      <c r="CY26" s="328"/>
      <c r="CZ26" s="328"/>
      <c r="DA26" s="328"/>
      <c r="DB26" s="328"/>
      <c r="DC26" s="328"/>
      <c r="DD26" s="328"/>
      <c r="DE26" s="328"/>
      <c r="DF26" s="328"/>
      <c r="DG26" s="328"/>
      <c r="DH26" s="328"/>
      <c r="DI26" s="328"/>
      <c r="DJ26" s="328"/>
      <c r="DK26" s="328"/>
      <c r="DL26" s="328"/>
      <c r="DM26" s="328"/>
      <c r="DN26" s="328"/>
      <c r="DO26" s="328"/>
      <c r="DP26" s="328"/>
      <c r="DQ26" s="328"/>
      <c r="DR26" s="328"/>
      <c r="DS26" s="328"/>
      <c r="DT26" s="328"/>
      <c r="DU26" s="328"/>
      <c r="DV26" s="328"/>
      <c r="DW26" s="328"/>
      <c r="DX26" s="328"/>
      <c r="DY26" s="328"/>
      <c r="DZ26" s="328"/>
      <c r="EA26" s="328"/>
      <c r="EB26" s="328"/>
      <c r="EC26" s="328"/>
      <c r="ED26" s="328"/>
      <c r="EE26" s="328"/>
      <c r="EF26" s="328"/>
      <c r="EG26" s="328"/>
      <c r="EH26" s="328"/>
      <c r="EI26" s="328"/>
      <c r="EJ26" s="328"/>
      <c r="EK26" s="328"/>
      <c r="EL26" s="328"/>
      <c r="EM26" s="328"/>
      <c r="EN26" s="328"/>
      <c r="EO26" s="328"/>
      <c r="EP26" s="328"/>
      <c r="EQ26" s="328"/>
      <c r="ER26" s="328"/>
      <c r="ES26" s="328"/>
      <c r="ET26" s="328"/>
      <c r="EU26" s="328"/>
      <c r="EV26" s="328"/>
      <c r="EW26" s="328"/>
      <c r="EX26" s="328"/>
      <c r="EY26" s="328"/>
      <c r="EZ26" s="328"/>
      <c r="FA26" s="328"/>
      <c r="FB26" s="328"/>
      <c r="FC26" s="328"/>
      <c r="FD26" s="328"/>
      <c r="FE26" s="328"/>
      <c r="FF26" s="328"/>
      <c r="FG26" s="328"/>
      <c r="FH26" s="328"/>
      <c r="FI26" s="328"/>
      <c r="FJ26" s="328"/>
      <c r="FK26" s="328"/>
      <c r="FL26" s="328"/>
      <c r="FM26" s="328"/>
      <c r="FN26" s="328"/>
      <c r="FO26" s="328"/>
      <c r="FP26" s="328"/>
      <c r="FQ26" s="328"/>
      <c r="FR26" s="328"/>
      <c r="FS26" s="328"/>
      <c r="FT26" s="328"/>
      <c r="FU26" s="328"/>
      <c r="FV26" s="328"/>
      <c r="FW26" s="328"/>
      <c r="FX26" s="328"/>
      <c r="FY26" s="328"/>
      <c r="FZ26" s="328"/>
      <c r="GA26" s="328"/>
      <c r="GB26" s="328"/>
      <c r="GC26" s="328"/>
      <c r="GD26" s="328"/>
      <c r="GE26" s="328"/>
      <c r="GF26" s="328"/>
      <c r="GG26" s="328"/>
      <c r="GH26" s="328"/>
      <c r="GI26" s="328"/>
      <c r="GJ26" s="328"/>
      <c r="GK26" s="328"/>
      <c r="GL26" s="328"/>
      <c r="GM26" s="328"/>
      <c r="GN26" s="328"/>
      <c r="GO26" s="328"/>
      <c r="GP26" s="328"/>
      <c r="GQ26" s="328"/>
      <c r="GR26" s="328"/>
      <c r="GS26" s="328"/>
      <c r="GT26" s="328"/>
      <c r="GU26" s="328"/>
      <c r="GV26" s="328"/>
      <c r="GW26" s="328"/>
      <c r="GX26" s="328"/>
      <c r="GY26" s="328"/>
      <c r="GZ26" s="328"/>
      <c r="HA26" s="328"/>
      <c r="HB26" s="328"/>
      <c r="HC26" s="328"/>
      <c r="HD26" s="328"/>
      <c r="HE26" s="328"/>
      <c r="HF26" s="328"/>
      <c r="HG26" s="328"/>
      <c r="HH26" s="328"/>
      <c r="HI26" s="328"/>
      <c r="HJ26" s="328"/>
      <c r="HK26" s="328"/>
      <c r="HL26" s="328"/>
      <c r="HM26" s="328"/>
      <c r="HN26" s="328"/>
      <c r="HO26" s="328"/>
      <c r="HP26" s="328"/>
      <c r="HQ26" s="328"/>
      <c r="HR26" s="328"/>
      <c r="HS26" s="328"/>
      <c r="HT26" s="328"/>
      <c r="HU26" s="328"/>
      <c r="HV26" s="328"/>
      <c r="HW26" s="328"/>
      <c r="HX26" s="328"/>
      <c r="HY26" s="328"/>
      <c r="HZ26" s="328"/>
      <c r="IA26" s="328"/>
      <c r="IB26" s="328"/>
      <c r="IC26" s="328"/>
      <c r="ID26" s="328"/>
      <c r="IE26" s="328"/>
      <c r="IF26" s="328"/>
      <c r="IG26" s="328"/>
      <c r="IH26" s="328"/>
      <c r="II26" s="328"/>
      <c r="IJ26" s="328"/>
      <c r="IK26" s="328"/>
      <c r="IL26" s="328"/>
      <c r="IM26" s="328"/>
      <c r="IN26" s="328"/>
      <c r="IO26" s="328"/>
      <c r="IP26" s="328"/>
      <c r="IQ26" s="328"/>
      <c r="IR26" s="328"/>
      <c r="IS26" s="328"/>
      <c r="IT26" s="328"/>
      <c r="IU26" s="328"/>
      <c r="IV26" s="328"/>
      <c r="IW26" s="328"/>
      <c r="IX26" s="328"/>
      <c r="IY26" s="328"/>
    </row>
    <row r="27" spans="2:259" s="2" customFormat="1" ht="13.5" thickBot="1" x14ac:dyDescent="0.25">
      <c r="B27" s="955"/>
      <c r="C27" s="342"/>
      <c r="D27" s="385"/>
      <c r="E27" s="385"/>
      <c r="F27" s="317"/>
      <c r="G27" s="584">
        <v>0</v>
      </c>
      <c r="H27" s="587">
        <f t="shared" ref="H27:H35" si="2">+G27*(1+$H$7)</f>
        <v>0</v>
      </c>
      <c r="I27" s="727">
        <v>0</v>
      </c>
      <c r="J27" s="736">
        <v>0</v>
      </c>
      <c r="K27" s="730">
        <f t="shared" si="1"/>
        <v>0</v>
      </c>
      <c r="L27" s="958"/>
      <c r="M27" s="29"/>
      <c r="N27" s="33"/>
      <c r="O27" s="587">
        <f t="shared" ref="O27:O35" si="3">+N27*(1+$H$7)</f>
        <v>0</v>
      </c>
      <c r="P27" s="730">
        <v>0</v>
      </c>
      <c r="Q27" s="20"/>
      <c r="R27" s="20"/>
      <c r="S27" s="31"/>
      <c r="T27" s="30"/>
      <c r="U27" s="30"/>
      <c r="V27" s="30"/>
      <c r="W27" s="30"/>
      <c r="X27" s="32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327" customFormat="1" ht="12.75" customHeight="1" x14ac:dyDescent="0.2">
      <c r="B28" s="967" t="str">
        <f>+'B) Reajuste Tarifas y Ocupación'!A15</f>
        <v>Sala Cuna Pequeños Héroes</v>
      </c>
      <c r="C28" s="725" t="s">
        <v>358</v>
      </c>
      <c r="D28" s="341" t="s">
        <v>130</v>
      </c>
      <c r="E28" s="341" t="s">
        <v>136</v>
      </c>
      <c r="F28" s="381" t="s">
        <v>277</v>
      </c>
      <c r="G28" s="726">
        <v>9482995</v>
      </c>
      <c r="H28" s="585">
        <f>+G28*(1+$H$7)</f>
        <v>10165770.640000001</v>
      </c>
      <c r="I28" s="737">
        <v>290000</v>
      </c>
      <c r="J28" s="741">
        <v>132398</v>
      </c>
      <c r="K28" s="728">
        <f t="shared" si="1"/>
        <v>10588168.640000001</v>
      </c>
      <c r="L28" s="973">
        <f>SUM(K28:K35)</f>
        <v>22582981.152000003</v>
      </c>
      <c r="M28" s="685"/>
      <c r="N28" s="335"/>
      <c r="O28" s="720">
        <v>10165771</v>
      </c>
      <c r="P28" s="728">
        <v>10588169</v>
      </c>
      <c r="Q28" s="330"/>
      <c r="R28" s="330"/>
      <c r="S28" s="333"/>
      <c r="T28" s="332"/>
      <c r="U28" s="332"/>
      <c r="V28" s="332"/>
      <c r="W28" s="332"/>
      <c r="X28" s="334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328"/>
      <c r="BX28" s="328"/>
      <c r="BY28" s="328"/>
      <c r="BZ28" s="328"/>
      <c r="CA28" s="328"/>
      <c r="CB28" s="328"/>
      <c r="CC28" s="328"/>
      <c r="CD28" s="328"/>
      <c r="CE28" s="328"/>
      <c r="CF28" s="328"/>
      <c r="CG28" s="328"/>
      <c r="CH28" s="328"/>
      <c r="CI28" s="328"/>
      <c r="CJ28" s="328"/>
      <c r="CK28" s="328"/>
      <c r="CL28" s="328"/>
      <c r="CM28" s="328"/>
      <c r="CN28" s="328"/>
      <c r="CO28" s="328"/>
      <c r="CP28" s="328"/>
      <c r="CQ28" s="328"/>
      <c r="CR28" s="328"/>
      <c r="CS28" s="328"/>
      <c r="CT28" s="328"/>
      <c r="CU28" s="328"/>
      <c r="CV28" s="328"/>
      <c r="CW28" s="328"/>
      <c r="CX28" s="328"/>
      <c r="CY28" s="328"/>
      <c r="CZ28" s="328"/>
      <c r="DA28" s="328"/>
      <c r="DB28" s="328"/>
      <c r="DC28" s="328"/>
      <c r="DD28" s="328"/>
      <c r="DE28" s="328"/>
      <c r="DF28" s="328"/>
      <c r="DG28" s="328"/>
      <c r="DH28" s="328"/>
      <c r="DI28" s="328"/>
      <c r="DJ28" s="328"/>
      <c r="DK28" s="328"/>
      <c r="DL28" s="328"/>
      <c r="DM28" s="328"/>
      <c r="DN28" s="328"/>
      <c r="DO28" s="328"/>
      <c r="DP28" s="328"/>
      <c r="DQ28" s="328"/>
      <c r="DR28" s="328"/>
      <c r="DS28" s="328"/>
      <c r="DT28" s="328"/>
      <c r="DU28" s="328"/>
      <c r="DV28" s="328"/>
      <c r="DW28" s="328"/>
      <c r="DX28" s="328"/>
      <c r="DY28" s="328"/>
      <c r="DZ28" s="328"/>
      <c r="EA28" s="328"/>
      <c r="EB28" s="328"/>
      <c r="EC28" s="328"/>
      <c r="ED28" s="328"/>
      <c r="EE28" s="328"/>
      <c r="EF28" s="328"/>
      <c r="EG28" s="328"/>
      <c r="EH28" s="328"/>
      <c r="EI28" s="328"/>
      <c r="EJ28" s="328"/>
      <c r="EK28" s="328"/>
      <c r="EL28" s="328"/>
      <c r="EM28" s="328"/>
      <c r="EN28" s="328"/>
      <c r="EO28" s="328"/>
      <c r="EP28" s="328"/>
      <c r="EQ28" s="328"/>
      <c r="ER28" s="328"/>
      <c r="ES28" s="328"/>
      <c r="ET28" s="328"/>
      <c r="EU28" s="328"/>
      <c r="EV28" s="328"/>
      <c r="EW28" s="328"/>
      <c r="EX28" s="328"/>
      <c r="EY28" s="328"/>
      <c r="EZ28" s="328"/>
      <c r="FA28" s="328"/>
      <c r="FB28" s="328"/>
      <c r="FC28" s="328"/>
      <c r="FD28" s="328"/>
      <c r="FE28" s="328"/>
      <c r="FF28" s="328"/>
      <c r="FG28" s="328"/>
      <c r="FH28" s="328"/>
      <c r="FI28" s="328"/>
      <c r="FJ28" s="328"/>
      <c r="FK28" s="328"/>
      <c r="FL28" s="328"/>
      <c r="FM28" s="328"/>
      <c r="FN28" s="328"/>
      <c r="FO28" s="328"/>
      <c r="FP28" s="328"/>
      <c r="FQ28" s="328"/>
      <c r="FR28" s="328"/>
      <c r="FS28" s="328"/>
      <c r="FT28" s="328"/>
      <c r="FU28" s="328"/>
      <c r="FV28" s="328"/>
      <c r="FW28" s="328"/>
      <c r="FX28" s="328"/>
      <c r="FY28" s="328"/>
      <c r="FZ28" s="328"/>
      <c r="GA28" s="328"/>
      <c r="GB28" s="328"/>
      <c r="GC28" s="328"/>
      <c r="GD28" s="328"/>
      <c r="GE28" s="328"/>
      <c r="GF28" s="328"/>
      <c r="GG28" s="328"/>
      <c r="GH28" s="328"/>
      <c r="GI28" s="328"/>
      <c r="GJ28" s="328"/>
      <c r="GK28" s="328"/>
      <c r="GL28" s="328"/>
      <c r="GM28" s="328"/>
      <c r="GN28" s="328"/>
      <c r="GO28" s="328"/>
      <c r="GP28" s="328"/>
      <c r="GQ28" s="328"/>
      <c r="GR28" s="328"/>
      <c r="GS28" s="328"/>
      <c r="GT28" s="328"/>
      <c r="GU28" s="328"/>
      <c r="GV28" s="328"/>
      <c r="GW28" s="328"/>
      <c r="GX28" s="328"/>
      <c r="GY28" s="328"/>
      <c r="GZ28" s="328"/>
      <c r="HA28" s="328"/>
      <c r="HB28" s="328"/>
      <c r="HC28" s="328"/>
      <c r="HD28" s="328"/>
      <c r="HE28" s="328"/>
      <c r="HF28" s="328"/>
      <c r="HG28" s="328"/>
      <c r="HH28" s="328"/>
      <c r="HI28" s="328"/>
      <c r="HJ28" s="328"/>
      <c r="HK28" s="328"/>
      <c r="HL28" s="328"/>
      <c r="HM28" s="328"/>
      <c r="HN28" s="328"/>
      <c r="HO28" s="328"/>
      <c r="HP28" s="328"/>
      <c r="HQ28" s="328"/>
      <c r="HR28" s="328"/>
      <c r="HS28" s="328"/>
      <c r="HT28" s="328"/>
      <c r="HU28" s="328"/>
      <c r="HV28" s="328"/>
      <c r="HW28" s="328"/>
      <c r="HX28" s="328"/>
      <c r="HY28" s="328"/>
      <c r="HZ28" s="328"/>
      <c r="IA28" s="328"/>
      <c r="IB28" s="328"/>
      <c r="IC28" s="328"/>
      <c r="ID28" s="328"/>
      <c r="IE28" s="328"/>
      <c r="IF28" s="328"/>
      <c r="IG28" s="328"/>
      <c r="IH28" s="328"/>
      <c r="II28" s="328"/>
      <c r="IJ28" s="328"/>
      <c r="IK28" s="328"/>
      <c r="IL28" s="328"/>
      <c r="IM28" s="328"/>
      <c r="IN28" s="328"/>
      <c r="IO28" s="328"/>
      <c r="IP28" s="328"/>
      <c r="IQ28" s="328"/>
      <c r="IR28" s="328"/>
      <c r="IS28" s="328"/>
      <c r="IT28" s="328"/>
      <c r="IU28" s="328"/>
      <c r="IV28" s="328"/>
      <c r="IW28" s="328"/>
      <c r="IX28" s="328"/>
      <c r="IY28" s="328"/>
    </row>
    <row r="29" spans="2:259" s="327" customFormat="1" ht="12.75" customHeight="1" x14ac:dyDescent="0.2">
      <c r="B29" s="968"/>
      <c r="C29" s="382" t="s">
        <v>359</v>
      </c>
      <c r="D29" s="383" t="s">
        <v>130</v>
      </c>
      <c r="E29" s="383" t="s">
        <v>137</v>
      </c>
      <c r="F29" s="384" t="s">
        <v>277</v>
      </c>
      <c r="G29" s="726">
        <v>4713269</v>
      </c>
      <c r="H29" s="585">
        <f t="shared" si="2"/>
        <v>5052624.3680000007</v>
      </c>
      <c r="I29" s="738">
        <v>290000</v>
      </c>
      <c r="J29" s="742">
        <v>133044</v>
      </c>
      <c r="K29" s="724">
        <f t="shared" si="1"/>
        <v>5475668.3680000007</v>
      </c>
      <c r="L29" s="958"/>
      <c r="M29" s="331"/>
      <c r="N29" s="335"/>
      <c r="O29" s="722">
        <v>5052625</v>
      </c>
      <c r="P29" s="724">
        <v>5475669</v>
      </c>
      <c r="Q29" s="330"/>
      <c r="R29" s="330"/>
      <c r="S29" s="333"/>
      <c r="T29" s="332"/>
      <c r="U29" s="332"/>
      <c r="V29" s="332"/>
      <c r="W29" s="332"/>
      <c r="X29" s="334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328"/>
      <c r="AY29" s="328"/>
      <c r="AZ29" s="328"/>
      <c r="BA29" s="328"/>
      <c r="BB29" s="328"/>
      <c r="BC29" s="328"/>
      <c r="BD29" s="328"/>
      <c r="BE29" s="328"/>
      <c r="BF29" s="328"/>
      <c r="BG29" s="328"/>
      <c r="BH29" s="328"/>
      <c r="BI29" s="328"/>
      <c r="BJ29" s="328"/>
      <c r="BK29" s="328"/>
      <c r="BL29" s="328"/>
      <c r="BM29" s="328"/>
      <c r="BN29" s="328"/>
      <c r="BO29" s="328"/>
      <c r="BP29" s="328"/>
      <c r="BQ29" s="328"/>
      <c r="BR29" s="328"/>
      <c r="BS29" s="328"/>
      <c r="BT29" s="328"/>
      <c r="BU29" s="328"/>
      <c r="BV29" s="328"/>
      <c r="BW29" s="328"/>
      <c r="BX29" s="328"/>
      <c r="BY29" s="328"/>
      <c r="BZ29" s="328"/>
      <c r="CA29" s="328"/>
      <c r="CB29" s="328"/>
      <c r="CC29" s="328"/>
      <c r="CD29" s="328"/>
      <c r="CE29" s="328"/>
      <c r="CF29" s="328"/>
      <c r="CG29" s="328"/>
      <c r="CH29" s="328"/>
      <c r="CI29" s="328"/>
      <c r="CJ29" s="328"/>
      <c r="CK29" s="328"/>
      <c r="CL29" s="328"/>
      <c r="CM29" s="328"/>
      <c r="CN29" s="328"/>
      <c r="CO29" s="328"/>
      <c r="CP29" s="328"/>
      <c r="CQ29" s="328"/>
      <c r="CR29" s="328"/>
      <c r="CS29" s="328"/>
      <c r="CT29" s="328"/>
      <c r="CU29" s="328"/>
      <c r="CV29" s="328"/>
      <c r="CW29" s="328"/>
      <c r="CX29" s="328"/>
      <c r="CY29" s="328"/>
      <c r="CZ29" s="328"/>
      <c r="DA29" s="328"/>
      <c r="DB29" s="328"/>
      <c r="DC29" s="328"/>
      <c r="DD29" s="328"/>
      <c r="DE29" s="328"/>
      <c r="DF29" s="328"/>
      <c r="DG29" s="328"/>
      <c r="DH29" s="328"/>
      <c r="DI29" s="328"/>
      <c r="DJ29" s="328"/>
      <c r="DK29" s="328"/>
      <c r="DL29" s="328"/>
      <c r="DM29" s="328"/>
      <c r="DN29" s="328"/>
      <c r="DO29" s="328"/>
      <c r="DP29" s="328"/>
      <c r="DQ29" s="328"/>
      <c r="DR29" s="328"/>
      <c r="DS29" s="328"/>
      <c r="DT29" s="328"/>
      <c r="DU29" s="328"/>
      <c r="DV29" s="328"/>
      <c r="DW29" s="328"/>
      <c r="DX29" s="328"/>
      <c r="DY29" s="328"/>
      <c r="DZ29" s="328"/>
      <c r="EA29" s="328"/>
      <c r="EB29" s="328"/>
      <c r="EC29" s="328"/>
      <c r="ED29" s="328"/>
      <c r="EE29" s="328"/>
      <c r="EF29" s="328"/>
      <c r="EG29" s="328"/>
      <c r="EH29" s="328"/>
      <c r="EI29" s="328"/>
      <c r="EJ29" s="328"/>
      <c r="EK29" s="328"/>
      <c r="EL29" s="328"/>
      <c r="EM29" s="328"/>
      <c r="EN29" s="328"/>
      <c r="EO29" s="328"/>
      <c r="EP29" s="328"/>
      <c r="EQ29" s="328"/>
      <c r="ER29" s="328"/>
      <c r="ES29" s="328"/>
      <c r="ET29" s="328"/>
      <c r="EU29" s="328"/>
      <c r="EV29" s="328"/>
      <c r="EW29" s="328"/>
      <c r="EX29" s="328"/>
      <c r="EY29" s="328"/>
      <c r="EZ29" s="328"/>
      <c r="FA29" s="328"/>
      <c r="FB29" s="328"/>
      <c r="FC29" s="328"/>
      <c r="FD29" s="328"/>
      <c r="FE29" s="328"/>
      <c r="FF29" s="328"/>
      <c r="FG29" s="328"/>
      <c r="FH29" s="328"/>
      <c r="FI29" s="328"/>
      <c r="FJ29" s="328"/>
      <c r="FK29" s="328"/>
      <c r="FL29" s="328"/>
      <c r="FM29" s="328"/>
      <c r="FN29" s="328"/>
      <c r="FO29" s="328"/>
      <c r="FP29" s="328"/>
      <c r="FQ29" s="328"/>
      <c r="FR29" s="328"/>
      <c r="FS29" s="328"/>
      <c r="FT29" s="328"/>
      <c r="FU29" s="328"/>
      <c r="FV29" s="328"/>
      <c r="FW29" s="328"/>
      <c r="FX29" s="328"/>
      <c r="FY29" s="328"/>
      <c r="FZ29" s="328"/>
      <c r="GA29" s="328"/>
      <c r="GB29" s="328"/>
      <c r="GC29" s="328"/>
      <c r="GD29" s="328"/>
      <c r="GE29" s="328"/>
      <c r="GF29" s="328"/>
      <c r="GG29" s="328"/>
      <c r="GH29" s="328"/>
      <c r="GI29" s="328"/>
      <c r="GJ29" s="328"/>
      <c r="GK29" s="328"/>
      <c r="GL29" s="328"/>
      <c r="GM29" s="328"/>
      <c r="GN29" s="328"/>
      <c r="GO29" s="328"/>
      <c r="GP29" s="328"/>
      <c r="GQ29" s="328"/>
      <c r="GR29" s="328"/>
      <c r="GS29" s="328"/>
      <c r="GT29" s="328"/>
      <c r="GU29" s="328"/>
      <c r="GV29" s="328"/>
      <c r="GW29" s="328"/>
      <c r="GX29" s="328"/>
      <c r="GY29" s="328"/>
      <c r="GZ29" s="328"/>
      <c r="HA29" s="328"/>
      <c r="HB29" s="328"/>
      <c r="HC29" s="328"/>
      <c r="HD29" s="328"/>
      <c r="HE29" s="328"/>
      <c r="HF29" s="328"/>
      <c r="HG29" s="328"/>
      <c r="HH29" s="328"/>
      <c r="HI29" s="328"/>
      <c r="HJ29" s="328"/>
      <c r="HK29" s="328"/>
      <c r="HL29" s="328"/>
      <c r="HM29" s="328"/>
      <c r="HN29" s="328"/>
      <c r="HO29" s="328"/>
      <c r="HP29" s="328"/>
      <c r="HQ29" s="328"/>
      <c r="HR29" s="328"/>
      <c r="HS29" s="328"/>
      <c r="HT29" s="328"/>
      <c r="HU29" s="328"/>
      <c r="HV29" s="328"/>
      <c r="HW29" s="328"/>
      <c r="HX29" s="328"/>
      <c r="HY29" s="328"/>
      <c r="HZ29" s="328"/>
      <c r="IA29" s="328"/>
      <c r="IB29" s="328"/>
      <c r="IC29" s="328"/>
      <c r="ID29" s="328"/>
      <c r="IE29" s="328"/>
      <c r="IF29" s="328"/>
      <c r="IG29" s="328"/>
      <c r="IH29" s="328"/>
      <c r="II29" s="328"/>
      <c r="IJ29" s="328"/>
      <c r="IK29" s="328"/>
      <c r="IL29" s="328"/>
      <c r="IM29" s="328"/>
      <c r="IN29" s="328"/>
      <c r="IO29" s="328"/>
      <c r="IP29" s="328"/>
      <c r="IQ29" s="328"/>
      <c r="IR29" s="328"/>
      <c r="IS29" s="328"/>
      <c r="IT29" s="328"/>
      <c r="IU29" s="328"/>
      <c r="IV29" s="328"/>
      <c r="IW29" s="328"/>
      <c r="IX29" s="328"/>
      <c r="IY29" s="328"/>
    </row>
    <row r="30" spans="2:259" s="327" customFormat="1" ht="12.75" customHeight="1" x14ac:dyDescent="0.2">
      <c r="B30" s="968"/>
      <c r="C30" s="746" t="s">
        <v>317</v>
      </c>
      <c r="D30" s="686" t="s">
        <v>130</v>
      </c>
      <c r="E30" s="686" t="s">
        <v>137</v>
      </c>
      <c r="F30" s="687" t="s">
        <v>277</v>
      </c>
      <c r="G30" s="734">
        <v>0</v>
      </c>
      <c r="H30" s="688">
        <f>+G30*(1+$H$7)</f>
        <v>0</v>
      </c>
      <c r="I30" s="738">
        <v>0</v>
      </c>
      <c r="J30" s="742">
        <v>0</v>
      </c>
      <c r="K30" s="724">
        <f t="shared" si="1"/>
        <v>0</v>
      </c>
      <c r="L30" s="958"/>
      <c r="M30" s="685" t="s">
        <v>368</v>
      </c>
      <c r="N30" s="335"/>
      <c r="O30" s="722">
        <v>2385835</v>
      </c>
      <c r="P30" s="724">
        <v>2642357</v>
      </c>
      <c r="Q30" s="330"/>
      <c r="R30" s="330"/>
      <c r="S30" s="333"/>
      <c r="T30" s="332"/>
      <c r="U30" s="332"/>
      <c r="V30" s="332"/>
      <c r="W30" s="332"/>
      <c r="X30" s="334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8"/>
      <c r="BK30" s="328"/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8"/>
      <c r="BY30" s="328"/>
      <c r="BZ30" s="328"/>
      <c r="CA30" s="328"/>
      <c r="CB30" s="328"/>
      <c r="CC30" s="328"/>
      <c r="CD30" s="328"/>
      <c r="CE30" s="328"/>
      <c r="CF30" s="328"/>
      <c r="CG30" s="328"/>
      <c r="CH30" s="328"/>
      <c r="CI30" s="328"/>
      <c r="CJ30" s="328"/>
      <c r="CK30" s="328"/>
      <c r="CL30" s="328"/>
      <c r="CM30" s="328"/>
      <c r="CN30" s="328"/>
      <c r="CO30" s="328"/>
      <c r="CP30" s="328"/>
      <c r="CQ30" s="328"/>
      <c r="CR30" s="328"/>
      <c r="CS30" s="328"/>
      <c r="CT30" s="328"/>
      <c r="CU30" s="328"/>
      <c r="CV30" s="328"/>
      <c r="CW30" s="328"/>
      <c r="CX30" s="328"/>
      <c r="CY30" s="328"/>
      <c r="CZ30" s="328"/>
      <c r="DA30" s="328"/>
      <c r="DB30" s="328"/>
      <c r="DC30" s="328"/>
      <c r="DD30" s="328"/>
      <c r="DE30" s="328"/>
      <c r="DF30" s="328"/>
      <c r="DG30" s="328"/>
      <c r="DH30" s="328"/>
      <c r="DI30" s="328"/>
      <c r="DJ30" s="328"/>
      <c r="DK30" s="328"/>
      <c r="DL30" s="328"/>
      <c r="DM30" s="328"/>
      <c r="DN30" s="328"/>
      <c r="DO30" s="328"/>
      <c r="DP30" s="328"/>
      <c r="DQ30" s="328"/>
      <c r="DR30" s="328"/>
      <c r="DS30" s="328"/>
      <c r="DT30" s="328"/>
      <c r="DU30" s="328"/>
      <c r="DV30" s="328"/>
      <c r="DW30" s="328"/>
      <c r="DX30" s="328"/>
      <c r="DY30" s="328"/>
      <c r="DZ30" s="328"/>
      <c r="EA30" s="328"/>
      <c r="EB30" s="328"/>
      <c r="EC30" s="328"/>
      <c r="ED30" s="328"/>
      <c r="EE30" s="328"/>
      <c r="EF30" s="328"/>
      <c r="EG30" s="328"/>
      <c r="EH30" s="328"/>
      <c r="EI30" s="328"/>
      <c r="EJ30" s="328"/>
      <c r="EK30" s="328"/>
      <c r="EL30" s="328"/>
      <c r="EM30" s="328"/>
      <c r="EN30" s="328"/>
      <c r="EO30" s="328"/>
      <c r="EP30" s="328"/>
      <c r="EQ30" s="328"/>
      <c r="ER30" s="328"/>
      <c r="ES30" s="328"/>
      <c r="ET30" s="328"/>
      <c r="EU30" s="328"/>
      <c r="EV30" s="328"/>
      <c r="EW30" s="328"/>
      <c r="EX30" s="328"/>
      <c r="EY30" s="328"/>
      <c r="EZ30" s="328"/>
      <c r="FA30" s="328"/>
      <c r="FB30" s="328"/>
      <c r="FC30" s="328"/>
      <c r="FD30" s="328"/>
      <c r="FE30" s="328"/>
      <c r="FF30" s="328"/>
      <c r="FG30" s="328"/>
      <c r="FH30" s="328"/>
      <c r="FI30" s="328"/>
      <c r="FJ30" s="328"/>
      <c r="FK30" s="328"/>
      <c r="FL30" s="328"/>
      <c r="FM30" s="328"/>
      <c r="FN30" s="328"/>
      <c r="FO30" s="328"/>
      <c r="FP30" s="328"/>
      <c r="FQ30" s="328"/>
      <c r="FR30" s="328"/>
      <c r="FS30" s="328"/>
      <c r="FT30" s="328"/>
      <c r="FU30" s="328"/>
      <c r="FV30" s="328"/>
      <c r="FW30" s="328"/>
      <c r="FX30" s="328"/>
      <c r="FY30" s="328"/>
      <c r="FZ30" s="328"/>
      <c r="GA30" s="328"/>
      <c r="GB30" s="328"/>
      <c r="GC30" s="328"/>
      <c r="GD30" s="328"/>
      <c r="GE30" s="328"/>
      <c r="GF30" s="328"/>
      <c r="GG30" s="328"/>
      <c r="GH30" s="328"/>
      <c r="GI30" s="328"/>
      <c r="GJ30" s="328"/>
      <c r="GK30" s="328"/>
      <c r="GL30" s="328"/>
      <c r="GM30" s="328"/>
      <c r="GN30" s="328"/>
      <c r="GO30" s="328"/>
      <c r="GP30" s="328"/>
      <c r="GQ30" s="328"/>
      <c r="GR30" s="328"/>
      <c r="GS30" s="328"/>
      <c r="GT30" s="328"/>
      <c r="GU30" s="328"/>
      <c r="GV30" s="328"/>
      <c r="GW30" s="328"/>
      <c r="GX30" s="328"/>
      <c r="GY30" s="328"/>
      <c r="GZ30" s="328"/>
      <c r="HA30" s="328"/>
      <c r="HB30" s="328"/>
      <c r="HC30" s="328"/>
      <c r="HD30" s="328"/>
      <c r="HE30" s="328"/>
      <c r="HF30" s="328"/>
      <c r="HG30" s="328"/>
      <c r="HH30" s="328"/>
      <c r="HI30" s="328"/>
      <c r="HJ30" s="328"/>
      <c r="HK30" s="328"/>
      <c r="HL30" s="328"/>
      <c r="HM30" s="328"/>
      <c r="HN30" s="328"/>
      <c r="HO30" s="328"/>
      <c r="HP30" s="328"/>
      <c r="HQ30" s="328"/>
      <c r="HR30" s="328"/>
      <c r="HS30" s="328"/>
      <c r="HT30" s="328"/>
      <c r="HU30" s="328"/>
      <c r="HV30" s="328"/>
      <c r="HW30" s="328"/>
      <c r="HX30" s="328"/>
      <c r="HY30" s="328"/>
      <c r="HZ30" s="328"/>
      <c r="IA30" s="328"/>
      <c r="IB30" s="328"/>
      <c r="IC30" s="328"/>
      <c r="ID30" s="328"/>
      <c r="IE30" s="328"/>
      <c r="IF30" s="328"/>
      <c r="IG30" s="328"/>
      <c r="IH30" s="328"/>
      <c r="II30" s="328"/>
      <c r="IJ30" s="328"/>
      <c r="IK30" s="328"/>
      <c r="IL30" s="328"/>
      <c r="IM30" s="328"/>
      <c r="IN30" s="328"/>
      <c r="IO30" s="328"/>
      <c r="IP30" s="328"/>
      <c r="IQ30" s="328"/>
      <c r="IR30" s="328"/>
      <c r="IS30" s="328"/>
      <c r="IT30" s="328"/>
      <c r="IU30" s="328"/>
      <c r="IV30" s="328"/>
      <c r="IW30" s="328"/>
      <c r="IX30" s="328"/>
      <c r="IY30" s="328"/>
    </row>
    <row r="31" spans="2:259" s="327" customFormat="1" ht="12.75" customHeight="1" x14ac:dyDescent="0.2">
      <c r="B31" s="968"/>
      <c r="C31" s="382"/>
      <c r="D31" s="383" t="s">
        <v>130</v>
      </c>
      <c r="E31" s="383" t="s">
        <v>137</v>
      </c>
      <c r="F31" s="384" t="s">
        <v>277</v>
      </c>
      <c r="G31" s="726">
        <v>744482</v>
      </c>
      <c r="H31" s="585">
        <f t="shared" si="2"/>
        <v>798084.70400000003</v>
      </c>
      <c r="I31" s="738">
        <v>100000</v>
      </c>
      <c r="J31" s="742">
        <v>0</v>
      </c>
      <c r="K31" s="724">
        <f t="shared" si="1"/>
        <v>898084.70400000003</v>
      </c>
      <c r="L31" s="958"/>
      <c r="M31" s="685" t="s">
        <v>362</v>
      </c>
      <c r="N31" s="335"/>
      <c r="O31" s="722">
        <v>798085</v>
      </c>
      <c r="P31" s="724">
        <v>898085</v>
      </c>
      <c r="Q31" s="330"/>
      <c r="R31" s="330"/>
      <c r="S31" s="333"/>
      <c r="T31" s="332"/>
      <c r="U31" s="332"/>
      <c r="V31" s="332"/>
      <c r="W31" s="332"/>
      <c r="X31" s="334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328"/>
      <c r="AY31" s="328"/>
      <c r="AZ31" s="328"/>
      <c r="BA31" s="328"/>
      <c r="BB31" s="328"/>
      <c r="BC31" s="328"/>
      <c r="BD31" s="328"/>
      <c r="BE31" s="328"/>
      <c r="BF31" s="328"/>
      <c r="BG31" s="328"/>
      <c r="BH31" s="328"/>
      <c r="BI31" s="328"/>
      <c r="BJ31" s="328"/>
      <c r="BK31" s="328"/>
      <c r="BL31" s="328"/>
      <c r="BM31" s="328"/>
      <c r="BN31" s="328"/>
      <c r="BO31" s="328"/>
      <c r="BP31" s="328"/>
      <c r="BQ31" s="328"/>
      <c r="BR31" s="328"/>
      <c r="BS31" s="328"/>
      <c r="BT31" s="328"/>
      <c r="BU31" s="328"/>
      <c r="BV31" s="328"/>
      <c r="BW31" s="328"/>
      <c r="BX31" s="328"/>
      <c r="BY31" s="328"/>
      <c r="BZ31" s="328"/>
      <c r="CA31" s="328"/>
      <c r="CB31" s="328"/>
      <c r="CC31" s="328"/>
      <c r="CD31" s="328"/>
      <c r="CE31" s="328"/>
      <c r="CF31" s="328"/>
      <c r="CG31" s="328"/>
      <c r="CH31" s="328"/>
      <c r="CI31" s="328"/>
      <c r="CJ31" s="328"/>
      <c r="CK31" s="328"/>
      <c r="CL31" s="328"/>
      <c r="CM31" s="328"/>
      <c r="CN31" s="328"/>
      <c r="CO31" s="328"/>
      <c r="CP31" s="328"/>
      <c r="CQ31" s="328"/>
      <c r="CR31" s="328"/>
      <c r="CS31" s="328"/>
      <c r="CT31" s="328"/>
      <c r="CU31" s="328"/>
      <c r="CV31" s="328"/>
      <c r="CW31" s="328"/>
      <c r="CX31" s="328"/>
      <c r="CY31" s="328"/>
      <c r="CZ31" s="328"/>
      <c r="DA31" s="328"/>
      <c r="DB31" s="328"/>
      <c r="DC31" s="328"/>
      <c r="DD31" s="328"/>
      <c r="DE31" s="328"/>
      <c r="DF31" s="328"/>
      <c r="DG31" s="328"/>
      <c r="DH31" s="328"/>
      <c r="DI31" s="328"/>
      <c r="DJ31" s="328"/>
      <c r="DK31" s="328"/>
      <c r="DL31" s="328"/>
      <c r="DM31" s="328"/>
      <c r="DN31" s="328"/>
      <c r="DO31" s="328"/>
      <c r="DP31" s="328"/>
      <c r="DQ31" s="328"/>
      <c r="DR31" s="328"/>
      <c r="DS31" s="328"/>
      <c r="DT31" s="328"/>
      <c r="DU31" s="328"/>
      <c r="DV31" s="328"/>
      <c r="DW31" s="328"/>
      <c r="DX31" s="328"/>
      <c r="DY31" s="328"/>
      <c r="DZ31" s="328"/>
      <c r="EA31" s="328"/>
      <c r="EB31" s="328"/>
      <c r="EC31" s="328"/>
      <c r="ED31" s="328"/>
      <c r="EE31" s="328"/>
      <c r="EF31" s="328"/>
      <c r="EG31" s="328"/>
      <c r="EH31" s="328"/>
      <c r="EI31" s="328"/>
      <c r="EJ31" s="328"/>
      <c r="EK31" s="328"/>
      <c r="EL31" s="328"/>
      <c r="EM31" s="328"/>
      <c r="EN31" s="328"/>
      <c r="EO31" s="328"/>
      <c r="EP31" s="328"/>
      <c r="EQ31" s="328"/>
      <c r="ER31" s="328"/>
      <c r="ES31" s="328"/>
      <c r="ET31" s="328"/>
      <c r="EU31" s="328"/>
      <c r="EV31" s="328"/>
      <c r="EW31" s="328"/>
      <c r="EX31" s="328"/>
      <c r="EY31" s="328"/>
      <c r="EZ31" s="328"/>
      <c r="FA31" s="328"/>
      <c r="FB31" s="328"/>
      <c r="FC31" s="328"/>
      <c r="FD31" s="328"/>
      <c r="FE31" s="328"/>
      <c r="FF31" s="328"/>
      <c r="FG31" s="328"/>
      <c r="FH31" s="328"/>
      <c r="FI31" s="328"/>
      <c r="FJ31" s="328"/>
      <c r="FK31" s="328"/>
      <c r="FL31" s="328"/>
      <c r="FM31" s="328"/>
      <c r="FN31" s="328"/>
      <c r="FO31" s="328"/>
      <c r="FP31" s="328"/>
      <c r="FQ31" s="328"/>
      <c r="FR31" s="328"/>
      <c r="FS31" s="328"/>
      <c r="FT31" s="328"/>
      <c r="FU31" s="328"/>
      <c r="FV31" s="328"/>
      <c r="FW31" s="328"/>
      <c r="FX31" s="328"/>
      <c r="FY31" s="328"/>
      <c r="FZ31" s="328"/>
      <c r="GA31" s="328"/>
      <c r="GB31" s="328"/>
      <c r="GC31" s="328"/>
      <c r="GD31" s="328"/>
      <c r="GE31" s="328"/>
      <c r="GF31" s="328"/>
      <c r="GG31" s="328"/>
      <c r="GH31" s="328"/>
      <c r="GI31" s="328"/>
      <c r="GJ31" s="328"/>
      <c r="GK31" s="328"/>
      <c r="GL31" s="328"/>
      <c r="GM31" s="328"/>
      <c r="GN31" s="328"/>
      <c r="GO31" s="328"/>
      <c r="GP31" s="328"/>
      <c r="GQ31" s="328"/>
      <c r="GR31" s="328"/>
      <c r="GS31" s="328"/>
      <c r="GT31" s="328"/>
      <c r="GU31" s="328"/>
      <c r="GV31" s="328"/>
      <c r="GW31" s="328"/>
      <c r="GX31" s="328"/>
      <c r="GY31" s="328"/>
      <c r="GZ31" s="328"/>
      <c r="HA31" s="328"/>
      <c r="HB31" s="328"/>
      <c r="HC31" s="328"/>
      <c r="HD31" s="328"/>
      <c r="HE31" s="328"/>
      <c r="HF31" s="328"/>
      <c r="HG31" s="328"/>
      <c r="HH31" s="328"/>
      <c r="HI31" s="328"/>
      <c r="HJ31" s="328"/>
      <c r="HK31" s="328"/>
      <c r="HL31" s="328"/>
      <c r="HM31" s="328"/>
      <c r="HN31" s="328"/>
      <c r="HO31" s="328"/>
      <c r="HP31" s="328"/>
      <c r="HQ31" s="328"/>
      <c r="HR31" s="328"/>
      <c r="HS31" s="328"/>
      <c r="HT31" s="328"/>
      <c r="HU31" s="328"/>
      <c r="HV31" s="328"/>
      <c r="HW31" s="328"/>
      <c r="HX31" s="328"/>
      <c r="HY31" s="328"/>
      <c r="HZ31" s="328"/>
      <c r="IA31" s="328"/>
      <c r="IB31" s="328"/>
      <c r="IC31" s="328"/>
      <c r="ID31" s="328"/>
      <c r="IE31" s="328"/>
      <c r="IF31" s="328"/>
      <c r="IG31" s="328"/>
      <c r="IH31" s="328"/>
      <c r="II31" s="328"/>
      <c r="IJ31" s="328"/>
      <c r="IK31" s="328"/>
      <c r="IL31" s="328"/>
      <c r="IM31" s="328"/>
      <c r="IN31" s="328"/>
      <c r="IO31" s="328"/>
      <c r="IP31" s="328"/>
      <c r="IQ31" s="328"/>
      <c r="IR31" s="328"/>
      <c r="IS31" s="328"/>
      <c r="IT31" s="328"/>
      <c r="IU31" s="328"/>
      <c r="IV31" s="328"/>
      <c r="IW31" s="328"/>
      <c r="IX31" s="328"/>
      <c r="IY31" s="328"/>
    </row>
    <row r="32" spans="2:259" s="327" customFormat="1" ht="12.75" customHeight="1" x14ac:dyDescent="0.2">
      <c r="B32" s="968"/>
      <c r="C32" s="382" t="s">
        <v>319</v>
      </c>
      <c r="D32" s="383" t="s">
        <v>130</v>
      </c>
      <c r="E32" s="383" t="s">
        <v>138</v>
      </c>
      <c r="F32" s="384" t="s">
        <v>277</v>
      </c>
      <c r="G32" s="726">
        <v>4848895</v>
      </c>
      <c r="H32" s="585">
        <f t="shared" si="2"/>
        <v>5198015.4400000004</v>
      </c>
      <c r="I32" s="738">
        <v>290000</v>
      </c>
      <c r="J32" s="742">
        <v>133044</v>
      </c>
      <c r="K32" s="724">
        <f t="shared" si="1"/>
        <v>5621059.4400000004</v>
      </c>
      <c r="L32" s="958"/>
      <c r="M32" s="331"/>
      <c r="N32" s="335"/>
      <c r="O32" s="722">
        <v>5198016</v>
      </c>
      <c r="P32" s="724">
        <v>5621060</v>
      </c>
      <c r="Q32" s="330"/>
      <c r="R32" s="330"/>
      <c r="S32" s="333"/>
      <c r="T32" s="332"/>
      <c r="U32" s="332"/>
      <c r="V32" s="332"/>
      <c r="W32" s="332"/>
      <c r="X32" s="334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8"/>
      <c r="BG32" s="328"/>
      <c r="BH32" s="328"/>
      <c r="BI32" s="328"/>
      <c r="BJ32" s="328"/>
      <c r="BK32" s="328"/>
      <c r="BL32" s="328"/>
      <c r="BM32" s="328"/>
      <c r="BN32" s="328"/>
      <c r="BO32" s="328"/>
      <c r="BP32" s="328"/>
      <c r="BQ32" s="328"/>
      <c r="BR32" s="328"/>
      <c r="BS32" s="328"/>
      <c r="BT32" s="328"/>
      <c r="BU32" s="328"/>
      <c r="BV32" s="328"/>
      <c r="BW32" s="328"/>
      <c r="BX32" s="328"/>
      <c r="BY32" s="328"/>
      <c r="BZ32" s="328"/>
      <c r="CA32" s="328"/>
      <c r="CB32" s="328"/>
      <c r="CC32" s="328"/>
      <c r="CD32" s="328"/>
      <c r="CE32" s="328"/>
      <c r="CF32" s="328"/>
      <c r="CG32" s="328"/>
      <c r="CH32" s="328"/>
      <c r="CI32" s="328"/>
      <c r="CJ32" s="328"/>
      <c r="CK32" s="328"/>
      <c r="CL32" s="328"/>
      <c r="CM32" s="328"/>
      <c r="CN32" s="328"/>
      <c r="CO32" s="328"/>
      <c r="CP32" s="328"/>
      <c r="CQ32" s="328"/>
      <c r="CR32" s="328"/>
      <c r="CS32" s="328"/>
      <c r="CT32" s="328"/>
      <c r="CU32" s="328"/>
      <c r="CV32" s="328"/>
      <c r="CW32" s="328"/>
      <c r="CX32" s="328"/>
      <c r="CY32" s="328"/>
      <c r="CZ32" s="328"/>
      <c r="DA32" s="328"/>
      <c r="DB32" s="328"/>
      <c r="DC32" s="328"/>
      <c r="DD32" s="328"/>
      <c r="DE32" s="328"/>
      <c r="DF32" s="328"/>
      <c r="DG32" s="328"/>
      <c r="DH32" s="328"/>
      <c r="DI32" s="328"/>
      <c r="DJ32" s="328"/>
      <c r="DK32" s="328"/>
      <c r="DL32" s="328"/>
      <c r="DM32" s="328"/>
      <c r="DN32" s="328"/>
      <c r="DO32" s="328"/>
      <c r="DP32" s="328"/>
      <c r="DQ32" s="328"/>
      <c r="DR32" s="328"/>
      <c r="DS32" s="328"/>
      <c r="DT32" s="328"/>
      <c r="DU32" s="328"/>
      <c r="DV32" s="328"/>
      <c r="DW32" s="328"/>
      <c r="DX32" s="328"/>
      <c r="DY32" s="328"/>
      <c r="DZ32" s="328"/>
      <c r="EA32" s="328"/>
      <c r="EB32" s="328"/>
      <c r="EC32" s="328"/>
      <c r="ED32" s="328"/>
      <c r="EE32" s="328"/>
      <c r="EF32" s="328"/>
      <c r="EG32" s="328"/>
      <c r="EH32" s="328"/>
      <c r="EI32" s="328"/>
      <c r="EJ32" s="328"/>
      <c r="EK32" s="328"/>
      <c r="EL32" s="328"/>
      <c r="EM32" s="328"/>
      <c r="EN32" s="328"/>
      <c r="EO32" s="328"/>
      <c r="EP32" s="328"/>
      <c r="EQ32" s="328"/>
      <c r="ER32" s="328"/>
      <c r="ES32" s="328"/>
      <c r="ET32" s="328"/>
      <c r="EU32" s="328"/>
      <c r="EV32" s="328"/>
      <c r="EW32" s="328"/>
      <c r="EX32" s="328"/>
      <c r="EY32" s="328"/>
      <c r="EZ32" s="328"/>
      <c r="FA32" s="328"/>
      <c r="FB32" s="328"/>
      <c r="FC32" s="328"/>
      <c r="FD32" s="328"/>
      <c r="FE32" s="328"/>
      <c r="FF32" s="328"/>
      <c r="FG32" s="328"/>
      <c r="FH32" s="328"/>
      <c r="FI32" s="328"/>
      <c r="FJ32" s="328"/>
      <c r="FK32" s="328"/>
      <c r="FL32" s="328"/>
      <c r="FM32" s="328"/>
      <c r="FN32" s="328"/>
      <c r="FO32" s="328"/>
      <c r="FP32" s="328"/>
      <c r="FQ32" s="328"/>
      <c r="FR32" s="328"/>
      <c r="FS32" s="328"/>
      <c r="FT32" s="328"/>
      <c r="FU32" s="328"/>
      <c r="FV32" s="328"/>
      <c r="FW32" s="328"/>
      <c r="FX32" s="328"/>
      <c r="FY32" s="328"/>
      <c r="FZ32" s="328"/>
      <c r="GA32" s="328"/>
      <c r="GB32" s="328"/>
      <c r="GC32" s="328"/>
      <c r="GD32" s="328"/>
      <c r="GE32" s="328"/>
      <c r="GF32" s="328"/>
      <c r="GG32" s="328"/>
      <c r="GH32" s="328"/>
      <c r="GI32" s="328"/>
      <c r="GJ32" s="328"/>
      <c r="GK32" s="328"/>
      <c r="GL32" s="328"/>
      <c r="GM32" s="328"/>
      <c r="GN32" s="328"/>
      <c r="GO32" s="328"/>
      <c r="GP32" s="328"/>
      <c r="GQ32" s="328"/>
      <c r="GR32" s="328"/>
      <c r="GS32" s="328"/>
      <c r="GT32" s="328"/>
      <c r="GU32" s="328"/>
      <c r="GV32" s="328"/>
      <c r="GW32" s="328"/>
      <c r="GX32" s="328"/>
      <c r="GY32" s="328"/>
      <c r="GZ32" s="328"/>
      <c r="HA32" s="328"/>
      <c r="HB32" s="328"/>
      <c r="HC32" s="328"/>
      <c r="HD32" s="328"/>
      <c r="HE32" s="328"/>
      <c r="HF32" s="328"/>
      <c r="HG32" s="328"/>
      <c r="HH32" s="328"/>
      <c r="HI32" s="328"/>
      <c r="HJ32" s="328"/>
      <c r="HK32" s="328"/>
      <c r="HL32" s="328"/>
      <c r="HM32" s="328"/>
      <c r="HN32" s="328"/>
      <c r="HO32" s="328"/>
      <c r="HP32" s="328"/>
      <c r="HQ32" s="328"/>
      <c r="HR32" s="328"/>
      <c r="HS32" s="328"/>
      <c r="HT32" s="328"/>
      <c r="HU32" s="328"/>
      <c r="HV32" s="328"/>
      <c r="HW32" s="328"/>
      <c r="HX32" s="328"/>
      <c r="HY32" s="328"/>
      <c r="HZ32" s="328"/>
      <c r="IA32" s="328"/>
      <c r="IB32" s="328"/>
      <c r="IC32" s="328"/>
      <c r="ID32" s="328"/>
      <c r="IE32" s="328"/>
      <c r="IF32" s="328"/>
      <c r="IG32" s="328"/>
      <c r="IH32" s="328"/>
      <c r="II32" s="328"/>
      <c r="IJ32" s="328"/>
      <c r="IK32" s="328"/>
      <c r="IL32" s="328"/>
      <c r="IM32" s="328"/>
      <c r="IN32" s="328"/>
      <c r="IO32" s="328"/>
      <c r="IP32" s="328"/>
      <c r="IQ32" s="328"/>
      <c r="IR32" s="328"/>
      <c r="IS32" s="328"/>
      <c r="IT32" s="328"/>
      <c r="IU32" s="328"/>
      <c r="IV32" s="328"/>
      <c r="IW32" s="328"/>
      <c r="IX32" s="328"/>
      <c r="IY32" s="328"/>
    </row>
    <row r="33" spans="2:259" s="327" customFormat="1" ht="12.75" customHeight="1" x14ac:dyDescent="0.2">
      <c r="B33" s="968"/>
      <c r="C33" s="382"/>
      <c r="D33" s="383"/>
      <c r="E33" s="383"/>
      <c r="F33" s="384"/>
      <c r="G33" s="726">
        <v>0</v>
      </c>
      <c r="H33" s="585">
        <f t="shared" si="2"/>
        <v>0</v>
      </c>
      <c r="I33" s="738">
        <v>0</v>
      </c>
      <c r="J33" s="742">
        <v>0</v>
      </c>
      <c r="K33" s="724">
        <f t="shared" si="1"/>
        <v>0</v>
      </c>
      <c r="L33" s="958"/>
      <c r="M33" s="331"/>
      <c r="N33" s="335"/>
      <c r="O33" s="585">
        <f t="shared" si="3"/>
        <v>0</v>
      </c>
      <c r="P33" s="724">
        <v>0</v>
      </c>
      <c r="Q33" s="330"/>
      <c r="R33" s="330"/>
      <c r="S33" s="333"/>
      <c r="T33" s="332"/>
      <c r="U33" s="332"/>
      <c r="V33" s="332"/>
      <c r="W33" s="332"/>
      <c r="X33" s="334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R33" s="328"/>
      <c r="BS33" s="328"/>
      <c r="BT33" s="328"/>
      <c r="BU33" s="328"/>
      <c r="BV33" s="328"/>
      <c r="BW33" s="328"/>
      <c r="BX33" s="328"/>
      <c r="BY33" s="328"/>
      <c r="BZ33" s="328"/>
      <c r="CA33" s="328"/>
      <c r="CB33" s="328"/>
      <c r="CC33" s="328"/>
      <c r="CD33" s="328"/>
      <c r="CE33" s="328"/>
      <c r="CF33" s="328"/>
      <c r="CG33" s="328"/>
      <c r="CH33" s="328"/>
      <c r="CI33" s="328"/>
      <c r="CJ33" s="328"/>
      <c r="CK33" s="328"/>
      <c r="CL33" s="328"/>
      <c r="CM33" s="328"/>
      <c r="CN33" s="328"/>
      <c r="CO33" s="328"/>
      <c r="CP33" s="328"/>
      <c r="CQ33" s="328"/>
      <c r="CR33" s="328"/>
      <c r="CS33" s="328"/>
      <c r="CT33" s="328"/>
      <c r="CU33" s="328"/>
      <c r="CV33" s="328"/>
      <c r="CW33" s="328"/>
      <c r="CX33" s="328"/>
      <c r="CY33" s="328"/>
      <c r="CZ33" s="328"/>
      <c r="DA33" s="328"/>
      <c r="DB33" s="328"/>
      <c r="DC33" s="328"/>
      <c r="DD33" s="328"/>
      <c r="DE33" s="328"/>
      <c r="DF33" s="328"/>
      <c r="DG33" s="328"/>
      <c r="DH33" s="328"/>
      <c r="DI33" s="328"/>
      <c r="DJ33" s="328"/>
      <c r="DK33" s="328"/>
      <c r="DL33" s="328"/>
      <c r="DM33" s="328"/>
      <c r="DN33" s="328"/>
      <c r="DO33" s="328"/>
      <c r="DP33" s="328"/>
      <c r="DQ33" s="328"/>
      <c r="DR33" s="328"/>
      <c r="DS33" s="328"/>
      <c r="DT33" s="328"/>
      <c r="DU33" s="328"/>
      <c r="DV33" s="328"/>
      <c r="DW33" s="328"/>
      <c r="DX33" s="328"/>
      <c r="DY33" s="328"/>
      <c r="DZ33" s="328"/>
      <c r="EA33" s="328"/>
      <c r="EB33" s="328"/>
      <c r="EC33" s="328"/>
      <c r="ED33" s="328"/>
      <c r="EE33" s="328"/>
      <c r="EF33" s="328"/>
      <c r="EG33" s="328"/>
      <c r="EH33" s="328"/>
      <c r="EI33" s="328"/>
      <c r="EJ33" s="328"/>
      <c r="EK33" s="328"/>
      <c r="EL33" s="328"/>
      <c r="EM33" s="328"/>
      <c r="EN33" s="328"/>
      <c r="EO33" s="328"/>
      <c r="EP33" s="328"/>
      <c r="EQ33" s="328"/>
      <c r="ER33" s="328"/>
      <c r="ES33" s="328"/>
      <c r="ET33" s="328"/>
      <c r="EU33" s="328"/>
      <c r="EV33" s="328"/>
      <c r="EW33" s="328"/>
      <c r="EX33" s="328"/>
      <c r="EY33" s="328"/>
      <c r="EZ33" s="328"/>
      <c r="FA33" s="328"/>
      <c r="FB33" s="328"/>
      <c r="FC33" s="328"/>
      <c r="FD33" s="328"/>
      <c r="FE33" s="328"/>
      <c r="FF33" s="328"/>
      <c r="FG33" s="328"/>
      <c r="FH33" s="328"/>
      <c r="FI33" s="328"/>
      <c r="FJ33" s="328"/>
      <c r="FK33" s="328"/>
      <c r="FL33" s="328"/>
      <c r="FM33" s="328"/>
      <c r="FN33" s="328"/>
      <c r="FO33" s="328"/>
      <c r="FP33" s="328"/>
      <c r="FQ33" s="328"/>
      <c r="FR33" s="328"/>
      <c r="FS33" s="328"/>
      <c r="FT33" s="328"/>
      <c r="FU33" s="328"/>
      <c r="FV33" s="328"/>
      <c r="FW33" s="328"/>
      <c r="FX33" s="328"/>
      <c r="FY33" s="328"/>
      <c r="FZ33" s="328"/>
      <c r="GA33" s="328"/>
      <c r="GB33" s="328"/>
      <c r="GC33" s="328"/>
      <c r="GD33" s="328"/>
      <c r="GE33" s="328"/>
      <c r="GF33" s="328"/>
      <c r="GG33" s="328"/>
      <c r="GH33" s="328"/>
      <c r="GI33" s="328"/>
      <c r="GJ33" s="328"/>
      <c r="GK33" s="328"/>
      <c r="GL33" s="328"/>
      <c r="GM33" s="328"/>
      <c r="GN33" s="328"/>
      <c r="GO33" s="328"/>
      <c r="GP33" s="328"/>
      <c r="GQ33" s="328"/>
      <c r="GR33" s="328"/>
      <c r="GS33" s="328"/>
      <c r="GT33" s="328"/>
      <c r="GU33" s="328"/>
      <c r="GV33" s="328"/>
      <c r="GW33" s="328"/>
      <c r="GX33" s="328"/>
      <c r="GY33" s="328"/>
      <c r="GZ33" s="328"/>
      <c r="HA33" s="328"/>
      <c r="HB33" s="328"/>
      <c r="HC33" s="328"/>
      <c r="HD33" s="328"/>
      <c r="HE33" s="328"/>
      <c r="HF33" s="328"/>
      <c r="HG33" s="328"/>
      <c r="HH33" s="328"/>
      <c r="HI33" s="328"/>
      <c r="HJ33" s="328"/>
      <c r="HK33" s="328"/>
      <c r="HL33" s="328"/>
      <c r="HM33" s="328"/>
      <c r="HN33" s="328"/>
      <c r="HO33" s="328"/>
      <c r="HP33" s="328"/>
      <c r="HQ33" s="328"/>
      <c r="HR33" s="328"/>
      <c r="HS33" s="328"/>
      <c r="HT33" s="328"/>
      <c r="HU33" s="328"/>
      <c r="HV33" s="328"/>
      <c r="HW33" s="328"/>
      <c r="HX33" s="328"/>
      <c r="HY33" s="328"/>
      <c r="HZ33" s="328"/>
      <c r="IA33" s="328"/>
      <c r="IB33" s="328"/>
      <c r="IC33" s="328"/>
      <c r="ID33" s="328"/>
      <c r="IE33" s="328"/>
      <c r="IF33" s="328"/>
      <c r="IG33" s="328"/>
      <c r="IH33" s="328"/>
      <c r="II33" s="328"/>
      <c r="IJ33" s="328"/>
      <c r="IK33" s="328"/>
      <c r="IL33" s="328"/>
      <c r="IM33" s="328"/>
      <c r="IN33" s="328"/>
      <c r="IO33" s="328"/>
      <c r="IP33" s="328"/>
      <c r="IQ33" s="328"/>
      <c r="IR33" s="328"/>
      <c r="IS33" s="328"/>
      <c r="IT33" s="328"/>
      <c r="IU33" s="328"/>
      <c r="IV33" s="328"/>
      <c r="IW33" s="328"/>
      <c r="IX33" s="328"/>
      <c r="IY33" s="328"/>
    </row>
    <row r="34" spans="2:259" s="327" customFormat="1" ht="12.75" customHeight="1" x14ac:dyDescent="0.2">
      <c r="B34" s="968"/>
      <c r="C34" s="382"/>
      <c r="D34" s="383"/>
      <c r="E34" s="383"/>
      <c r="F34" s="384"/>
      <c r="G34" s="726">
        <v>0</v>
      </c>
      <c r="H34" s="585">
        <f t="shared" si="2"/>
        <v>0</v>
      </c>
      <c r="I34" s="738">
        <v>0</v>
      </c>
      <c r="J34" s="742">
        <v>0</v>
      </c>
      <c r="K34" s="724">
        <f t="shared" si="1"/>
        <v>0</v>
      </c>
      <c r="L34" s="958"/>
      <c r="M34" s="331"/>
      <c r="N34" s="335"/>
      <c r="O34" s="585">
        <f t="shared" si="3"/>
        <v>0</v>
      </c>
      <c r="P34" s="724">
        <v>0</v>
      </c>
      <c r="Q34" s="330"/>
      <c r="R34" s="330"/>
      <c r="S34" s="333"/>
      <c r="T34" s="332"/>
      <c r="U34" s="332"/>
      <c r="V34" s="332"/>
      <c r="W34" s="332"/>
      <c r="X34" s="334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/>
      <c r="BA34" s="328"/>
      <c r="BB34" s="328"/>
      <c r="BC34" s="328"/>
      <c r="BD34" s="328"/>
      <c r="BE34" s="328"/>
      <c r="BF34" s="328"/>
      <c r="BG34" s="328"/>
      <c r="BH34" s="328"/>
      <c r="BI34" s="328"/>
      <c r="BJ34" s="328"/>
      <c r="BK34" s="328"/>
      <c r="BL34" s="328"/>
      <c r="BM34" s="328"/>
      <c r="BN34" s="328"/>
      <c r="BO34" s="328"/>
      <c r="BP34" s="328"/>
      <c r="BQ34" s="328"/>
      <c r="BR34" s="328"/>
      <c r="BS34" s="328"/>
      <c r="BT34" s="328"/>
      <c r="BU34" s="328"/>
      <c r="BV34" s="328"/>
      <c r="BW34" s="328"/>
      <c r="BX34" s="328"/>
      <c r="BY34" s="328"/>
      <c r="BZ34" s="328"/>
      <c r="CA34" s="328"/>
      <c r="CB34" s="328"/>
      <c r="CC34" s="328"/>
      <c r="CD34" s="328"/>
      <c r="CE34" s="328"/>
      <c r="CF34" s="328"/>
      <c r="CG34" s="328"/>
      <c r="CH34" s="328"/>
      <c r="CI34" s="328"/>
      <c r="CJ34" s="328"/>
      <c r="CK34" s="328"/>
      <c r="CL34" s="328"/>
      <c r="CM34" s="328"/>
      <c r="CN34" s="328"/>
      <c r="CO34" s="328"/>
      <c r="CP34" s="328"/>
      <c r="CQ34" s="328"/>
      <c r="CR34" s="328"/>
      <c r="CS34" s="328"/>
      <c r="CT34" s="328"/>
      <c r="CU34" s="328"/>
      <c r="CV34" s="328"/>
      <c r="CW34" s="328"/>
      <c r="CX34" s="328"/>
      <c r="CY34" s="328"/>
      <c r="CZ34" s="328"/>
      <c r="DA34" s="328"/>
      <c r="DB34" s="328"/>
      <c r="DC34" s="328"/>
      <c r="DD34" s="328"/>
      <c r="DE34" s="328"/>
      <c r="DF34" s="328"/>
      <c r="DG34" s="328"/>
      <c r="DH34" s="328"/>
      <c r="DI34" s="328"/>
      <c r="DJ34" s="328"/>
      <c r="DK34" s="328"/>
      <c r="DL34" s="328"/>
      <c r="DM34" s="328"/>
      <c r="DN34" s="328"/>
      <c r="DO34" s="328"/>
      <c r="DP34" s="328"/>
      <c r="DQ34" s="328"/>
      <c r="DR34" s="328"/>
      <c r="DS34" s="328"/>
      <c r="DT34" s="328"/>
      <c r="DU34" s="328"/>
      <c r="DV34" s="328"/>
      <c r="DW34" s="328"/>
      <c r="DX34" s="328"/>
      <c r="DY34" s="328"/>
      <c r="DZ34" s="328"/>
      <c r="EA34" s="328"/>
      <c r="EB34" s="328"/>
      <c r="EC34" s="328"/>
      <c r="ED34" s="328"/>
      <c r="EE34" s="328"/>
      <c r="EF34" s="328"/>
      <c r="EG34" s="328"/>
      <c r="EH34" s="328"/>
      <c r="EI34" s="328"/>
      <c r="EJ34" s="328"/>
      <c r="EK34" s="328"/>
      <c r="EL34" s="328"/>
      <c r="EM34" s="328"/>
      <c r="EN34" s="328"/>
      <c r="EO34" s="328"/>
      <c r="EP34" s="328"/>
      <c r="EQ34" s="328"/>
      <c r="ER34" s="328"/>
      <c r="ES34" s="328"/>
      <c r="ET34" s="328"/>
      <c r="EU34" s="328"/>
      <c r="EV34" s="328"/>
      <c r="EW34" s="328"/>
      <c r="EX34" s="328"/>
      <c r="EY34" s="328"/>
      <c r="EZ34" s="328"/>
      <c r="FA34" s="328"/>
      <c r="FB34" s="328"/>
      <c r="FC34" s="328"/>
      <c r="FD34" s="328"/>
      <c r="FE34" s="328"/>
      <c r="FF34" s="328"/>
      <c r="FG34" s="328"/>
      <c r="FH34" s="328"/>
      <c r="FI34" s="328"/>
      <c r="FJ34" s="328"/>
      <c r="FK34" s="328"/>
      <c r="FL34" s="328"/>
      <c r="FM34" s="328"/>
      <c r="FN34" s="328"/>
      <c r="FO34" s="328"/>
      <c r="FP34" s="328"/>
      <c r="FQ34" s="328"/>
      <c r="FR34" s="328"/>
      <c r="FS34" s="328"/>
      <c r="FT34" s="328"/>
      <c r="FU34" s="328"/>
      <c r="FV34" s="328"/>
      <c r="FW34" s="328"/>
      <c r="FX34" s="328"/>
      <c r="FY34" s="328"/>
      <c r="FZ34" s="328"/>
      <c r="GA34" s="328"/>
      <c r="GB34" s="328"/>
      <c r="GC34" s="328"/>
      <c r="GD34" s="328"/>
      <c r="GE34" s="328"/>
      <c r="GF34" s="328"/>
      <c r="GG34" s="328"/>
      <c r="GH34" s="328"/>
      <c r="GI34" s="328"/>
      <c r="GJ34" s="328"/>
      <c r="GK34" s="328"/>
      <c r="GL34" s="328"/>
      <c r="GM34" s="328"/>
      <c r="GN34" s="328"/>
      <c r="GO34" s="328"/>
      <c r="GP34" s="328"/>
      <c r="GQ34" s="328"/>
      <c r="GR34" s="328"/>
      <c r="GS34" s="328"/>
      <c r="GT34" s="328"/>
      <c r="GU34" s="328"/>
      <c r="GV34" s="328"/>
      <c r="GW34" s="328"/>
      <c r="GX34" s="328"/>
      <c r="GY34" s="328"/>
      <c r="GZ34" s="328"/>
      <c r="HA34" s="328"/>
      <c r="HB34" s="328"/>
      <c r="HC34" s="328"/>
      <c r="HD34" s="328"/>
      <c r="HE34" s="328"/>
      <c r="HF34" s="328"/>
      <c r="HG34" s="328"/>
      <c r="HH34" s="328"/>
      <c r="HI34" s="328"/>
      <c r="HJ34" s="328"/>
      <c r="HK34" s="328"/>
      <c r="HL34" s="328"/>
      <c r="HM34" s="328"/>
      <c r="HN34" s="328"/>
      <c r="HO34" s="328"/>
      <c r="HP34" s="328"/>
      <c r="HQ34" s="328"/>
      <c r="HR34" s="328"/>
      <c r="HS34" s="328"/>
      <c r="HT34" s="328"/>
      <c r="HU34" s="328"/>
      <c r="HV34" s="328"/>
      <c r="HW34" s="328"/>
      <c r="HX34" s="328"/>
      <c r="HY34" s="328"/>
      <c r="HZ34" s="328"/>
      <c r="IA34" s="328"/>
      <c r="IB34" s="328"/>
      <c r="IC34" s="328"/>
      <c r="ID34" s="328"/>
      <c r="IE34" s="328"/>
      <c r="IF34" s="328"/>
      <c r="IG34" s="328"/>
      <c r="IH34" s="328"/>
      <c r="II34" s="328"/>
      <c r="IJ34" s="328"/>
      <c r="IK34" s="328"/>
      <c r="IL34" s="328"/>
      <c r="IM34" s="328"/>
      <c r="IN34" s="328"/>
      <c r="IO34" s="328"/>
      <c r="IP34" s="328"/>
      <c r="IQ34" s="328"/>
      <c r="IR34" s="328"/>
      <c r="IS34" s="328"/>
      <c r="IT34" s="328"/>
      <c r="IU34" s="328"/>
      <c r="IV34" s="328"/>
      <c r="IW34" s="328"/>
      <c r="IX34" s="328"/>
      <c r="IY34" s="328"/>
    </row>
    <row r="35" spans="2:259" s="327" customFormat="1" ht="13.5" customHeight="1" thickBot="1" x14ac:dyDescent="0.25">
      <c r="B35" s="969"/>
      <c r="C35" s="342"/>
      <c r="D35" s="385"/>
      <c r="E35" s="385"/>
      <c r="F35" s="317"/>
      <c r="G35" s="584">
        <v>0</v>
      </c>
      <c r="H35" s="587">
        <f t="shared" si="2"/>
        <v>0</v>
      </c>
      <c r="I35" s="739">
        <v>0</v>
      </c>
      <c r="J35" s="743">
        <v>0</v>
      </c>
      <c r="K35" s="740">
        <f t="shared" si="1"/>
        <v>0</v>
      </c>
      <c r="L35" s="974"/>
      <c r="M35" s="331"/>
      <c r="N35" s="335"/>
      <c r="O35" s="587">
        <f t="shared" si="3"/>
        <v>0</v>
      </c>
      <c r="P35" s="740">
        <v>0</v>
      </c>
      <c r="Q35" s="330"/>
      <c r="R35" s="330"/>
      <c r="S35" s="333"/>
      <c r="T35" s="332"/>
      <c r="U35" s="332"/>
      <c r="V35" s="332"/>
      <c r="W35" s="332"/>
      <c r="X35" s="334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8"/>
      <c r="BB35" s="328"/>
      <c r="BC35" s="328"/>
      <c r="BD35" s="328"/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328"/>
      <c r="BS35" s="328"/>
      <c r="BT35" s="328"/>
      <c r="BU35" s="328"/>
      <c r="BV35" s="328"/>
      <c r="BW35" s="328"/>
      <c r="BX35" s="328"/>
      <c r="BY35" s="328"/>
      <c r="BZ35" s="328"/>
      <c r="CA35" s="328"/>
      <c r="CB35" s="328"/>
      <c r="CC35" s="328"/>
      <c r="CD35" s="328"/>
      <c r="CE35" s="328"/>
      <c r="CF35" s="328"/>
      <c r="CG35" s="328"/>
      <c r="CH35" s="328"/>
      <c r="CI35" s="328"/>
      <c r="CJ35" s="328"/>
      <c r="CK35" s="328"/>
      <c r="CL35" s="328"/>
      <c r="CM35" s="328"/>
      <c r="CN35" s="328"/>
      <c r="CO35" s="328"/>
      <c r="CP35" s="328"/>
      <c r="CQ35" s="328"/>
      <c r="CR35" s="328"/>
      <c r="CS35" s="328"/>
      <c r="CT35" s="328"/>
      <c r="CU35" s="328"/>
      <c r="CV35" s="328"/>
      <c r="CW35" s="328"/>
      <c r="CX35" s="328"/>
      <c r="CY35" s="328"/>
      <c r="CZ35" s="328"/>
      <c r="DA35" s="328"/>
      <c r="DB35" s="328"/>
      <c r="DC35" s="328"/>
      <c r="DD35" s="328"/>
      <c r="DE35" s="328"/>
      <c r="DF35" s="328"/>
      <c r="DG35" s="328"/>
      <c r="DH35" s="328"/>
      <c r="DI35" s="328"/>
      <c r="DJ35" s="328"/>
      <c r="DK35" s="328"/>
      <c r="DL35" s="328"/>
      <c r="DM35" s="328"/>
      <c r="DN35" s="328"/>
      <c r="DO35" s="328"/>
      <c r="DP35" s="328"/>
      <c r="DQ35" s="328"/>
      <c r="DR35" s="328"/>
      <c r="DS35" s="328"/>
      <c r="DT35" s="328"/>
      <c r="DU35" s="328"/>
      <c r="DV35" s="328"/>
      <c r="DW35" s="328"/>
      <c r="DX35" s="328"/>
      <c r="DY35" s="328"/>
      <c r="DZ35" s="328"/>
      <c r="EA35" s="328"/>
      <c r="EB35" s="328"/>
      <c r="EC35" s="328"/>
      <c r="ED35" s="328"/>
      <c r="EE35" s="328"/>
      <c r="EF35" s="328"/>
      <c r="EG35" s="328"/>
      <c r="EH35" s="328"/>
      <c r="EI35" s="328"/>
      <c r="EJ35" s="328"/>
      <c r="EK35" s="328"/>
      <c r="EL35" s="328"/>
      <c r="EM35" s="328"/>
      <c r="EN35" s="328"/>
      <c r="EO35" s="328"/>
      <c r="EP35" s="328"/>
      <c r="EQ35" s="328"/>
      <c r="ER35" s="328"/>
      <c r="ES35" s="328"/>
      <c r="ET35" s="328"/>
      <c r="EU35" s="328"/>
      <c r="EV35" s="328"/>
      <c r="EW35" s="328"/>
      <c r="EX35" s="328"/>
      <c r="EY35" s="328"/>
      <c r="EZ35" s="328"/>
      <c r="FA35" s="328"/>
      <c r="FB35" s="328"/>
      <c r="FC35" s="328"/>
      <c r="FD35" s="328"/>
      <c r="FE35" s="328"/>
      <c r="FF35" s="328"/>
      <c r="FG35" s="328"/>
      <c r="FH35" s="328"/>
      <c r="FI35" s="328"/>
      <c r="FJ35" s="328"/>
      <c r="FK35" s="328"/>
      <c r="FL35" s="328"/>
      <c r="FM35" s="328"/>
      <c r="FN35" s="328"/>
      <c r="FO35" s="328"/>
      <c r="FP35" s="328"/>
      <c r="FQ35" s="328"/>
      <c r="FR35" s="328"/>
      <c r="FS35" s="328"/>
      <c r="FT35" s="328"/>
      <c r="FU35" s="328"/>
      <c r="FV35" s="328"/>
      <c r="FW35" s="328"/>
      <c r="FX35" s="328"/>
      <c r="FY35" s="328"/>
      <c r="FZ35" s="328"/>
      <c r="GA35" s="328"/>
      <c r="GB35" s="328"/>
      <c r="GC35" s="328"/>
      <c r="GD35" s="328"/>
      <c r="GE35" s="328"/>
      <c r="GF35" s="328"/>
      <c r="GG35" s="328"/>
      <c r="GH35" s="328"/>
      <c r="GI35" s="328"/>
      <c r="GJ35" s="328"/>
      <c r="GK35" s="328"/>
      <c r="GL35" s="328"/>
      <c r="GM35" s="328"/>
      <c r="GN35" s="328"/>
      <c r="GO35" s="328"/>
      <c r="GP35" s="328"/>
      <c r="GQ35" s="328"/>
      <c r="GR35" s="328"/>
      <c r="GS35" s="328"/>
      <c r="GT35" s="328"/>
      <c r="GU35" s="328"/>
      <c r="GV35" s="328"/>
      <c r="GW35" s="328"/>
      <c r="GX35" s="328"/>
      <c r="GY35" s="328"/>
      <c r="GZ35" s="328"/>
      <c r="HA35" s="328"/>
      <c r="HB35" s="328"/>
      <c r="HC35" s="328"/>
      <c r="HD35" s="328"/>
      <c r="HE35" s="328"/>
      <c r="HF35" s="328"/>
      <c r="HG35" s="328"/>
      <c r="HH35" s="328"/>
      <c r="HI35" s="328"/>
      <c r="HJ35" s="328"/>
      <c r="HK35" s="328"/>
      <c r="HL35" s="328"/>
      <c r="HM35" s="328"/>
      <c r="HN35" s="328"/>
      <c r="HO35" s="328"/>
      <c r="HP35" s="328"/>
      <c r="HQ35" s="328"/>
      <c r="HR35" s="328"/>
      <c r="HS35" s="328"/>
      <c r="HT35" s="328"/>
      <c r="HU35" s="328"/>
      <c r="HV35" s="328"/>
      <c r="HW35" s="328"/>
      <c r="HX35" s="328"/>
      <c r="HY35" s="328"/>
      <c r="HZ35" s="328"/>
      <c r="IA35" s="328"/>
      <c r="IB35" s="328"/>
      <c r="IC35" s="328"/>
      <c r="ID35" s="328"/>
      <c r="IE35" s="328"/>
      <c r="IF35" s="328"/>
      <c r="IG35" s="328"/>
      <c r="IH35" s="328"/>
      <c r="II35" s="328"/>
      <c r="IJ35" s="328"/>
      <c r="IK35" s="328"/>
      <c r="IL35" s="328"/>
      <c r="IM35" s="328"/>
      <c r="IN35" s="328"/>
      <c r="IO35" s="328"/>
      <c r="IP35" s="328"/>
      <c r="IQ35" s="328"/>
      <c r="IR35" s="328"/>
      <c r="IS35" s="328"/>
      <c r="IT35" s="328"/>
      <c r="IU35" s="328"/>
      <c r="IV35" s="328"/>
      <c r="IW35" s="328"/>
      <c r="IX35" s="328"/>
      <c r="IY35" s="328"/>
    </row>
    <row r="36" spans="2:259" s="2" customFormat="1" ht="12.75" customHeight="1" x14ac:dyDescent="0.2">
      <c r="B36" s="967" t="str">
        <f>+'B) Reajuste Tarifas y Ocupación'!A15</f>
        <v>Sala Cuna Pequeños Héroes</v>
      </c>
      <c r="C36" s="591"/>
      <c r="D36" s="592"/>
      <c r="E36" s="592"/>
      <c r="F36" s="593"/>
      <c r="G36" s="594"/>
      <c r="H36" s="588"/>
      <c r="I36" s="595"/>
      <c r="J36" s="595"/>
      <c r="K36" s="588"/>
      <c r="L36" s="970"/>
      <c r="M36" s="29"/>
      <c r="N36" s="33"/>
      <c r="O36" s="33"/>
      <c r="P36" s="20"/>
      <c r="Q36" s="20"/>
      <c r="R36" s="20"/>
      <c r="S36" s="31"/>
      <c r="T36" s="30"/>
      <c r="U36" s="30"/>
      <c r="V36" s="30"/>
      <c r="W36" s="30"/>
      <c r="X36" s="3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</row>
    <row r="37" spans="2:259" s="2" customFormat="1" ht="12.75" customHeight="1" x14ac:dyDescent="0.2">
      <c r="B37" s="968"/>
      <c r="C37" s="596"/>
      <c r="D37" s="597"/>
      <c r="E37" s="597"/>
      <c r="F37" s="598"/>
      <c r="G37" s="599"/>
      <c r="H37" s="589"/>
      <c r="I37" s="600"/>
      <c r="J37" s="600"/>
      <c r="K37" s="589"/>
      <c r="L37" s="971"/>
      <c r="M37" s="29"/>
      <c r="N37" s="33"/>
      <c r="O37" s="33"/>
      <c r="P37" s="20"/>
      <c r="Q37" s="20"/>
      <c r="R37" s="20"/>
      <c r="S37" s="31"/>
      <c r="T37" s="30"/>
      <c r="U37" s="30"/>
      <c r="V37" s="30"/>
      <c r="W37" s="30"/>
      <c r="X37" s="32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</row>
    <row r="38" spans="2:259" s="2" customFormat="1" ht="12.75" customHeight="1" x14ac:dyDescent="0.2">
      <c r="B38" s="968"/>
      <c r="C38" s="596"/>
      <c r="D38" s="597"/>
      <c r="E38" s="597"/>
      <c r="F38" s="598"/>
      <c r="G38" s="599"/>
      <c r="H38" s="589"/>
      <c r="I38" s="600"/>
      <c r="J38" s="600"/>
      <c r="K38" s="589"/>
      <c r="L38" s="971"/>
      <c r="M38" s="685" t="s">
        <v>369</v>
      </c>
      <c r="N38" s="33"/>
      <c r="O38" s="33"/>
      <c r="P38" s="20"/>
      <c r="Q38" s="20"/>
      <c r="R38" s="20"/>
      <c r="S38" s="31"/>
      <c r="T38" s="30"/>
      <c r="U38" s="30"/>
      <c r="V38" s="30"/>
      <c r="W38" s="30"/>
      <c r="X38" s="32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</row>
    <row r="39" spans="2:259" s="2" customFormat="1" ht="12.75" customHeight="1" x14ac:dyDescent="0.2">
      <c r="B39" s="968"/>
      <c r="C39" s="596"/>
      <c r="D39" s="597"/>
      <c r="E39" s="597"/>
      <c r="F39" s="598"/>
      <c r="G39" s="599"/>
      <c r="H39" s="589"/>
      <c r="I39" s="600"/>
      <c r="J39" s="600"/>
      <c r="K39" s="589"/>
      <c r="L39" s="971"/>
      <c r="M39" s="29"/>
      <c r="N39" s="33"/>
      <c r="O39" s="33"/>
      <c r="P39" s="20"/>
      <c r="Q39" s="20"/>
      <c r="R39" s="20"/>
      <c r="S39" s="31"/>
      <c r="T39" s="30"/>
      <c r="U39" s="30"/>
      <c r="V39" s="30"/>
      <c r="W39" s="30"/>
      <c r="X39" s="32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</row>
    <row r="40" spans="2:259" s="2" customFormat="1" ht="12.75" customHeight="1" x14ac:dyDescent="0.2">
      <c r="B40" s="968"/>
      <c r="C40" s="596"/>
      <c r="D40" s="597"/>
      <c r="E40" s="597"/>
      <c r="F40" s="598"/>
      <c r="G40" s="599"/>
      <c r="H40" s="589"/>
      <c r="I40" s="600"/>
      <c r="J40" s="600"/>
      <c r="K40" s="589"/>
      <c r="L40" s="971"/>
      <c r="M40" s="29"/>
      <c r="N40" s="33"/>
      <c r="O40" s="33"/>
      <c r="P40" s="20"/>
      <c r="Q40" s="20"/>
      <c r="R40" s="20"/>
      <c r="S40" s="31"/>
      <c r="T40" s="30"/>
      <c r="U40" s="30"/>
      <c r="V40" s="30"/>
      <c r="W40" s="30"/>
      <c r="X40" s="32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</row>
    <row r="41" spans="2:259" s="2" customFormat="1" ht="12.75" customHeight="1" thickBot="1" x14ac:dyDescent="0.25">
      <c r="B41" s="969"/>
      <c r="C41" s="601"/>
      <c r="D41" s="602"/>
      <c r="E41" s="602"/>
      <c r="F41" s="603"/>
      <c r="G41" s="604"/>
      <c r="H41" s="590"/>
      <c r="I41" s="605"/>
      <c r="J41" s="605"/>
      <c r="K41" s="590"/>
      <c r="L41" s="972"/>
      <c r="M41" s="29"/>
      <c r="N41" s="33"/>
      <c r="O41" s="33"/>
      <c r="P41" s="20"/>
      <c r="Q41" s="20"/>
      <c r="R41" s="20"/>
      <c r="S41" s="31"/>
      <c r="T41" s="30"/>
      <c r="U41" s="30"/>
      <c r="V41" s="30"/>
      <c r="W41" s="30"/>
      <c r="X41" s="32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</row>
    <row r="42" spans="2:259" ht="12.75" customHeight="1" thickBot="1" x14ac:dyDescent="0.25">
      <c r="B42" s="26"/>
      <c r="C42" s="42"/>
      <c r="D42" s="42"/>
      <c r="E42" s="43"/>
      <c r="F42" s="43"/>
      <c r="G42" s="43"/>
      <c r="H42" s="43"/>
      <c r="I42" s="43"/>
      <c r="J42" s="43"/>
      <c r="K42" s="450" t="s">
        <v>94</v>
      </c>
      <c r="L42" s="188">
        <f>SUM(L11:L41)</f>
        <v>75948018.917333364</v>
      </c>
      <c r="M42" s="27"/>
      <c r="N42" s="27"/>
      <c r="O42" s="27"/>
      <c r="P42" s="33"/>
      <c r="Q42" s="33"/>
      <c r="R42" s="33"/>
      <c r="S42" s="34"/>
      <c r="T42" s="34"/>
      <c r="U42" s="35"/>
      <c r="V42" s="35"/>
      <c r="W42" s="36"/>
      <c r="X42" s="36"/>
    </row>
    <row r="43" spans="2:259" ht="12.75" customHeight="1" x14ac:dyDescent="0.2">
      <c r="B43" s="26"/>
      <c r="C43" s="42"/>
      <c r="D43" s="42"/>
      <c r="E43" s="43"/>
      <c r="F43" s="43"/>
      <c r="G43" s="43"/>
      <c r="H43" s="43"/>
      <c r="I43" s="43"/>
      <c r="J43" s="43"/>
      <c r="K43" s="37"/>
      <c r="L43" s="37"/>
      <c r="M43" s="27"/>
      <c r="N43" s="27"/>
      <c r="O43" s="27"/>
      <c r="P43" s="33"/>
      <c r="Q43" s="33"/>
      <c r="R43" s="33"/>
      <c r="S43" s="34"/>
      <c r="T43" s="34"/>
      <c r="U43" s="35"/>
      <c r="V43" s="35"/>
      <c r="W43" s="36"/>
      <c r="X43" s="36"/>
    </row>
    <row r="44" spans="2:259" ht="12.75" customHeight="1" x14ac:dyDescent="0.2">
      <c r="B44" s="26"/>
      <c r="C44" s="26"/>
      <c r="D44" s="26"/>
      <c r="E44" s="26"/>
      <c r="F44" s="26"/>
      <c r="G44" s="26"/>
      <c r="H44" s="26"/>
      <c r="I44" s="26"/>
      <c r="J44" s="26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5"/>
      <c r="V44" s="35"/>
      <c r="W44" s="36"/>
      <c r="X44" s="36"/>
    </row>
    <row r="45" spans="2:259" ht="12.75" customHeight="1" x14ac:dyDescent="0.2">
      <c r="B45" s="26"/>
      <c r="C45" s="26"/>
      <c r="D45" s="26"/>
      <c r="E45" s="26"/>
      <c r="F45" s="26"/>
      <c r="G45" s="26"/>
      <c r="H45" s="26"/>
      <c r="I45" s="26"/>
      <c r="J45" s="26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5"/>
      <c r="V45" s="35"/>
      <c r="W45" s="36"/>
      <c r="X45" s="36"/>
    </row>
    <row r="46" spans="2:259" x14ac:dyDescent="0.2">
      <c r="B46" s="26"/>
      <c r="C46" s="26"/>
      <c r="D46" s="26"/>
      <c r="E46" s="26"/>
      <c r="F46" s="26"/>
      <c r="G46" s="26"/>
      <c r="H46" s="26"/>
      <c r="I46" s="26"/>
      <c r="J46" s="26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5"/>
      <c r="V46" s="35"/>
      <c r="W46" s="36"/>
      <c r="X46" s="36"/>
    </row>
    <row r="47" spans="2:259" x14ac:dyDescent="0.2">
      <c r="B47" s="26"/>
      <c r="C47" s="26"/>
      <c r="D47" s="26"/>
      <c r="E47" s="26"/>
      <c r="F47" s="26"/>
      <c r="G47" s="26"/>
      <c r="H47" s="26"/>
      <c r="I47" s="26"/>
      <c r="J47" s="26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5"/>
      <c r="V47" s="35"/>
      <c r="W47" s="36"/>
      <c r="X47" s="36"/>
    </row>
    <row r="48" spans="2:259" x14ac:dyDescent="0.2">
      <c r="B48" s="26"/>
      <c r="C48" s="26"/>
      <c r="D48" s="26"/>
      <c r="E48" s="26"/>
      <c r="F48" s="26"/>
      <c r="G48" s="26"/>
      <c r="H48" s="26"/>
      <c r="I48" s="26"/>
      <c r="J48" s="26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5"/>
      <c r="V48" s="35"/>
      <c r="W48" s="36"/>
      <c r="X48" s="36"/>
    </row>
    <row r="49" spans="2:24" x14ac:dyDescent="0.2">
      <c r="B49" s="26"/>
      <c r="C49" s="26"/>
      <c r="D49" s="26"/>
      <c r="E49" s="26"/>
      <c r="F49" s="26"/>
      <c r="G49" s="26"/>
      <c r="H49" s="26"/>
      <c r="I49" s="26"/>
      <c r="J49" s="26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5"/>
      <c r="V49" s="35"/>
      <c r="W49" s="36"/>
      <c r="X49" s="36"/>
    </row>
  </sheetData>
  <sheetProtection algorithmName="SHA-512" hashValue="kIYoYFEjOP5PTnV3AUmraD4qO0P6kXc0QoFPrWrD1Jt4IyHXb4sUDa+/vgwhhFU2xM4h2buajPoz5MfN5OfDfA==" saltValue="d/DiH8RJFpmou8UjpMaz4A==" spinCount="100000" sheet="1" objects="1" scenarios="1"/>
  <mergeCells count="20">
    <mergeCell ref="B36:B41"/>
    <mergeCell ref="L36:L41"/>
    <mergeCell ref="B28:B35"/>
    <mergeCell ref="L28:L35"/>
    <mergeCell ref="K9:K10"/>
    <mergeCell ref="L9:L10"/>
    <mergeCell ref="G9:G10"/>
    <mergeCell ref="I9:I10"/>
    <mergeCell ref="J9:J10"/>
    <mergeCell ref="H9:H10"/>
    <mergeCell ref="T10:W10"/>
    <mergeCell ref="B11:B27"/>
    <mergeCell ref="L11:L27"/>
    <mergeCell ref="F9:F10"/>
    <mergeCell ref="B7:E7"/>
    <mergeCell ref="B9:B10"/>
    <mergeCell ref="C9:C10"/>
    <mergeCell ref="D9:D10"/>
    <mergeCell ref="E9:E10"/>
    <mergeCell ref="M17:M2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21"/>
  <sheetViews>
    <sheetView showGridLines="0" topLeftCell="B1" zoomScale="80" zoomScaleNormal="80" workbookViewId="0">
      <selection activeCell="G17" sqref="G17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1"/>
      <c r="C1" s="41"/>
      <c r="D1" s="41" t="s">
        <v>212</v>
      </c>
      <c r="E1" s="41"/>
      <c r="F1" s="41"/>
      <c r="G1" s="41"/>
      <c r="H1" s="41"/>
      <c r="I1" s="41"/>
      <c r="J1" s="41"/>
      <c r="K1" s="41"/>
      <c r="L1" s="41"/>
      <c r="M1" s="41"/>
      <c r="N1" s="41"/>
      <c r="P1" s="41"/>
    </row>
    <row r="2" spans="1:19" x14ac:dyDescent="0.2">
      <c r="B2" s="41"/>
      <c r="C2" s="41"/>
      <c r="D2" s="41" t="s">
        <v>204</v>
      </c>
      <c r="E2" s="41"/>
      <c r="F2" s="41"/>
      <c r="G2" s="41"/>
      <c r="H2" s="41"/>
      <c r="I2" s="41"/>
      <c r="J2" s="41"/>
      <c r="K2" s="41"/>
      <c r="L2" s="41"/>
      <c r="M2" s="41"/>
      <c r="N2" s="41"/>
      <c r="P2" s="41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88" t="str">
        <f>+'B) Reajuste Tarifas y Ocupación'!F5</f>
        <v>(DEPTO./DELEG.)</v>
      </c>
      <c r="E4" s="771"/>
      <c r="F4" s="989"/>
      <c r="G4" s="205"/>
      <c r="H4" s="205"/>
      <c r="I4" s="205"/>
      <c r="J4" s="205"/>
      <c r="K4" s="205"/>
      <c r="L4" s="205"/>
      <c r="N4" s="205"/>
      <c r="P4" s="205"/>
    </row>
    <row r="5" spans="1:19" x14ac:dyDescent="0.2">
      <c r="A5" s="9"/>
      <c r="B5" s="19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P5" s="205"/>
    </row>
    <row r="6" spans="1:19" x14ac:dyDescent="0.2">
      <c r="A6" s="9"/>
      <c r="B6" s="19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P6" s="205"/>
    </row>
    <row r="7" spans="1:19" ht="12.75" customHeight="1" x14ac:dyDescent="0.2">
      <c r="A7" s="1002" t="s">
        <v>128</v>
      </c>
      <c r="B7" s="1003"/>
      <c r="C7" s="1003"/>
      <c r="D7" s="1003"/>
      <c r="E7" s="1003"/>
      <c r="F7" s="1003"/>
      <c r="G7" s="1003"/>
      <c r="H7" s="1003"/>
      <c r="I7" s="1003"/>
      <c r="J7" s="1003"/>
      <c r="K7" s="1003"/>
      <c r="L7" s="1003"/>
      <c r="M7" s="1003"/>
      <c r="N7" s="1003"/>
      <c r="O7" s="1004"/>
      <c r="P7" s="51"/>
    </row>
    <row r="8" spans="1:19" x14ac:dyDescent="0.2">
      <c r="A8" s="1005"/>
      <c r="B8" s="1006"/>
      <c r="C8" s="1006"/>
      <c r="D8" s="1006"/>
      <c r="E8" s="1006"/>
      <c r="F8" s="1006"/>
      <c r="G8" s="1006"/>
      <c r="H8" s="1006"/>
      <c r="I8" s="1006"/>
      <c r="J8" s="1006"/>
      <c r="K8" s="1006"/>
      <c r="L8" s="1006"/>
      <c r="M8" s="1006"/>
      <c r="N8" s="1006"/>
      <c r="O8" s="1007"/>
      <c r="P8" s="51"/>
    </row>
    <row r="9" spans="1:19" x14ac:dyDescent="0.2">
      <c r="A9" s="1008"/>
      <c r="B9" s="1009"/>
      <c r="C9" s="1009"/>
      <c r="D9" s="1009"/>
      <c r="E9" s="1009"/>
      <c r="F9" s="1009"/>
      <c r="G9" s="1009"/>
      <c r="H9" s="1009"/>
      <c r="I9" s="1009"/>
      <c r="J9" s="1009"/>
      <c r="K9" s="1009"/>
      <c r="L9" s="1009"/>
      <c r="M9" s="1009"/>
      <c r="N9" s="1009"/>
      <c r="O9" s="1010"/>
      <c r="P9" s="51"/>
    </row>
    <row r="10" spans="1:19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9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ht="15.75" x14ac:dyDescent="0.2">
      <c r="A12" s="948" t="s">
        <v>166</v>
      </c>
      <c r="B12" s="948"/>
      <c r="C12" s="948"/>
      <c r="D12" s="948"/>
      <c r="E12" s="206"/>
      <c r="F12" s="47"/>
      <c r="G12" s="47"/>
      <c r="H12" s="47"/>
      <c r="I12" s="46"/>
      <c r="J12" s="46"/>
      <c r="K12" s="47"/>
      <c r="L12" s="47"/>
      <c r="M12" s="47"/>
      <c r="N12" s="47"/>
      <c r="O12" s="47"/>
      <c r="P12" s="47"/>
    </row>
    <row r="13" spans="1:19" ht="13.5" thickBot="1" x14ac:dyDescent="0.25">
      <c r="A13" s="9"/>
      <c r="B13" s="19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P13" s="205"/>
    </row>
    <row r="14" spans="1:19" ht="20.25" customHeight="1" x14ac:dyDescent="0.2">
      <c r="A14" s="992" t="s">
        <v>134</v>
      </c>
      <c r="B14" s="994" t="s">
        <v>5</v>
      </c>
      <c r="C14" s="811" t="s">
        <v>244</v>
      </c>
      <c r="D14" s="812"/>
      <c r="E14" s="812"/>
      <c r="F14" s="812"/>
      <c r="G14" s="998"/>
      <c r="H14" s="999" t="s">
        <v>147</v>
      </c>
      <c r="I14" s="1000"/>
      <c r="J14" s="1000"/>
      <c r="K14" s="1000"/>
      <c r="L14" s="1001"/>
      <c r="M14" s="996" t="s">
        <v>109</v>
      </c>
      <c r="N14" s="997"/>
      <c r="O14" s="990" t="s">
        <v>110</v>
      </c>
      <c r="P14" s="991"/>
      <c r="Q14" s="986" t="s">
        <v>129</v>
      </c>
    </row>
    <row r="15" spans="1:19" ht="70.5" customHeight="1" thickBot="1" x14ac:dyDescent="0.25">
      <c r="A15" s="993"/>
      <c r="B15" s="995"/>
      <c r="C15" s="262" t="s">
        <v>86</v>
      </c>
      <c r="D15" s="263" t="s">
        <v>142</v>
      </c>
      <c r="E15" s="263" t="s">
        <v>143</v>
      </c>
      <c r="F15" s="263" t="s">
        <v>87</v>
      </c>
      <c r="G15" s="264" t="s">
        <v>88</v>
      </c>
      <c r="H15" s="265" t="s">
        <v>86</v>
      </c>
      <c r="I15" s="266" t="s">
        <v>142</v>
      </c>
      <c r="J15" s="266" t="s">
        <v>143</v>
      </c>
      <c r="K15" s="266" t="s">
        <v>87</v>
      </c>
      <c r="L15" s="267" t="s">
        <v>88</v>
      </c>
      <c r="M15" s="268" t="s">
        <v>72</v>
      </c>
      <c r="N15" s="187" t="s">
        <v>85</v>
      </c>
      <c r="O15" s="269" t="s">
        <v>72</v>
      </c>
      <c r="P15" s="187" t="s">
        <v>85</v>
      </c>
      <c r="Q15" s="987"/>
    </row>
    <row r="16" spans="1:19" ht="12.75" customHeight="1" thickBot="1" x14ac:dyDescent="0.25">
      <c r="A16" s="983" t="str">
        <f>'B) Reajuste Tarifas y Ocupación'!A12</f>
        <v>Jardín Infantil Pequeños Héroes</v>
      </c>
      <c r="B16" s="270" t="str">
        <f>+'B) Reajuste Tarifas y Ocupación'!B12</f>
        <v>Media jornada</v>
      </c>
      <c r="C16" s="253">
        <f>+'B) Reajuste Tarifas y Ocupación'!M12</f>
        <v>74300</v>
      </c>
      <c r="D16" s="254">
        <f>+'B) Reajuste Tarifas y Ocupación'!N12</f>
        <v>89100</v>
      </c>
      <c r="E16" s="254">
        <f>+'B) Reajuste Tarifas y Ocupación'!O12</f>
        <v>89100</v>
      </c>
      <c r="F16" s="254">
        <f>+'B) Reajuste Tarifas y Ocupación'!P12</f>
        <v>127300</v>
      </c>
      <c r="G16" s="255">
        <f>+'B) Reajuste Tarifas y Ocupación'!Q12</f>
        <v>187200</v>
      </c>
      <c r="H16" s="273">
        <f t="shared" ref="H16:K17" si="0">IFERROR(C16/$Q16,0)</f>
        <v>0.62548668841418498</v>
      </c>
      <c r="I16" s="135">
        <f t="shared" si="0"/>
        <v>0.75007892244554353</v>
      </c>
      <c r="J16" s="135">
        <f t="shared" si="0"/>
        <v>0.75007892244554353</v>
      </c>
      <c r="K16" s="135">
        <f t="shared" si="0"/>
        <v>1.0716615805535095</v>
      </c>
      <c r="L16" s="136">
        <f t="shared" ref="L16" si="1">IFERROR(G16/$Q16,0)</f>
        <v>1.5759233926128591</v>
      </c>
      <c r="M16" s="219" t="s">
        <v>279</v>
      </c>
      <c r="N16" s="189">
        <v>146000</v>
      </c>
      <c r="O16" s="219" t="s">
        <v>280</v>
      </c>
      <c r="P16" s="189">
        <v>91575</v>
      </c>
      <c r="Q16" s="275">
        <f>AVERAGE(N16,P16)</f>
        <v>118787.5</v>
      </c>
      <c r="R16" s="20"/>
      <c r="S16" s="21"/>
    </row>
    <row r="17" spans="1:19" ht="12.75" customHeight="1" thickBot="1" x14ac:dyDescent="0.25">
      <c r="A17" s="984"/>
      <c r="B17" s="271" t="str">
        <f>+'B) Reajuste Tarifas y Ocupación'!B13</f>
        <v>Media jornada Extendida</v>
      </c>
      <c r="C17" s="256">
        <f>+'B) Reajuste Tarifas y Ocupación'!M13</f>
        <v>106200</v>
      </c>
      <c r="D17" s="252">
        <f>+'B) Reajuste Tarifas y Ocupación'!N13</f>
        <v>127400</v>
      </c>
      <c r="E17" s="252">
        <f>+'B) Reajuste Tarifas y Ocupación'!O13</f>
        <v>127400</v>
      </c>
      <c r="F17" s="252">
        <f>+'B) Reajuste Tarifas y Ocupación'!P13</f>
        <v>173100</v>
      </c>
      <c r="G17" s="257">
        <f>+'B) Reajuste Tarifas y Ocupación'!Q13</f>
        <v>270000</v>
      </c>
      <c r="H17" s="138">
        <f t="shared" si="0"/>
        <v>1.534005965578755</v>
      </c>
      <c r="I17" s="137">
        <f t="shared" si="0"/>
        <v>1.8402293786698058</v>
      </c>
      <c r="J17" s="137">
        <f t="shared" si="0"/>
        <v>1.8402293786698058</v>
      </c>
      <c r="K17" s="137">
        <f t="shared" si="0"/>
        <v>2.5003430568896658</v>
      </c>
      <c r="L17" s="274">
        <f t="shared" ref="L17" si="2">IFERROR(G17/$Q17,0)</f>
        <v>3.9000151667256482</v>
      </c>
      <c r="M17" s="321" t="s">
        <v>279</v>
      </c>
      <c r="N17" s="191">
        <v>0</v>
      </c>
      <c r="O17" s="321" t="s">
        <v>280</v>
      </c>
      <c r="P17" s="191">
        <v>138461</v>
      </c>
      <c r="Q17" s="276">
        <f>AVERAGE(N17,P17)</f>
        <v>69230.5</v>
      </c>
      <c r="R17" s="20"/>
      <c r="S17" s="21"/>
    </row>
    <row r="18" spans="1:19" ht="13.5" thickBot="1" x14ac:dyDescent="0.25">
      <c r="A18" s="985"/>
      <c r="B18" s="272" t="str">
        <f>+'B) Reajuste Tarifas y Ocupación'!B14</f>
        <v>Jornada Completa</v>
      </c>
      <c r="C18" s="613">
        <f>+'B) Reajuste Tarifas y Ocupación'!M14</f>
        <v>123800</v>
      </c>
      <c r="D18" s="614">
        <f>+'B) Reajuste Tarifas y Ocupación'!N14</f>
        <v>148600</v>
      </c>
      <c r="E18" s="614">
        <f>+'B) Reajuste Tarifas y Ocupación'!O14</f>
        <v>148600</v>
      </c>
      <c r="F18" s="614">
        <f>+'B) Reajuste Tarifas y Ocupación'!P14</f>
        <v>208300</v>
      </c>
      <c r="G18" s="615">
        <f>+'B) Reajuste Tarifas y Ocupación'!Q14</f>
        <v>331000</v>
      </c>
      <c r="H18" s="339">
        <f t="shared" ref="H18:H20" si="3">IFERROR(C18/$Q18,0)</f>
        <v>0.6746594005449591</v>
      </c>
      <c r="I18" s="340">
        <f t="shared" ref="I18:I20" si="4">IFERROR(D18/$Q18,0)</f>
        <v>0.80980926430517708</v>
      </c>
      <c r="J18" s="340">
        <f t="shared" ref="J18:J20" si="5">IFERROR(E18/$Q18,0)</f>
        <v>0.80980926430517708</v>
      </c>
      <c r="K18" s="340">
        <f t="shared" ref="K18:K20" si="6">IFERROR(F18/$Q18,0)</f>
        <v>1.135149863760218</v>
      </c>
      <c r="L18" s="344">
        <f t="shared" ref="L18:L20" si="7">IFERROR(G18/$Q18,0)</f>
        <v>1.8038147138964578</v>
      </c>
      <c r="M18" s="321" t="s">
        <v>279</v>
      </c>
      <c r="N18" s="192">
        <v>182000</v>
      </c>
      <c r="O18" s="321" t="s">
        <v>280</v>
      </c>
      <c r="P18" s="192">
        <v>185000</v>
      </c>
      <c r="Q18" s="277">
        <f t="shared" ref="Q18" si="8">AVERAGE(N18,P18)</f>
        <v>183500</v>
      </c>
      <c r="R18" s="20"/>
      <c r="S18" s="21"/>
    </row>
    <row r="19" spans="1:19" x14ac:dyDescent="0.2">
      <c r="A19" s="983" t="str">
        <f>'B) Reajuste Tarifas y Ocupación'!A15</f>
        <v>Sala Cuna Pequeños Héroes</v>
      </c>
      <c r="B19" s="607" t="str">
        <f>+'B) Reajuste Tarifas y Ocupación'!B15</f>
        <v>Diurna</v>
      </c>
      <c r="C19" s="561">
        <v>0</v>
      </c>
      <c r="D19" s="562">
        <f>+'B) Reajuste Tarifas y Ocupación'!N15</f>
        <v>393300</v>
      </c>
      <c r="E19" s="562">
        <f>+'B) Reajuste Tarifas y Ocupación'!O15</f>
        <v>393300</v>
      </c>
      <c r="F19" s="562">
        <f>+'B) Reajuste Tarifas y Ocupación'!P15</f>
        <v>409600</v>
      </c>
      <c r="G19" s="617">
        <f>+'B) Reajuste Tarifas y Ocupación'!Q15</f>
        <v>491600</v>
      </c>
      <c r="H19" s="610">
        <v>0</v>
      </c>
      <c r="I19" s="135">
        <f t="shared" si="4"/>
        <v>1.2790243902439025</v>
      </c>
      <c r="J19" s="135">
        <f t="shared" si="5"/>
        <v>1.2790243902439025</v>
      </c>
      <c r="K19" s="135">
        <f t="shared" si="6"/>
        <v>1.3320325203252033</v>
      </c>
      <c r="L19" s="136">
        <f t="shared" si="7"/>
        <v>1.5986991869918699</v>
      </c>
      <c r="M19" s="321" t="s">
        <v>283</v>
      </c>
      <c r="N19" s="189">
        <v>275000</v>
      </c>
      <c r="O19" s="321" t="s">
        <v>308</v>
      </c>
      <c r="P19" s="189">
        <v>340000</v>
      </c>
      <c r="Q19" s="275">
        <f>AVERAGE(N19,P19)</f>
        <v>307500</v>
      </c>
    </row>
    <row r="20" spans="1:19" x14ac:dyDescent="0.2">
      <c r="A20" s="984"/>
      <c r="B20" s="608" t="str">
        <f>+'B) Reajuste Tarifas y Ocupación'!B16</f>
        <v>Nocturna</v>
      </c>
      <c r="C20" s="606"/>
      <c r="D20" s="616"/>
      <c r="E20" s="616"/>
      <c r="F20" s="616"/>
      <c r="G20" s="618"/>
      <c r="H20" s="611">
        <f t="shared" si="3"/>
        <v>0</v>
      </c>
      <c r="I20" s="137">
        <f t="shared" si="4"/>
        <v>0</v>
      </c>
      <c r="J20" s="137">
        <f t="shared" si="5"/>
        <v>0</v>
      </c>
      <c r="K20" s="137">
        <f t="shared" si="6"/>
        <v>0</v>
      </c>
      <c r="L20" s="274">
        <f t="shared" si="7"/>
        <v>0</v>
      </c>
      <c r="M20" s="190" t="s">
        <v>231</v>
      </c>
      <c r="N20" s="191">
        <v>0</v>
      </c>
      <c r="O20" s="190" t="s">
        <v>231</v>
      </c>
      <c r="P20" s="191">
        <v>0</v>
      </c>
      <c r="Q20" s="276">
        <f>AVERAGE(N20,P20)</f>
        <v>0</v>
      </c>
    </row>
    <row r="21" spans="1:19" ht="13.5" thickBot="1" x14ac:dyDescent="0.25">
      <c r="A21" s="985"/>
      <c r="B21" s="609" t="str">
        <f>+'B) Reajuste Tarifas y Ocupación'!B17</f>
        <v>Media Jornada</v>
      </c>
      <c r="C21" s="336">
        <f>+'B) Reajuste Tarifas y Ocupación'!M17</f>
        <v>196700</v>
      </c>
      <c r="D21" s="566">
        <f>+'B) Reajuste Tarifas y Ocupación'!N17</f>
        <v>236000</v>
      </c>
      <c r="E21" s="566">
        <f>+'B) Reajuste Tarifas y Ocupación'!O17</f>
        <v>236000</v>
      </c>
      <c r="F21" s="566">
        <f>+'B) Reajuste Tarifas y Ocupación'!P17</f>
        <v>295000</v>
      </c>
      <c r="G21" s="338">
        <f>+'B) Reajuste Tarifas y Ocupación'!Q17</f>
        <v>393300</v>
      </c>
      <c r="H21" s="612">
        <f t="shared" ref="H21" si="9">IFERROR(C21/$Q21,0)</f>
        <v>0</v>
      </c>
      <c r="I21" s="340">
        <f t="shared" ref="I21" si="10">IFERROR(D21/$Q21,0)</f>
        <v>0</v>
      </c>
      <c r="J21" s="340">
        <f t="shared" ref="J21" si="11">IFERROR(E21/$Q21,0)</f>
        <v>0</v>
      </c>
      <c r="K21" s="340">
        <f t="shared" ref="K21" si="12">IFERROR(F21/$Q21,0)</f>
        <v>0</v>
      </c>
      <c r="L21" s="344">
        <f t="shared" ref="L21" si="13">IFERROR(G21/$Q21,0)</f>
        <v>0</v>
      </c>
      <c r="M21" s="342" t="s">
        <v>231</v>
      </c>
      <c r="N21" s="343">
        <v>0</v>
      </c>
      <c r="O21" s="342" t="s">
        <v>231</v>
      </c>
      <c r="P21" s="343">
        <v>0</v>
      </c>
      <c r="Q21" s="277">
        <f t="shared" ref="Q21" si="14">AVERAGE(N21,P21)</f>
        <v>0</v>
      </c>
    </row>
  </sheetData>
  <sheetProtection algorithmName="SHA-512" hashValue="PtVPTIVJ+zpUiJPJoj5fFG7FoEF93Pc+HxsVtKwE+HKNzM+PPYuW1BnParkrC2M7nX262PoPBcOeMps4Sz+yYA==" saltValue="UD0aeiOaPQJ3DBlD2S7Evg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13</vt:i4>
      </vt:variant>
    </vt:vector>
  </HeadingPairs>
  <TitlesOfParts>
    <vt:vector size="24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'D) Costos Indirectos'!Área_de_impresión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106116660</cp:lastModifiedBy>
  <cp:lastPrinted>2022-03-22T19:30:48Z</cp:lastPrinted>
  <dcterms:created xsi:type="dcterms:W3CDTF">2017-05-11T00:45:10Z</dcterms:created>
  <dcterms:modified xsi:type="dcterms:W3CDTF">2022-03-30T20:13:56Z</dcterms:modified>
</cp:coreProperties>
</file>