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Z:\02 USUARIOS\L. MONDACA\MIS COMPARTIDAS\EDUCACIONAL\TARIFAS\TARIFAS 2023\JI Y SC 2023\PLANILLAS FINALES 2023\"/>
    </mc:Choice>
  </mc:AlternateContent>
  <xr:revisionPtr revIDLastSave="0" documentId="8_{C3A94DB5-9A41-4EAD-9BC0-F24639688BCB}" xr6:coauthVersionLast="46" xr6:coauthVersionMax="46" xr10:uidLastSave="{00000000-0000-0000-0000-000000000000}"/>
  <bookViews>
    <workbookView xWindow="-120" yWindow="-120" windowWidth="29040" windowHeight="15840" tabRatio="929" xr2:uid="{00000000-000D-0000-FFFF-FFFF00000000}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  <sheet name="I) Proyección Mensual." sheetId="16" r:id="rId11"/>
  </sheets>
  <externalReferences>
    <externalReference r:id="rId12"/>
  </externalReferences>
  <definedNames>
    <definedName name="__xlnm_Print_Area">'A) Resumen Ingresos y Egresos'!$A$1:$N$32</definedName>
    <definedName name="__xlnm_Print_Area_1">'C) Costos Directos'!$A$1:$H$38</definedName>
    <definedName name="__xlnm_Print_Area_2">'E) Resumen Tarifado '!$A$4:$G$13</definedName>
    <definedName name="__xlnm_Print_Titles">'A) Resumen Ingresos y Egresos'!$1:$19</definedName>
    <definedName name="__xlnm_Print_Titles_1">'C) Costos Directos'!$1:$11</definedName>
    <definedName name="__xlnm_Print_Titles_2">NA()</definedName>
    <definedName name="_xlnm.Print_Area" localSheetId="2">'A) Resumen Ingresos y Egresos'!$A$1:$N$32</definedName>
    <definedName name="_xlnm.Print_Area" localSheetId="4">'C) Costos Directos'!$A$1:$H$75</definedName>
    <definedName name="_xlnm.Print_Area" localSheetId="6">'E) Resumen Tarifado '!$A$4:$G$13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Egresos'!$1:$19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M15" i="7" l="1"/>
  <c r="M18" i="7"/>
  <c r="H14" i="12"/>
  <c r="H11" i="12"/>
  <c r="G107" i="3"/>
  <c r="F19" i="3"/>
  <c r="F20" i="3"/>
  <c r="J29" i="9" l="1"/>
  <c r="I25" i="13" l="1"/>
  <c r="G25" i="13"/>
  <c r="I21" i="13"/>
  <c r="G21" i="13"/>
  <c r="I20" i="13"/>
  <c r="G20" i="13"/>
  <c r="I19" i="13"/>
  <c r="I18" i="13"/>
  <c r="G18" i="13"/>
  <c r="I17" i="13"/>
  <c r="G17" i="13"/>
  <c r="I16" i="13"/>
  <c r="G16" i="13"/>
  <c r="I15" i="13"/>
  <c r="G15" i="13"/>
  <c r="J15" i="9" l="1"/>
  <c r="J17" i="9"/>
  <c r="J16" i="9"/>
  <c r="J14" i="9"/>
  <c r="F86" i="3"/>
  <c r="F85" i="3"/>
  <c r="J18" i="9" l="1"/>
  <c r="H28" i="7" l="1"/>
  <c r="B20" i="1"/>
  <c r="Q20" i="1"/>
  <c r="B21" i="1"/>
  <c r="B22" i="1"/>
  <c r="Q22" i="1"/>
  <c r="Q17" i="1"/>
  <c r="B17" i="1"/>
  <c r="R11" i="5"/>
  <c r="H11" i="5"/>
  <c r="I11" i="5"/>
  <c r="J11" i="5"/>
  <c r="K11" i="5"/>
  <c r="L11" i="5"/>
  <c r="B11" i="5"/>
  <c r="J24" i="2"/>
  <c r="K24" i="2"/>
  <c r="F24" i="2" s="1"/>
  <c r="L24" i="2"/>
  <c r="G24" i="2" s="1"/>
  <c r="M24" i="2"/>
  <c r="I24" i="2"/>
  <c r="D24" i="2" s="1"/>
  <c r="P23" i="2"/>
  <c r="P25" i="2" s="1"/>
  <c r="B28" i="7"/>
  <c r="H24" i="2"/>
  <c r="B23" i="2"/>
  <c r="I13" i="7"/>
  <c r="J13" i="7"/>
  <c r="K13" i="7"/>
  <c r="P13" i="7" s="1"/>
  <c r="L23" i="2" s="1"/>
  <c r="L13" i="7"/>
  <c r="V11" i="5" s="1"/>
  <c r="M13" i="7"/>
  <c r="C11" i="5" s="1"/>
  <c r="M11" i="5" s="1"/>
  <c r="L14" i="7"/>
  <c r="L15" i="7"/>
  <c r="L16" i="7"/>
  <c r="L18" i="7"/>
  <c r="R16" i="5"/>
  <c r="H16" i="5"/>
  <c r="L16" i="5"/>
  <c r="K16" i="5"/>
  <c r="J16" i="5"/>
  <c r="I16" i="5"/>
  <c r="J23" i="16"/>
  <c r="B23" i="16"/>
  <c r="J11" i="16"/>
  <c r="B11" i="16"/>
  <c r="C18" i="16"/>
  <c r="D18" i="16"/>
  <c r="E18" i="16"/>
  <c r="F18" i="16"/>
  <c r="G18" i="16"/>
  <c r="H18" i="16"/>
  <c r="I18" i="16"/>
  <c r="J18" i="16"/>
  <c r="K18" i="16"/>
  <c r="L18" i="16"/>
  <c r="M18" i="16"/>
  <c r="B18" i="16"/>
  <c r="C6" i="16"/>
  <c r="D6" i="16"/>
  <c r="E6" i="16"/>
  <c r="F6" i="16"/>
  <c r="G6" i="16"/>
  <c r="H6" i="16"/>
  <c r="I6" i="16"/>
  <c r="J6" i="16"/>
  <c r="K6" i="16"/>
  <c r="L6" i="16"/>
  <c r="M6" i="16"/>
  <c r="B6" i="16"/>
  <c r="H12" i="12"/>
  <c r="K12" i="12" s="1"/>
  <c r="K13" i="12"/>
  <c r="K14" i="12"/>
  <c r="H15" i="12"/>
  <c r="K15" i="12" s="1"/>
  <c r="H16" i="12"/>
  <c r="K16" i="12" s="1"/>
  <c r="H17" i="12"/>
  <c r="K17" i="12" s="1"/>
  <c r="K18" i="12"/>
  <c r="K19" i="12"/>
  <c r="K20" i="12"/>
  <c r="H21" i="12"/>
  <c r="K21" i="12" s="1"/>
  <c r="H22" i="12"/>
  <c r="K22" i="12" s="1"/>
  <c r="H23" i="12"/>
  <c r="K23" i="12" s="1"/>
  <c r="H24" i="12"/>
  <c r="K24" i="12" s="1"/>
  <c r="H25" i="12"/>
  <c r="K25" i="12" s="1"/>
  <c r="H26" i="12"/>
  <c r="H27" i="12"/>
  <c r="K27" i="12" s="1"/>
  <c r="H28" i="12"/>
  <c r="H29" i="12"/>
  <c r="K29" i="12" s="1"/>
  <c r="H30" i="12"/>
  <c r="K30" i="12" s="1"/>
  <c r="H31" i="12"/>
  <c r="K31" i="12" s="1"/>
  <c r="H32" i="12"/>
  <c r="K32" i="12" s="1"/>
  <c r="H33" i="12"/>
  <c r="K33" i="12" s="1"/>
  <c r="H34" i="12"/>
  <c r="K34" i="12" s="1"/>
  <c r="H35" i="12"/>
  <c r="K35" i="12" s="1"/>
  <c r="H36" i="12"/>
  <c r="K36" i="12" s="1"/>
  <c r="H37" i="12"/>
  <c r="K37" i="12" s="1"/>
  <c r="H38" i="12"/>
  <c r="K38" i="12" s="1"/>
  <c r="H39" i="12"/>
  <c r="K39" i="12" s="1"/>
  <c r="H40" i="12"/>
  <c r="K40" i="12" s="1"/>
  <c r="T11" i="5" l="1"/>
  <c r="O13" i="7"/>
  <c r="V16" i="5"/>
  <c r="Q18" i="7"/>
  <c r="N13" i="7"/>
  <c r="D17" i="1" s="1"/>
  <c r="I17" i="1" s="1"/>
  <c r="Q16" i="7"/>
  <c r="G20" i="1" s="1"/>
  <c r="L20" i="1" s="1"/>
  <c r="Q13" i="7"/>
  <c r="G11" i="5" s="1"/>
  <c r="Q11" i="5" s="1"/>
  <c r="K23" i="2"/>
  <c r="C17" i="1"/>
  <c r="H17" i="1" s="1"/>
  <c r="J23" i="2"/>
  <c r="S11" i="5"/>
  <c r="F11" i="5"/>
  <c r="P11" i="5" s="1"/>
  <c r="I23" i="2"/>
  <c r="F17" i="1"/>
  <c r="K17" i="1" s="1"/>
  <c r="D11" i="5"/>
  <c r="N11" i="5" s="1"/>
  <c r="U11" i="5"/>
  <c r="M11" i="16"/>
  <c r="G10" i="16"/>
  <c r="E24" i="2"/>
  <c r="M23" i="16"/>
  <c r="E22" i="16"/>
  <c r="I22" i="16"/>
  <c r="K10" i="16"/>
  <c r="C10" i="16"/>
  <c r="L10" i="16"/>
  <c r="H10" i="16"/>
  <c r="D10" i="16"/>
  <c r="B22" i="16"/>
  <c r="J22" i="16"/>
  <c r="F22" i="16"/>
  <c r="M22" i="16"/>
  <c r="K11" i="12"/>
  <c r="L11" i="12" s="1"/>
  <c r="K28" i="12"/>
  <c r="M10" i="16"/>
  <c r="I10" i="16"/>
  <c r="E10" i="16"/>
  <c r="K22" i="16"/>
  <c r="G22" i="16"/>
  <c r="C22" i="16"/>
  <c r="B10" i="16"/>
  <c r="J10" i="16"/>
  <c r="F10" i="16"/>
  <c r="L22" i="16"/>
  <c r="H22" i="16"/>
  <c r="D22" i="16"/>
  <c r="K26" i="12"/>
  <c r="G17" i="1" l="1"/>
  <c r="L17" i="1" s="1"/>
  <c r="M23" i="2"/>
  <c r="E17" i="1"/>
  <c r="J17" i="1" s="1"/>
  <c r="E11" i="5"/>
  <c r="O11" i="5" s="1"/>
  <c r="J40" i="2"/>
  <c r="K40" i="2"/>
  <c r="F40" i="2" s="1"/>
  <c r="L40" i="2"/>
  <c r="G40" i="2" s="1"/>
  <c r="M40" i="2"/>
  <c r="H40" i="2" s="1"/>
  <c r="I40" i="2"/>
  <c r="P41" i="2"/>
  <c r="D41" i="2"/>
  <c r="M39" i="2"/>
  <c r="H39" i="2" s="1"/>
  <c r="L39" i="2"/>
  <c r="G39" i="2" s="1"/>
  <c r="K39" i="2"/>
  <c r="F39" i="2" s="1"/>
  <c r="J39" i="2"/>
  <c r="E39" i="2" s="1"/>
  <c r="I39" i="2"/>
  <c r="N23" i="16"/>
  <c r="I41" i="2" l="1"/>
  <c r="J41" i="2"/>
  <c r="F41" i="2"/>
  <c r="G41" i="2"/>
  <c r="H41" i="2"/>
  <c r="L41" i="2"/>
  <c r="E40" i="2"/>
  <c r="E41" i="2" s="1"/>
  <c r="N10" i="16"/>
  <c r="N22" i="16"/>
  <c r="M41" i="2"/>
  <c r="K41" i="2"/>
  <c r="N11" i="16"/>
  <c r="C16" i="5" l="1"/>
  <c r="M16" i="5" s="1"/>
  <c r="C22" i="1"/>
  <c r="H22" i="1" s="1"/>
  <c r="G16" i="5"/>
  <c r="Q16" i="5" s="1"/>
  <c r="G22" i="1"/>
  <c r="L22" i="1" s="1"/>
  <c r="N41" i="2"/>
  <c r="O41" i="2"/>
  <c r="Q41" i="2" l="1"/>
  <c r="A78" i="3"/>
  <c r="M16" i="7"/>
  <c r="C20" i="1" s="1"/>
  <c r="H20" i="1" s="1"/>
  <c r="R14" i="5" l="1"/>
  <c r="V14" i="5"/>
  <c r="H14" i="5"/>
  <c r="W41" i="13"/>
  <c r="W46" i="13"/>
  <c r="J14" i="5" l="1"/>
  <c r="I14" i="5"/>
  <c r="I16" i="7"/>
  <c r="N16" i="7" s="1"/>
  <c r="J16" i="7"/>
  <c r="O16" i="7" s="1"/>
  <c r="K16" i="7"/>
  <c r="I18" i="7"/>
  <c r="J18" i="7"/>
  <c r="K18" i="7"/>
  <c r="S16" i="5" l="1"/>
  <c r="N18" i="7"/>
  <c r="U16" i="5"/>
  <c r="P18" i="7"/>
  <c r="T16" i="5"/>
  <c r="O18" i="7"/>
  <c r="U14" i="5"/>
  <c r="P16" i="7"/>
  <c r="F20" i="1" s="1"/>
  <c r="K20" i="1" s="1"/>
  <c r="E20" i="1"/>
  <c r="J20" i="1" s="1"/>
  <c r="T14" i="5"/>
  <c r="K14" i="5"/>
  <c r="D20" i="1"/>
  <c r="I20" i="1" s="1"/>
  <c r="S14" i="5"/>
  <c r="L14" i="5"/>
  <c r="I33" i="2"/>
  <c r="E16" i="5" l="1"/>
  <c r="O16" i="5" s="1"/>
  <c r="E22" i="1"/>
  <c r="J22" i="1" s="1"/>
  <c r="F16" i="5"/>
  <c r="P16" i="5" s="1"/>
  <c r="F22" i="1"/>
  <c r="K22" i="1" s="1"/>
  <c r="D16" i="5"/>
  <c r="N16" i="5" s="1"/>
  <c r="D22" i="1"/>
  <c r="I22" i="1" s="1"/>
  <c r="M33" i="2"/>
  <c r="L33" i="2"/>
  <c r="K33" i="2"/>
  <c r="J33" i="2"/>
  <c r="P43" i="3" l="1"/>
  <c r="D119" i="3" s="1"/>
  <c r="O43" i="3"/>
  <c r="D53" i="3" s="1"/>
  <c r="P61" i="3"/>
  <c r="D138" i="3" s="1"/>
  <c r="O61" i="3"/>
  <c r="D72" i="3" s="1"/>
  <c r="P60" i="3"/>
  <c r="D137" i="3" s="1"/>
  <c r="O60" i="3"/>
  <c r="D71" i="3" s="1"/>
  <c r="P59" i="3"/>
  <c r="D136" i="3" s="1"/>
  <c r="O59" i="3"/>
  <c r="D70" i="3" s="1"/>
  <c r="P58" i="3"/>
  <c r="D135" i="3" s="1"/>
  <c r="O58" i="3"/>
  <c r="D69" i="3" s="1"/>
  <c r="P57" i="3"/>
  <c r="D134" i="3" s="1"/>
  <c r="O57" i="3"/>
  <c r="D68" i="3" s="1"/>
  <c r="P56" i="3"/>
  <c r="D133" i="3" s="1"/>
  <c r="O56" i="3"/>
  <c r="D67" i="3" s="1"/>
  <c r="P55" i="3"/>
  <c r="D132" i="3" s="1"/>
  <c r="O55" i="3"/>
  <c r="D66" i="3" s="1"/>
  <c r="P53" i="3"/>
  <c r="D130" i="3" s="1"/>
  <c r="O53" i="3"/>
  <c r="D64" i="3" s="1"/>
  <c r="P52" i="3"/>
  <c r="D129" i="3" s="1"/>
  <c r="O52" i="3"/>
  <c r="D63" i="3" s="1"/>
  <c r="P51" i="3"/>
  <c r="D128" i="3" s="1"/>
  <c r="O51" i="3"/>
  <c r="D62" i="3" s="1"/>
  <c r="P50" i="3"/>
  <c r="D126" i="3" s="1"/>
  <c r="O50" i="3"/>
  <c r="D60" i="3" s="1"/>
  <c r="P49" i="3"/>
  <c r="D125" i="3" s="1"/>
  <c r="O49" i="3"/>
  <c r="D59" i="3" s="1"/>
  <c r="P48" i="3"/>
  <c r="D124" i="3" s="1"/>
  <c r="O48" i="3"/>
  <c r="D58" i="3" s="1"/>
  <c r="P47" i="3"/>
  <c r="D123" i="3" s="1"/>
  <c r="O47" i="3"/>
  <c r="D57" i="3" s="1"/>
  <c r="P45" i="3"/>
  <c r="D121" i="3" s="1"/>
  <c r="O45" i="3"/>
  <c r="D55" i="3" s="1"/>
  <c r="P44" i="3"/>
  <c r="D120" i="3" s="1"/>
  <c r="O44" i="3"/>
  <c r="D54" i="3" s="1"/>
  <c r="P42" i="3"/>
  <c r="D118" i="3" s="1"/>
  <c r="O42" i="3"/>
  <c r="D52" i="3" s="1"/>
  <c r="P41" i="3"/>
  <c r="D117" i="3" s="1"/>
  <c r="O41" i="3"/>
  <c r="D51" i="3" s="1"/>
  <c r="P40" i="3"/>
  <c r="D116" i="3" s="1"/>
  <c r="O40" i="3"/>
  <c r="D50" i="3" s="1"/>
  <c r="P39" i="3"/>
  <c r="D115" i="3" s="1"/>
  <c r="P38" i="3"/>
  <c r="D114" i="3" s="1"/>
  <c r="O38" i="3"/>
  <c r="D48" i="3" s="1"/>
  <c r="P36" i="3"/>
  <c r="D112" i="3" s="1"/>
  <c r="O36" i="3"/>
  <c r="D46" i="3" s="1"/>
  <c r="P34" i="3"/>
  <c r="D110" i="3" s="1"/>
  <c r="O34" i="3"/>
  <c r="D44" i="3" s="1"/>
  <c r="P33" i="3"/>
  <c r="D109" i="3" s="1"/>
  <c r="O33" i="3"/>
  <c r="D43" i="3" s="1"/>
  <c r="P30" i="3"/>
  <c r="D104" i="3" s="1"/>
  <c r="O30" i="3"/>
  <c r="D38" i="3" s="1"/>
  <c r="P29" i="3"/>
  <c r="D103" i="3" s="1"/>
  <c r="O29" i="3"/>
  <c r="D37" i="3" s="1"/>
  <c r="P28" i="3"/>
  <c r="D102" i="3" s="1"/>
  <c r="O28" i="3"/>
  <c r="D36" i="3" s="1"/>
  <c r="P27" i="3"/>
  <c r="D101" i="3" s="1"/>
  <c r="O27" i="3"/>
  <c r="D35" i="3" s="1"/>
  <c r="P26" i="3"/>
  <c r="D100" i="3" s="1"/>
  <c r="O26" i="3"/>
  <c r="D34" i="3" s="1"/>
  <c r="P25" i="3"/>
  <c r="D99" i="3" s="1"/>
  <c r="O25" i="3"/>
  <c r="D33" i="3" s="1"/>
  <c r="P24" i="3"/>
  <c r="D98" i="3" s="1"/>
  <c r="P23" i="3"/>
  <c r="D97" i="3" s="1"/>
  <c r="O23" i="3"/>
  <c r="D31" i="3" s="1"/>
  <c r="P22" i="3"/>
  <c r="D96" i="3" s="1"/>
  <c r="O22" i="3"/>
  <c r="D30" i="3" s="1"/>
  <c r="P21" i="3"/>
  <c r="D95" i="3" s="1"/>
  <c r="O21" i="3"/>
  <c r="D29" i="3" s="1"/>
  <c r="P20" i="3"/>
  <c r="D94" i="3" s="1"/>
  <c r="O20" i="3"/>
  <c r="D28" i="3" s="1"/>
  <c r="P19" i="3"/>
  <c r="D93" i="3" s="1"/>
  <c r="O19" i="3"/>
  <c r="D27" i="3" s="1"/>
  <c r="P18" i="3"/>
  <c r="D92" i="3" s="1"/>
  <c r="O18" i="3"/>
  <c r="D26" i="3" s="1"/>
  <c r="P17" i="3"/>
  <c r="D91" i="3" s="1"/>
  <c r="P16" i="3"/>
  <c r="D90" i="3" s="1"/>
  <c r="O16" i="3"/>
  <c r="D24" i="3" s="1"/>
  <c r="P15" i="3"/>
  <c r="D89" i="3" s="1"/>
  <c r="O15" i="3"/>
  <c r="D23" i="3" s="1"/>
  <c r="P14" i="3"/>
  <c r="D88" i="3" s="1"/>
  <c r="O14" i="3"/>
  <c r="D22" i="3" s="1"/>
  <c r="G140" i="3"/>
  <c r="G139" i="3" s="1"/>
  <c r="D139" i="3"/>
  <c r="G138" i="3"/>
  <c r="G137" i="3"/>
  <c r="G136" i="3"/>
  <c r="G135" i="3"/>
  <c r="G134" i="3"/>
  <c r="G133" i="3"/>
  <c r="G132" i="3"/>
  <c r="G130" i="3"/>
  <c r="G129" i="3"/>
  <c r="G128" i="3"/>
  <c r="G126" i="3"/>
  <c r="G125" i="3"/>
  <c r="G124" i="3"/>
  <c r="G123" i="3"/>
  <c r="G121" i="3"/>
  <c r="G120" i="3"/>
  <c r="G119" i="3"/>
  <c r="G118" i="3"/>
  <c r="G117" i="3"/>
  <c r="G116" i="3"/>
  <c r="G115" i="3"/>
  <c r="G114" i="3"/>
  <c r="G112" i="3"/>
  <c r="G111" i="3" s="1"/>
  <c r="D111" i="3"/>
  <c r="G110" i="3"/>
  <c r="G109" i="3"/>
  <c r="G108" i="3"/>
  <c r="H108" i="3" s="1"/>
  <c r="H107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H87" i="3" s="1"/>
  <c r="G86" i="3"/>
  <c r="H86" i="3" s="1"/>
  <c r="G85" i="3"/>
  <c r="H85" i="3" s="1"/>
  <c r="G83" i="3"/>
  <c r="H83" i="3" s="1"/>
  <c r="G82" i="3"/>
  <c r="G81" i="3"/>
  <c r="H81" i="3" s="1"/>
  <c r="G80" i="3"/>
  <c r="D106" i="3" l="1"/>
  <c r="H110" i="3"/>
  <c r="H109" i="3"/>
  <c r="H106" i="3" s="1"/>
  <c r="H89" i="3"/>
  <c r="H90" i="3"/>
  <c r="H100" i="3"/>
  <c r="H115" i="3"/>
  <c r="H133" i="3"/>
  <c r="H137" i="3"/>
  <c r="H135" i="3"/>
  <c r="D122" i="3"/>
  <c r="D131" i="3"/>
  <c r="H88" i="3"/>
  <c r="H104" i="3"/>
  <c r="H114" i="3"/>
  <c r="D113" i="3"/>
  <c r="H93" i="3"/>
  <c r="H97" i="3"/>
  <c r="H101" i="3"/>
  <c r="H124" i="3"/>
  <c r="H128" i="3"/>
  <c r="H94" i="3"/>
  <c r="H98" i="3"/>
  <c r="H120" i="3"/>
  <c r="H91" i="3"/>
  <c r="H95" i="3"/>
  <c r="H103" i="3"/>
  <c r="H117" i="3"/>
  <c r="H121" i="3"/>
  <c r="H126" i="3"/>
  <c r="H130" i="3"/>
  <c r="H138" i="3"/>
  <c r="H136" i="3"/>
  <c r="H134" i="3"/>
  <c r="H125" i="3"/>
  <c r="H129" i="3"/>
  <c r="H119" i="3"/>
  <c r="H116" i="3"/>
  <c r="H118" i="3"/>
  <c r="H102" i="3"/>
  <c r="H99" i="3"/>
  <c r="D84" i="3"/>
  <c r="H92" i="3"/>
  <c r="H96" i="3"/>
  <c r="G79" i="3"/>
  <c r="O39" i="3"/>
  <c r="D49" i="3" s="1"/>
  <c r="O24" i="3"/>
  <c r="D32" i="3" s="1"/>
  <c r="O17" i="3"/>
  <c r="D25" i="3" s="1"/>
  <c r="G113" i="3"/>
  <c r="G131" i="3"/>
  <c r="G106" i="3"/>
  <c r="G84" i="3"/>
  <c r="H132" i="3"/>
  <c r="H112" i="3"/>
  <c r="H111" i="3" s="1"/>
  <c r="H123" i="3"/>
  <c r="H140" i="3"/>
  <c r="H139" i="3" s="1"/>
  <c r="D18" i="3" l="1"/>
  <c r="H131" i="3"/>
  <c r="H113" i="3"/>
  <c r="H84" i="3"/>
  <c r="G78" i="3"/>
  <c r="B26" i="12" l="1"/>
  <c r="E14" i="5"/>
  <c r="O14" i="5" s="1"/>
  <c r="G14" i="5"/>
  <c r="Q14" i="5" s="1"/>
  <c r="C14" i="5"/>
  <c r="M14" i="5" s="1"/>
  <c r="A14" i="5"/>
  <c r="B16" i="5"/>
  <c r="B15" i="5"/>
  <c r="B14" i="5"/>
  <c r="A33" i="2"/>
  <c r="A20" i="16" s="1"/>
  <c r="A10" i="2"/>
  <c r="J34" i="2"/>
  <c r="K34" i="2"/>
  <c r="F34" i="2" s="1"/>
  <c r="L34" i="2"/>
  <c r="G34" i="2" s="1"/>
  <c r="M34" i="2"/>
  <c r="H34" i="2" s="1"/>
  <c r="I34" i="2"/>
  <c r="I35" i="2" s="1"/>
  <c r="B39" i="2"/>
  <c r="P38" i="2"/>
  <c r="M38" i="2"/>
  <c r="J38" i="2"/>
  <c r="I38" i="2"/>
  <c r="E38" i="2"/>
  <c r="D38" i="2"/>
  <c r="L38" i="2"/>
  <c r="F38" i="2"/>
  <c r="H38" i="2"/>
  <c r="G38" i="2"/>
  <c r="B36" i="2"/>
  <c r="P35" i="2"/>
  <c r="D35" i="2"/>
  <c r="G33" i="2"/>
  <c r="F33" i="2"/>
  <c r="E33" i="2"/>
  <c r="B33" i="2"/>
  <c r="B31" i="7"/>
  <c r="B32" i="7"/>
  <c r="B33" i="7"/>
  <c r="A31" i="7"/>
  <c r="H33" i="7"/>
  <c r="H31" i="7"/>
  <c r="F14" i="5"/>
  <c r="P14" i="5" s="1"/>
  <c r="D14" i="5"/>
  <c r="N14" i="5" s="1"/>
  <c r="M35" i="2" l="1"/>
  <c r="M42" i="2" s="1"/>
  <c r="I33" i="7"/>
  <c r="F127" i="3" s="1"/>
  <c r="G127" i="3" s="1"/>
  <c r="H33" i="2"/>
  <c r="H35" i="2" s="1"/>
  <c r="F35" i="2"/>
  <c r="G35" i="2"/>
  <c r="I42" i="2"/>
  <c r="J35" i="2"/>
  <c r="L26" i="12"/>
  <c r="L35" i="2"/>
  <c r="E34" i="2"/>
  <c r="E35" i="2" s="1"/>
  <c r="D42" i="2"/>
  <c r="P42" i="2"/>
  <c r="D10" i="2" s="1"/>
  <c r="N38" i="2"/>
  <c r="K35" i="2"/>
  <c r="K38" i="2"/>
  <c r="O38" i="2" s="1"/>
  <c r="H127" i="3" l="1"/>
  <c r="H122" i="3" s="1"/>
  <c r="H105" i="3" s="1"/>
  <c r="G122" i="3"/>
  <c r="G105" i="3" s="1"/>
  <c r="G141" i="3" s="1"/>
  <c r="G17" i="16"/>
  <c r="K17" i="16"/>
  <c r="F17" i="16"/>
  <c r="H17" i="16"/>
  <c r="L17" i="16"/>
  <c r="E17" i="16"/>
  <c r="I17" i="16"/>
  <c r="M17" i="16"/>
  <c r="J17" i="16"/>
  <c r="D17" i="16"/>
  <c r="D80" i="3"/>
  <c r="L41" i="12"/>
  <c r="J42" i="2"/>
  <c r="G42" i="2"/>
  <c r="F42" i="2"/>
  <c r="H42" i="2"/>
  <c r="L42" i="2"/>
  <c r="O35" i="2"/>
  <c r="Q38" i="2"/>
  <c r="E42" i="2"/>
  <c r="N35" i="2"/>
  <c r="K42" i="2"/>
  <c r="H80" i="3" l="1"/>
  <c r="D82" i="3"/>
  <c r="H82" i="3" s="1"/>
  <c r="K140" i="3"/>
  <c r="N42" i="2"/>
  <c r="O42" i="2"/>
  <c r="C10" i="2" s="1"/>
  <c r="Q35" i="2"/>
  <c r="Q42" i="2" s="1"/>
  <c r="H79" i="3" l="1"/>
  <c r="H78" i="3" s="1"/>
  <c r="H141" i="3" s="1"/>
  <c r="F10" i="2" s="1"/>
  <c r="D79" i="3"/>
  <c r="D78" i="3" s="1"/>
  <c r="D141" i="3" s="1"/>
  <c r="B10" i="2"/>
  <c r="E10" i="2" s="1"/>
  <c r="C21" i="16"/>
  <c r="G21" i="16"/>
  <c r="K21" i="16"/>
  <c r="D21" i="16"/>
  <c r="H21" i="16"/>
  <c r="L21" i="16"/>
  <c r="E21" i="16"/>
  <c r="I21" i="16"/>
  <c r="M21" i="16"/>
  <c r="F21" i="16"/>
  <c r="J21" i="16"/>
  <c r="B21" i="16"/>
  <c r="H24" i="16"/>
  <c r="L24" i="16"/>
  <c r="I24" i="16"/>
  <c r="B24" i="16"/>
  <c r="C24" i="16"/>
  <c r="F24" i="16" l="1"/>
  <c r="G24" i="16"/>
  <c r="M24" i="16"/>
  <c r="D24" i="16"/>
  <c r="K24" i="16"/>
  <c r="J24" i="16"/>
  <c r="E24" i="16"/>
  <c r="N21" i="16"/>
  <c r="H13" i="5"/>
  <c r="I13" i="5"/>
  <c r="J13" i="5"/>
  <c r="K13" i="5"/>
  <c r="L13" i="5"/>
  <c r="R13" i="5"/>
  <c r="V13" i="5"/>
  <c r="K15" i="7"/>
  <c r="P15" i="7" s="1"/>
  <c r="J15" i="7"/>
  <c r="O15" i="7" s="1"/>
  <c r="I15" i="7"/>
  <c r="S13" i="5" l="1"/>
  <c r="N15" i="7"/>
  <c r="I25" i="2"/>
  <c r="D23" i="2"/>
  <c r="D25" i="2" s="1"/>
  <c r="F23" i="2"/>
  <c r="F25" i="2" s="1"/>
  <c r="K25" i="2"/>
  <c r="G23" i="2"/>
  <c r="G25" i="2" s="1"/>
  <c r="L25" i="2"/>
  <c r="T13" i="5"/>
  <c r="U13" i="5"/>
  <c r="Q15" i="7"/>
  <c r="B26" i="2"/>
  <c r="E23" i="2" l="1"/>
  <c r="E25" i="2" s="1"/>
  <c r="J25" i="2"/>
  <c r="H23" i="2"/>
  <c r="H25" i="2" s="1"/>
  <c r="M25" i="2"/>
  <c r="J27" i="2"/>
  <c r="K27" i="2"/>
  <c r="L27" i="2"/>
  <c r="M27" i="2"/>
  <c r="I27" i="2"/>
  <c r="Q18" i="1"/>
  <c r="B18" i="1"/>
  <c r="R12" i="5"/>
  <c r="H12" i="5"/>
  <c r="I12" i="5"/>
  <c r="J12" i="5"/>
  <c r="K12" i="5"/>
  <c r="L12" i="5"/>
  <c r="B12" i="5"/>
  <c r="P26" i="2"/>
  <c r="H29" i="7"/>
  <c r="M14" i="7"/>
  <c r="C12" i="5" s="1"/>
  <c r="M12" i="5" s="1"/>
  <c r="Q14" i="7"/>
  <c r="M26" i="2" s="1"/>
  <c r="K14" i="7"/>
  <c r="P14" i="7" s="1"/>
  <c r="F18" i="1" s="1"/>
  <c r="J14" i="7"/>
  <c r="I14" i="7"/>
  <c r="N14" i="7" s="1"/>
  <c r="O14" i="7" l="1"/>
  <c r="E18" i="1" s="1"/>
  <c r="J18" i="1" s="1"/>
  <c r="O25" i="2"/>
  <c r="N25" i="2"/>
  <c r="J26" i="2"/>
  <c r="V12" i="5"/>
  <c r="K18" i="1"/>
  <c r="T12" i="5"/>
  <c r="U12" i="5"/>
  <c r="S12" i="5"/>
  <c r="F12" i="5"/>
  <c r="P12" i="5" s="1"/>
  <c r="L26" i="2"/>
  <c r="E12" i="5"/>
  <c r="O12" i="5" s="1"/>
  <c r="G18" i="1"/>
  <c r="L18" i="1" s="1"/>
  <c r="C18" i="1"/>
  <c r="H18" i="1" s="1"/>
  <c r="K26" i="2"/>
  <c r="I26" i="2"/>
  <c r="G12" i="5"/>
  <c r="Q12" i="5" s="1"/>
  <c r="B29" i="7"/>
  <c r="B30" i="7"/>
  <c r="Q25" i="2" l="1"/>
  <c r="D12" i="5"/>
  <c r="N12" i="5" s="1"/>
  <c r="D18" i="1"/>
  <c r="I18" i="1" s="1"/>
  <c r="P28" i="2"/>
  <c r="M28" i="2"/>
  <c r="K28" i="2"/>
  <c r="I28" i="2"/>
  <c r="L28" i="2"/>
  <c r="E26" i="2"/>
  <c r="G27" i="2"/>
  <c r="E27" i="2"/>
  <c r="H26" i="2"/>
  <c r="F26" i="2"/>
  <c r="D26" i="2"/>
  <c r="E28" i="2" l="1"/>
  <c r="J28" i="2"/>
  <c r="G26" i="2"/>
  <c r="G28" i="2" s="1"/>
  <c r="F27" i="2"/>
  <c r="F28" i="2" s="1"/>
  <c r="D27" i="2"/>
  <c r="D28" i="2" s="1"/>
  <c r="H27" i="2"/>
  <c r="H28" i="2" s="1"/>
  <c r="O28" i="2" l="1"/>
  <c r="N28" i="2"/>
  <c r="Q28" i="2" l="1"/>
  <c r="G20" i="3"/>
  <c r="H20" i="3" s="1"/>
  <c r="G21" i="3"/>
  <c r="H21" i="3" s="1"/>
  <c r="I12" i="7" l="1"/>
  <c r="N12" i="7" s="1"/>
  <c r="M12" i="7" l="1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0" i="5"/>
  <c r="J10" i="5"/>
  <c r="K10" i="5"/>
  <c r="L10" i="5"/>
  <c r="W78" i="13"/>
  <c r="W70" i="13"/>
  <c r="W60" i="13"/>
  <c r="W49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W40" i="13" l="1"/>
  <c r="K70" i="13"/>
  <c r="K62" i="13"/>
  <c r="N15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I21" i="2"/>
  <c r="R62" i="13" l="1"/>
  <c r="P62" i="13"/>
  <c r="N62" i="13"/>
  <c r="W80" i="13"/>
  <c r="O62" i="13" l="1"/>
  <c r="AB15" i="13" s="1"/>
  <c r="AI15" i="13" s="1"/>
  <c r="AJ15" i="13" s="1"/>
  <c r="AC15" i="13"/>
  <c r="M62" i="13"/>
  <c r="Z15" i="13" s="1"/>
  <c r="AG15" i="13" s="1"/>
  <c r="AH15" i="13" s="1"/>
  <c r="AA15" i="13"/>
  <c r="Q62" i="13"/>
  <c r="AD15" i="13" s="1"/>
  <c r="AK15" i="13" s="1"/>
  <c r="AL15" i="13" s="1"/>
  <c r="AE15" i="13"/>
  <c r="I20" i="2"/>
  <c r="AN15" i="13" l="1"/>
  <c r="AP15" i="13"/>
  <c r="AR15" i="13"/>
  <c r="C13" i="5"/>
  <c r="M13" i="5" s="1"/>
  <c r="C19" i="1"/>
  <c r="D16" i="1"/>
  <c r="I16" i="1" s="1"/>
  <c r="S10" i="5"/>
  <c r="L12" i="7"/>
  <c r="Q12" i="7" s="1"/>
  <c r="K12" i="7"/>
  <c r="P12" i="7" s="1"/>
  <c r="F16" i="1" l="1"/>
  <c r="K16" i="1" s="1"/>
  <c r="U10" i="5"/>
  <c r="G16" i="1"/>
  <c r="L16" i="1" s="1"/>
  <c r="V10" i="5"/>
  <c r="P20" i="2"/>
  <c r="E13" i="5" l="1"/>
  <c r="O13" i="5" s="1"/>
  <c r="E19" i="1"/>
  <c r="G13" i="5"/>
  <c r="Q13" i="5" s="1"/>
  <c r="G19" i="1"/>
  <c r="D13" i="5"/>
  <c r="N13" i="5" s="1"/>
  <c r="D19" i="1"/>
  <c r="F13" i="5"/>
  <c r="P13" i="5" s="1"/>
  <c r="F19" i="1"/>
  <c r="L20" i="2"/>
  <c r="P29" i="2"/>
  <c r="P31" i="2" s="1"/>
  <c r="P22" i="2" l="1"/>
  <c r="P32" i="2" l="1"/>
  <c r="P43" i="2" s="1"/>
  <c r="K30" i="2"/>
  <c r="F30" i="2" s="1"/>
  <c r="K21" i="2"/>
  <c r="F21" i="2" s="1"/>
  <c r="J12" i="7"/>
  <c r="O12" i="7" s="1"/>
  <c r="H27" i="7"/>
  <c r="B9" i="16" l="1"/>
  <c r="T10" i="5"/>
  <c r="K20" i="2"/>
  <c r="E16" i="1" l="1"/>
  <c r="J16" i="1" s="1"/>
  <c r="E10" i="5"/>
  <c r="O10" i="5" s="1"/>
  <c r="F20" i="2"/>
  <c r="F22" i="2" s="1"/>
  <c r="K22" i="2"/>
  <c r="K29" i="2" l="1"/>
  <c r="D9" i="2"/>
  <c r="D11" i="2" s="1"/>
  <c r="F29" i="2" l="1"/>
  <c r="F31" i="2" s="1"/>
  <c r="K31" i="2"/>
  <c r="E4" i="12"/>
  <c r="B11" i="12"/>
  <c r="K32" i="2" l="1"/>
  <c r="K43" i="2" s="1"/>
  <c r="F32" i="2"/>
  <c r="F43" i="2" s="1"/>
  <c r="D14" i="3"/>
  <c r="D16" i="3" s="1"/>
  <c r="C16" i="1" l="1"/>
  <c r="H16" i="1" s="1"/>
  <c r="J30" i="2" l="1"/>
  <c r="E30" i="2" s="1"/>
  <c r="L30" i="2"/>
  <c r="M30" i="2"/>
  <c r="I30" i="2"/>
  <c r="I29" i="2"/>
  <c r="D29" i="2" s="1"/>
  <c r="J21" i="2"/>
  <c r="E21" i="2" s="1"/>
  <c r="L21" i="2"/>
  <c r="G21" i="2" s="1"/>
  <c r="M21" i="2"/>
  <c r="D21" i="2"/>
  <c r="B29" i="2"/>
  <c r="B20" i="2"/>
  <c r="I10" i="5"/>
  <c r="H10" i="5"/>
  <c r="B13" i="5"/>
  <c r="G74" i="3"/>
  <c r="H74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4" i="3"/>
  <c r="H64" i="3" s="1"/>
  <c r="G63" i="3"/>
  <c r="H63" i="3" s="1"/>
  <c r="G62" i="3"/>
  <c r="H62" i="3" s="1"/>
  <c r="G60" i="3"/>
  <c r="H60" i="3" s="1"/>
  <c r="G59" i="3"/>
  <c r="H59" i="3" s="1"/>
  <c r="G58" i="3"/>
  <c r="H58" i="3" s="1"/>
  <c r="G57" i="3"/>
  <c r="H57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9" i="1"/>
  <c r="B16" i="1"/>
  <c r="M29" i="2"/>
  <c r="H29" i="2" s="1"/>
  <c r="H30" i="7"/>
  <c r="I30" i="7" s="1"/>
  <c r="F61" i="3" s="1"/>
  <c r="G61" i="3" s="1"/>
  <c r="H61" i="3" s="1"/>
  <c r="A27" i="7"/>
  <c r="B27" i="7"/>
  <c r="M20" i="2"/>
  <c r="H20" i="2" s="1"/>
  <c r="D20" i="2"/>
  <c r="A16" i="1"/>
  <c r="C8" i="2"/>
  <c r="B8" i="2"/>
  <c r="E5" i="16" l="1"/>
  <c r="M5" i="16"/>
  <c r="F5" i="16"/>
  <c r="J5" i="16"/>
  <c r="D5" i="16"/>
  <c r="G5" i="16"/>
  <c r="K5" i="16"/>
  <c r="H5" i="16"/>
  <c r="L5" i="16"/>
  <c r="I5" i="16"/>
  <c r="D22" i="2"/>
  <c r="H21" i="2"/>
  <c r="M22" i="2"/>
  <c r="D30" i="2"/>
  <c r="I31" i="2"/>
  <c r="H30" i="2"/>
  <c r="M31" i="2"/>
  <c r="G30" i="2"/>
  <c r="I22" i="2"/>
  <c r="G20" i="2"/>
  <c r="L22" i="2"/>
  <c r="L29" i="2"/>
  <c r="L31" i="2" s="1"/>
  <c r="F10" i="5"/>
  <c r="P10" i="5" s="1"/>
  <c r="C10" i="5"/>
  <c r="M10" i="5" s="1"/>
  <c r="G10" i="5"/>
  <c r="Q10" i="5" s="1"/>
  <c r="M32" i="2" l="1"/>
  <c r="M43" i="2" s="1"/>
  <c r="L32" i="2"/>
  <c r="L43" i="2" s="1"/>
  <c r="I32" i="2"/>
  <c r="I43" i="2" s="1"/>
  <c r="G29" i="2"/>
  <c r="J4" i="9" l="1"/>
  <c r="Q19" i="1" l="1"/>
  <c r="H19" i="1" l="1"/>
  <c r="I19" i="1"/>
  <c r="J19" i="1"/>
  <c r="K19" i="1"/>
  <c r="L19" i="1"/>
  <c r="G4" i="5"/>
  <c r="D4" i="1"/>
  <c r="B10" i="5" l="1"/>
  <c r="A10" i="5"/>
  <c r="A20" i="2" l="1"/>
  <c r="A8" i="16" s="1"/>
  <c r="A9" i="2"/>
  <c r="A12" i="3"/>
  <c r="D65" i="3" l="1"/>
  <c r="G65" i="3"/>
  <c r="H65" i="3"/>
  <c r="G46" i="3" l="1"/>
  <c r="H46" i="3" s="1"/>
  <c r="H73" i="3" l="1"/>
  <c r="G73" i="3"/>
  <c r="D73" i="3"/>
  <c r="H56" i="3"/>
  <c r="G56" i="3"/>
  <c r="D56" i="3"/>
  <c r="H47" i="3"/>
  <c r="G47" i="3"/>
  <c r="D47" i="3"/>
  <c r="H45" i="3"/>
  <c r="G45" i="3"/>
  <c r="D45" i="3"/>
  <c r="D40" i="3" l="1"/>
  <c r="G43" i="3"/>
  <c r="H43" i="3" s="1"/>
  <c r="G44" i="3"/>
  <c r="H44" i="3" s="1"/>
  <c r="G42" i="3" l="1"/>
  <c r="H42" i="3" s="1"/>
  <c r="G41" i="3"/>
  <c r="G16" i="3"/>
  <c r="H16" i="3" s="1"/>
  <c r="G17" i="3"/>
  <c r="H17" i="3" s="1"/>
  <c r="G19" i="3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H28" i="3" l="1"/>
  <c r="K74" i="3" s="1"/>
  <c r="G18" i="3"/>
  <c r="H41" i="3"/>
  <c r="H40" i="3" s="1"/>
  <c r="H39" i="3" s="1"/>
  <c r="G40" i="3"/>
  <c r="G39" i="3" s="1"/>
  <c r="H19" i="3"/>
  <c r="H18" i="3" l="1"/>
  <c r="G14" i="3"/>
  <c r="G15" i="3" l="1"/>
  <c r="A9" i="5"/>
  <c r="B9" i="5"/>
  <c r="H15" i="3" l="1"/>
  <c r="G13" i="3"/>
  <c r="G22" i="2"/>
  <c r="H22" i="2"/>
  <c r="G31" i="2"/>
  <c r="D31" i="2"/>
  <c r="D32" i="2" s="1"/>
  <c r="H31" i="2"/>
  <c r="G32" i="2" l="1"/>
  <c r="G43" i="2" s="1"/>
  <c r="H32" i="2"/>
  <c r="H43" i="2" s="1"/>
  <c r="G12" i="3"/>
  <c r="G75" i="3" s="1"/>
  <c r="D43" i="2"/>
  <c r="H14" i="3" l="1"/>
  <c r="H13" i="3" s="1"/>
  <c r="D13" i="3"/>
  <c r="H12" i="3" l="1"/>
  <c r="H75" i="3" s="1"/>
  <c r="D12" i="3"/>
  <c r="D75" i="3" s="1"/>
  <c r="D12" i="16" l="1"/>
  <c r="H12" i="16"/>
  <c r="L12" i="16"/>
  <c r="E12" i="16"/>
  <c r="I12" i="16"/>
  <c r="M12" i="16"/>
  <c r="F12" i="16"/>
  <c r="J12" i="16"/>
  <c r="B12" i="16"/>
  <c r="C12" i="16"/>
  <c r="G12" i="16"/>
  <c r="K12" i="16"/>
  <c r="K75" i="3"/>
  <c r="H142" i="3"/>
  <c r="K141" i="3" s="1"/>
  <c r="F9" i="2"/>
  <c r="F11" i="2" l="1"/>
  <c r="G9" i="2" s="1"/>
  <c r="J29" i="2"/>
  <c r="G10" i="2" l="1"/>
  <c r="H9" i="2"/>
  <c r="J31" i="2"/>
  <c r="E29" i="2"/>
  <c r="E31" i="2" s="1"/>
  <c r="G11" i="2" l="1"/>
  <c r="L9" i="2" s="1"/>
  <c r="H10" i="2"/>
  <c r="I10" i="2" s="1"/>
  <c r="N31" i="2"/>
  <c r="O31" i="2"/>
  <c r="L10" i="2" l="1"/>
  <c r="L11" i="2" s="1"/>
  <c r="H11" i="2"/>
  <c r="Q31" i="2"/>
  <c r="D10" i="5" l="1"/>
  <c r="N10" i="5" s="1"/>
  <c r="J20" i="2"/>
  <c r="J22" i="2" s="1"/>
  <c r="J32" i="2" l="1"/>
  <c r="J43" i="2" s="1"/>
  <c r="E20" i="2"/>
  <c r="E22" i="2" s="1"/>
  <c r="O22" i="2"/>
  <c r="O32" i="2" s="1"/>
  <c r="E32" i="2" l="1"/>
  <c r="E43" i="2" s="1"/>
  <c r="N22" i="2"/>
  <c r="N32" i="2" s="1"/>
  <c r="M9" i="16" l="1"/>
  <c r="G9" i="16"/>
  <c r="K9" i="16"/>
  <c r="H9" i="16"/>
  <c r="F9" i="16"/>
  <c r="J9" i="16"/>
  <c r="I9" i="16"/>
  <c r="E9" i="16"/>
  <c r="L9" i="16"/>
  <c r="Q22" i="2"/>
  <c r="O43" i="2"/>
  <c r="C9" i="2"/>
  <c r="C11" i="2" s="1"/>
  <c r="Q32" i="2" l="1"/>
  <c r="Q43" i="2" s="1"/>
  <c r="D9" i="16"/>
  <c r="C9" i="16"/>
  <c r="N43" i="2"/>
  <c r="B9" i="2"/>
  <c r="N9" i="16" l="1"/>
  <c r="E9" i="2"/>
  <c r="B11" i="2"/>
  <c r="E11" i="2" l="1"/>
  <c r="I9" i="2"/>
  <c r="I11" i="2" s="1"/>
  <c r="K25" i="16" l="1"/>
  <c r="G25" i="16"/>
  <c r="C25" i="16"/>
  <c r="J25" i="16"/>
  <c r="F25" i="16"/>
  <c r="M25" i="16"/>
  <c r="I25" i="16"/>
  <c r="E25" i="16"/>
  <c r="L25" i="16"/>
  <c r="H25" i="16"/>
  <c r="D25" i="16"/>
  <c r="N24" i="16" l="1"/>
  <c r="N25" i="16" s="1"/>
  <c r="B25" i="16"/>
  <c r="M13" i="16" l="1"/>
  <c r="I13" i="16"/>
  <c r="E13" i="16"/>
  <c r="L13" i="16"/>
  <c r="H13" i="16"/>
  <c r="D13" i="16"/>
  <c r="K13" i="16"/>
  <c r="G13" i="16"/>
  <c r="C13" i="16"/>
  <c r="J13" i="16"/>
  <c r="F13" i="16"/>
  <c r="N12" i="16" l="1"/>
  <c r="N13" i="16" s="1"/>
  <c r="B13" i="16"/>
</calcChain>
</file>

<file path=xl/sharedStrings.xml><?xml version="1.0" encoding="utf-8"?>
<sst xmlns="http://schemas.openxmlformats.org/spreadsheetml/2006/main" count="790" uniqueCount="375">
  <si>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</si>
  <si>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</si>
  <si>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</si>
  <si>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</si>
  <si>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</si>
  <si>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</si>
  <si>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</si>
  <si>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</si>
  <si>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</si>
  <si>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</si>
  <si>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</si>
  <si>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</si>
  <si>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</si>
  <si>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</si>
  <si>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</si>
  <si>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</si>
  <si>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</si>
  <si>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</si>
  <si>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</si>
  <si>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</si>
  <si>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</si>
  <si>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</si>
  <si>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</si>
  <si>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</si>
  <si>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</si>
  <si>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</si>
  <si>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</si>
  <si>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</si>
  <si>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</si>
  <si>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</si>
  <si>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</si>
  <si>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</si>
  <si>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</si>
  <si>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</si>
  <si>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</si>
  <si>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</si>
  <si>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</si>
  <si>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</si>
  <si>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</si>
  <si>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</si>
  <si>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</si>
  <si>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</si>
  <si>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</si>
  <si>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</si>
  <si>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</si>
  <si>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</si>
  <si>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</si>
  <si>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</si>
  <si>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</si>
  <si>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</si>
  <si>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</si>
  <si>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</si>
  <si>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</si>
  <si>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</si>
  <si>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</si>
  <si>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</si>
  <si>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</si>
  <si>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</si>
  <si>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</si>
  <si>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</si>
  <si>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</si>
  <si>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</si>
  <si>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</si>
  <si>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</si>
  <si>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</si>
  <si>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</si>
  <si>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</si>
  <si>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</si>
  <si>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</si>
  <si>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</si>
  <si>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</si>
  <si>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</si>
  <si>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</si>
  <si>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</si>
  <si>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</si>
  <si>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DETALLE / OBSERVACIONES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</si>
  <si>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</si>
  <si>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</si>
  <si>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</si>
  <si>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</si>
  <si>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</si>
  <si>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</si>
  <si>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</si>
  <si>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</si>
  <si>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</si>
  <si>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</si>
  <si>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</si>
  <si>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</si>
  <si>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</si>
  <si>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</si>
  <si>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</si>
  <si>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</si>
  <si>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</si>
  <si>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</si>
  <si>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</si>
  <si>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</si>
  <si>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</si>
  <si>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</si>
  <si>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</si>
  <si>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</si>
  <si>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</si>
  <si>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</si>
  <si>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</si>
  <si>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</si>
  <si>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</si>
  <si>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</si>
  <si>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</si>
  <si>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</si>
  <si>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</si>
  <si>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</si>
  <si>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</si>
  <si>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</si>
  <si>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</si>
  <si>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</si>
  <si>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</si>
  <si>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</si>
  <si>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Total Bonos anual</t>
  </si>
  <si>
    <t>Total Aguinaldos anual</t>
  </si>
  <si>
    <t>Unidades de Apoyo Administrativo</t>
  </si>
  <si>
    <t>Otros</t>
  </si>
  <si>
    <t>APOYO ADM.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</si>
  <si>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</si>
  <si>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Reajuste en pesos ($)</t>
  </si>
  <si>
    <t>Reajuste en porcentaje (%)</t>
  </si>
  <si>
    <t>Ingreso por Escuela de Verano</t>
  </si>
  <si>
    <t>Media jornada</t>
  </si>
  <si>
    <t>Jardín Infantil ABC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</si>
  <si>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</si>
  <si>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</si>
  <si>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SERVICIO DE SUSCRIPCION</t>
  </si>
  <si>
    <t>EQUIPOS COMPUTACIONALES</t>
  </si>
  <si>
    <t>Total Meta Ocupación</t>
  </si>
  <si>
    <t>Jardines Infantiles</t>
  </si>
  <si>
    <t>PDI</t>
  </si>
  <si>
    <t>GENDARMERIA</t>
  </si>
  <si>
    <t>ADMINISTRACIÓN CENTRAL</t>
  </si>
  <si>
    <t>COSTO  TOTAL</t>
  </si>
  <si>
    <t>% Respecto a Precio Promedio Mercado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</si>
  <si>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</si>
  <si>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</si>
  <si>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</si>
  <si>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</si>
  <si>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</si>
  <si>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</si>
  <si>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</si>
  <si>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</si>
  <si>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</si>
  <si>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</si>
  <si>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</si>
  <si>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</si>
  <si>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</si>
  <si>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</si>
  <si>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</si>
  <si>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</si>
  <si>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</si>
  <si>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</si>
  <si>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</si>
  <si>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</si>
  <si>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</si>
  <si>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</si>
  <si>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</si>
  <si>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</si>
  <si>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</si>
  <si>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</si>
  <si>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</si>
  <si>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</si>
  <si>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</si>
  <si>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</si>
  <si>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</si>
  <si>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</si>
  <si>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</si>
  <si>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</si>
  <si>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</si>
  <si>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</si>
  <si>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</si>
  <si>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</si>
  <si>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</si>
  <si>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</si>
  <si>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</si>
  <si>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</si>
  <si>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</si>
  <si>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</si>
  <si>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</si>
  <si>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</si>
  <si>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</si>
  <si>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</si>
  <si>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</si>
  <si>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</si>
  <si>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</si>
  <si>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</si>
  <si>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</si>
  <si>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</si>
  <si>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</si>
  <si>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</si>
  <si>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</si>
  <si>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</si>
  <si>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</si>
  <si>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</si>
  <si>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</si>
  <si>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</si>
  <si>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</si>
  <si>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</si>
  <si>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TABLA 9: RESUMEN DISTRIBUCION COSTOS REMUNERACIONES ADMINISTRACION CENTRAL</t>
  </si>
  <si>
    <t>Jardín Infantil Mar y Cielo</t>
  </si>
  <si>
    <t xml:space="preserve">Doble jornada </t>
  </si>
  <si>
    <t>Jornada completa</t>
  </si>
  <si>
    <t>C) ESTIMACION DE COSTOS DIRECTOS</t>
  </si>
  <si>
    <t>Gasto Total Empresa</t>
  </si>
  <si>
    <t>OTROS MANTEN. Y REP.MENORES</t>
  </si>
  <si>
    <t>PROD.QUIMIC,FARMACEUTICOS IND. (BOTIQUIN)</t>
  </si>
  <si>
    <t>PRODUCTOS QUIMICOS (EXTINTOR)</t>
  </si>
  <si>
    <t>CUOTA DE PADRES</t>
  </si>
  <si>
    <t>AFL</t>
  </si>
  <si>
    <t>PAF</t>
  </si>
  <si>
    <t>EDUC.PARV</t>
  </si>
  <si>
    <t>TECNICO EN PARV</t>
  </si>
  <si>
    <t>TOTAL</t>
  </si>
  <si>
    <t>Diurna</t>
  </si>
  <si>
    <t>Nocturna</t>
  </si>
  <si>
    <t>Media Jornada</t>
  </si>
  <si>
    <t>JI (80%)</t>
  </si>
  <si>
    <t>SC (20%)</t>
  </si>
  <si>
    <t xml:space="preserve"> COSTOS DIRECTOS COMUNES  "JARDIN INFANTIL Y SALA CUNA MAR Y CIELO"</t>
  </si>
  <si>
    <t>Mensualidad 2022</t>
  </si>
  <si>
    <t>N.N.</t>
  </si>
  <si>
    <t>Jardín Infantil XYZ</t>
  </si>
  <si>
    <t>I) Proyección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</si>
  <si>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</si>
  <si>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</si>
  <si>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</si>
  <si>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</si>
  <si>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</si>
  <si>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</si>
  <si>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</si>
  <si>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</si>
  <si>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</si>
  <si>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</si>
  <si>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</si>
  <si>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</si>
  <si>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DE OPERACION</t>
  </si>
  <si>
    <t>REMUNERACIONES COD.DEL TRABAJO</t>
  </si>
  <si>
    <t>COSTOS  DE OPERACION</t>
  </si>
  <si>
    <t>BONOS CÓDIGO DEL TRABAJO</t>
  </si>
  <si>
    <t>Sala Cuna Mar y Cielo Diurna</t>
  </si>
  <si>
    <t>TABLA N°15: PROYECCIÓN MENSUAL</t>
  </si>
  <si>
    <t>MATRICULA</t>
  </si>
  <si>
    <t>PERSONAL</t>
  </si>
  <si>
    <t>ACUMULADO A DICIEMBRE</t>
  </si>
  <si>
    <t>RESULTADO OPERACIONAL</t>
  </si>
  <si>
    <t>Gasto Total empresa
2022</t>
  </si>
  <si>
    <t>Sala Cuna Mar y Cielo</t>
  </si>
  <si>
    <t>BIENMAG</t>
  </si>
  <si>
    <t>MANIP. DE ALIMENTOS</t>
  </si>
  <si>
    <t>AUX DE ASEO</t>
  </si>
  <si>
    <t>Matrícula 2023</t>
  </si>
  <si>
    <t>Mensualidad 2023</t>
  </si>
  <si>
    <t>Tarifa 2023</t>
  </si>
  <si>
    <t>Propuesta Mensualidad 2023</t>
  </si>
  <si>
    <t>Meta Ocupación niños 2023</t>
  </si>
  <si>
    <t>COSTO DIRECTO ESTIMADO 2023</t>
  </si>
  <si>
    <t>REMUNERACIONES 2022</t>
  </si>
  <si>
    <t>Costo Total anual por Servidor 2022</t>
  </si>
  <si>
    <t>Costo Total por Servidor Reajustado 2023</t>
  </si>
  <si>
    <t>COSTO INDIRECTO ESTIMADO 2023</t>
  </si>
  <si>
    <t>Gasto Total empresa
2023</t>
  </si>
  <si>
    <t>Media jornada extendida</t>
  </si>
  <si>
    <t>Costo Total Remuneraciones 2023 por Centro de Beneficio</t>
  </si>
  <si>
    <t xml:space="preserve">PAULINA </t>
  </si>
  <si>
    <t xml:space="preserve">CANDIA DÍAZ </t>
  </si>
  <si>
    <t xml:space="preserve">KAREN </t>
  </si>
  <si>
    <t xml:space="preserve">BARRIA OJEDA </t>
  </si>
  <si>
    <t xml:space="preserve">LUCÍA </t>
  </si>
  <si>
    <t xml:space="preserve">NAHUELNERI </t>
  </si>
  <si>
    <t xml:space="preserve">NICOLE </t>
  </si>
  <si>
    <t xml:space="preserve">SANZANA GARRIDO </t>
  </si>
  <si>
    <t xml:space="preserve">JENIFER </t>
  </si>
  <si>
    <t xml:space="preserve">CHAVEZ SALINAS </t>
  </si>
  <si>
    <t xml:space="preserve">NN </t>
  </si>
  <si>
    <t xml:space="preserve">N.N. </t>
  </si>
  <si>
    <t xml:space="preserve">JACQUELINE </t>
  </si>
  <si>
    <t xml:space="preserve">LAVIN VILLEGAS </t>
  </si>
  <si>
    <t xml:space="preserve">LEONTINA </t>
  </si>
  <si>
    <t xml:space="preserve">BUSTAMANTE ALMONACID </t>
  </si>
  <si>
    <t xml:space="preserve">CARLA </t>
  </si>
  <si>
    <t xml:space="preserve">BARRERA MORALES </t>
  </si>
  <si>
    <t>DIRECTORA EC</t>
  </si>
  <si>
    <t xml:space="preserve">MILENNA </t>
  </si>
  <si>
    <t xml:space="preserve">MIRANDA MUÑOZ </t>
  </si>
  <si>
    <t xml:space="preserve">EDUC.PARV EC </t>
  </si>
  <si>
    <t xml:space="preserve">GLORIA </t>
  </si>
  <si>
    <t xml:space="preserve">BARRÍA CÁRDENAS </t>
  </si>
  <si>
    <t>EDUC.PARV PAC</t>
  </si>
  <si>
    <t xml:space="preserve">CONSTANZA </t>
  </si>
  <si>
    <t xml:space="preserve">ACEVEDO VILLAGRA </t>
  </si>
  <si>
    <t xml:space="preserve">PRISCILA </t>
  </si>
  <si>
    <t xml:space="preserve">MILLAQUEN GONZALEZ </t>
  </si>
  <si>
    <t xml:space="preserve">CLAUDIA </t>
  </si>
  <si>
    <t xml:space="preserve">POBLETE PACHECO </t>
  </si>
  <si>
    <t xml:space="preserve">ELENA </t>
  </si>
  <si>
    <t xml:space="preserve">MADRIAZA NAVARRETE </t>
  </si>
  <si>
    <t xml:space="preserve">BIENMAG </t>
  </si>
  <si>
    <t>MAYORDOMO GENERAL</t>
  </si>
  <si>
    <t>MARISOL</t>
  </si>
  <si>
    <t>VICTOR</t>
  </si>
  <si>
    <t>CAJERO</t>
  </si>
  <si>
    <t>GABRIELA</t>
  </si>
  <si>
    <t>AURELIA</t>
  </si>
  <si>
    <t>ENC. PRESUPUESTO</t>
  </si>
  <si>
    <t>CARMEN LUZ</t>
  </si>
  <si>
    <t>ENC. RR.HH.</t>
  </si>
  <si>
    <t>CONSIDERACIONES A PROYECCIÓN DE INGRESOS Y COSTOS:</t>
  </si>
  <si>
    <t>Capc maxima</t>
  </si>
  <si>
    <t>% ocup JI</t>
  </si>
  <si>
    <t>% ocup SC</t>
  </si>
  <si>
    <t>PROYECCIÓN  CONSIDERADA JI :</t>
  </si>
  <si>
    <t>MEDIA JORNADA</t>
  </si>
  <si>
    <t>DOBLE JORNADA</t>
  </si>
  <si>
    <t xml:space="preserve">PROYECCIÓN DE NIÑOS AÑO 2023 = 80 NIÑOS JI y 12 SC </t>
  </si>
  <si>
    <t xml:space="preserve">MEDIA J. EXTENDIDA </t>
  </si>
  <si>
    <t>J. COMPLETA</t>
  </si>
  <si>
    <t>RUIZ VERA</t>
  </si>
  <si>
    <t>ADM. FINANZAS Y ADQUISICIONES</t>
  </si>
  <si>
    <t>ADM. CENTRAL</t>
  </si>
  <si>
    <t>DIAZ DIAZ</t>
  </si>
  <si>
    <t>CHIGUAY LLANCALAHUEN</t>
  </si>
  <si>
    <t>ENC. DEUDORES</t>
  </si>
  <si>
    <t>MARIA ANGELICA</t>
  </si>
  <si>
    <t xml:space="preserve">RIVERA </t>
  </si>
  <si>
    <t>TESORERA</t>
  </si>
  <si>
    <t>ZUÑIGA AGUILA</t>
  </si>
  <si>
    <t xml:space="preserve">NANCY </t>
  </si>
  <si>
    <t>ALVAREZ OTAIZA</t>
  </si>
  <si>
    <t>OPERADOR CONTABLE</t>
  </si>
  <si>
    <t>NN</t>
  </si>
  <si>
    <t>ADM. CENRAL</t>
  </si>
  <si>
    <t>OBANDO NAVARRO</t>
  </si>
  <si>
    <t xml:space="preserve">Jardín Infantil TURRÓN </t>
  </si>
  <si>
    <t xml:space="preserve">Jardín Infantil TURRON </t>
  </si>
  <si>
    <t xml:space="preserve">Jardín Infantil CONE </t>
  </si>
  <si>
    <t xml:space="preserve">Sala Cuna TURRON </t>
  </si>
  <si>
    <t xml:space="preserve">Sala Cuna  TURRON </t>
  </si>
  <si>
    <t xml:space="preserve">Sala Cuna CONE </t>
  </si>
  <si>
    <r>
      <rPr>
        <b/>
        <sz val="10"/>
        <rFont val="Arial"/>
        <family val="2"/>
      </rPr>
      <t>1.</t>
    </r>
    <r>
      <rPr>
        <sz val="10"/>
        <rFont val="Arial"/>
        <family val="2"/>
      </rPr>
      <t xml:space="preserve">- Se está  proyectando 80 niños en JI divididos en 4 niveles y atendiendo en 4 salas. </t>
    </r>
  </si>
  <si>
    <r>
      <rPr>
        <b/>
        <sz val="10"/>
        <rFont val="Arial"/>
        <family val="2"/>
      </rPr>
      <t>2.-</t>
    </r>
    <r>
      <rPr>
        <sz val="10"/>
        <rFont val="Arial"/>
        <family val="2"/>
      </rPr>
      <t xml:space="preserve"> El JI atendiendo con sus 4 salas podrá volver a separar los niveles medio menor y medio mayor, dando mayor cupos en esos niveles a las familias navales, debido a que con la creación de la sala cuna se han visto disminuidos sus capacidad durante los ultimos años, quedando muchos niños en lista de espera.</t>
    </r>
  </si>
  <si>
    <t>PROYECCIÓN  CONSIDERADA SC:</t>
  </si>
  <si>
    <t>COMPLETA C/ALIM.</t>
  </si>
  <si>
    <t>3.- Se considera la distribución de personal de la siguiente manera:</t>
  </si>
  <si>
    <t>NIVELES</t>
  </si>
  <si>
    <t>EDUCADORAS</t>
  </si>
  <si>
    <t>TÉCNICOS</t>
  </si>
  <si>
    <t xml:space="preserve">CANT. NIÑOS </t>
  </si>
  <si>
    <t xml:space="preserve">SALA CUNA </t>
  </si>
  <si>
    <t xml:space="preserve">EP CONSTANZA ACEVEDO </t>
  </si>
  <si>
    <t>2 J.C.</t>
  </si>
  <si>
    <t xml:space="preserve">14 LACT. </t>
  </si>
  <si>
    <t xml:space="preserve">PAC GLORIA BARRÍA </t>
  </si>
  <si>
    <t xml:space="preserve">25 NIÑOS </t>
  </si>
  <si>
    <t>TRANSICIÓN 1</t>
  </si>
  <si>
    <t>1 J.C.</t>
  </si>
  <si>
    <t xml:space="preserve">TRANSICIÓN 2 </t>
  </si>
  <si>
    <t xml:space="preserve">MEDIO MENOR </t>
  </si>
  <si>
    <t xml:space="preserve">MEDIO MAYOR </t>
  </si>
  <si>
    <t xml:space="preserve">EC MILENNA MIRANDA </t>
  </si>
  <si>
    <t xml:space="preserve">EP PAULINA CANDIA </t>
  </si>
  <si>
    <t xml:space="preserve"> 1  J.C. </t>
  </si>
  <si>
    <t xml:space="preserve">DIRECTORA E.C. CARLA BARRERA MORALES </t>
  </si>
  <si>
    <r>
      <t xml:space="preserve">4.- </t>
    </r>
    <r>
      <rPr>
        <sz val="9"/>
        <rFont val="Arial"/>
        <family val="2"/>
      </rPr>
      <t>Se considera que todo el personal pedagógico trabaje en jornada completa el año 2022.</t>
    </r>
  </si>
  <si>
    <r>
      <t xml:space="preserve">5.- </t>
    </r>
    <r>
      <rPr>
        <sz val="9"/>
        <rFont val="Arial"/>
        <family val="2"/>
      </rPr>
      <t xml:space="preserve">Se considera un monto de $600.000.- para capacitación del equipo pedagógico, para unos talleres de Baby Sings, Pequeños Exploradores (taller sensorial) y taller de desarrollo motor en lactantes con una Kinesiologa del Centro de Rehabilitación. </t>
    </r>
  </si>
  <si>
    <t>-</t>
  </si>
  <si>
    <t xml:space="preserve">EP EDUCADORA DE PÁRVULOS </t>
  </si>
  <si>
    <t>REINERIO</t>
  </si>
  <si>
    <t>ALVAREZ MIKACIC</t>
  </si>
  <si>
    <t>AREA RECREATIVA</t>
  </si>
  <si>
    <t>Asistencia Recreacional</t>
  </si>
  <si>
    <t>ÁREA APOYO A. recreacional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</si>
</sst>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-&quot;$&quot;\ * #,##0_-;\-&quot;$&quot;\ * #,##0_-;_-&quot;$&quot;\ * &quot;-&quot;_-;_-@_-"/>
    <numFmt numFmtId="165" formatCode="_-* #,##0.00_-;\-* #,##0.00_-;_-* &quot;-&quot;??_-;_-@_-"/>
    <numFmt numFmtId="166" formatCode="_-* #,##0.00\ &quot;€&quot;_-;\-* #,##0.00\ &quot;€&quot;_-;_-* &quot;-&quot;??\ &quot;€&quot;_-;_-@_-"/>
    <numFmt numFmtId="167" formatCode="_-\$* #,##0.00_-;&quot;-$&quot;* #,##0.00_-;_-\$* \-??_-;_-@_-"/>
    <numFmt numFmtId="168" formatCode="\$#,##0_);&quot;($&quot;#,##0\)"/>
    <numFmt numFmtId="169" formatCode="_-&quot;$ &quot;* #,##0_-;&quot;-$ &quot;* #,##0_-;_-&quot;$ &quot;* \-_-;_-@_-"/>
    <numFmt numFmtId="170" formatCode="0\ %"/>
    <numFmt numFmtId="171" formatCode="0.0%"/>
    <numFmt numFmtId="172" formatCode="#,##0_ ;[Red]\-#,##0\ "/>
    <numFmt numFmtId="173" formatCode="_-* #,##0.00_-;\-* #,##0.00_-;_-* \-??_-;_-@_-"/>
    <numFmt numFmtId="174" formatCode="_-\ * #,##0_-;&quot;$ &quot;* #,##0_-;_-\ * \-_-;_-@_-"/>
    <numFmt numFmtId="175" formatCode="_-* #,##0.0_-;\-* #,##0.0_-;_-* \-??_-;_-@_-"/>
    <numFmt numFmtId="176" formatCode="_(* #,##0_);_(* \(#,##0\);_(* \-_);_(@_)"/>
    <numFmt numFmtId="177" formatCode="_-* #,##0_-;\-* #,##0_-;_-* \-??_-;_-@_-"/>
    <numFmt numFmtId="178" formatCode="&quot;$&quot;\ #,##0"/>
    <numFmt numFmtId="179" formatCode="_-&quot;$&quot;* #,##0_-;\-&quot;$&quot;* #,##0_-;_-&quot;$&quot;* &quot;-&quot;??_-;_-@_-"/>
    <numFmt numFmtId="180" formatCode="#,##0_ ;\-#,##0\ "/>
    <numFmt numFmtId="181" formatCode="0.00\ %"/>
    <numFmt numFmtId="182" formatCode="_-\$* #,##0_-;&quot;-$&quot;* #,##0_-;_-\$* \-??_-;_-@_-"/>
    <numFmt numFmtId="183" formatCode="_-[$$-340A]\ * #,##0_-;\-[$$-340A]\ * #,##0_-;_-[$$-340A]\ * &quot;-&quot;??_-;_-@_-"/>
    <numFmt numFmtId="184" formatCode="_-[$€]* #,##0.00_-;\-[$€]* #,##0.00_-;_-[$€]* &quot;-&quot;??_-;_-@_-"/>
    <numFmt numFmtId="185" formatCode="_-[$€-2]\ * #,##0.00_-;\-[$€-2]\ * #,##0.00_-;_-[$€-2]\ * &quot;-&quot;??_-"/>
    <numFmt numFmtId="186" formatCode="_-&quot;$&quot;\ * #,##0_-;\-&quot;$&quot;\ * #,##0_-;_-&quot;$&quot;\ * &quot;-&quot;??_-;_-@_-"/>
  </numFmts>
  <fonts count="5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rgb="FFFF00FF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2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909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gray125">
        <bgColor theme="3" tint="0.79998168889431442"/>
      </patternFill>
    </fill>
    <fill>
      <patternFill patternType="gray125">
        <bgColor theme="0" tint="-0.14999847407452621"/>
      </patternFill>
    </fill>
    <fill>
      <patternFill patternType="gray125">
        <bgColor theme="3" tint="0.79995117038483843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mediumGray">
        <bgColor theme="3" tint="0.79998168889431442"/>
      </patternFill>
    </fill>
    <fill>
      <patternFill patternType="mediumGray">
        <bgColor theme="0" tint="-0.14999847407452621"/>
      </patternFill>
    </fill>
    <fill>
      <patternFill patternType="mediumGray"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FF66"/>
        <bgColor indexed="64"/>
      </patternFill>
    </fill>
  </fills>
  <borders count="2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auto="1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auto="1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2">
    <xf numFmtId="0" fontId="0" fillId="0" borderId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2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15" fillId="0" borderId="0"/>
    <xf numFmtId="167" fontId="15" fillId="0" borderId="0"/>
    <xf numFmtId="0" fontId="9" fillId="8" borderId="0" applyNumberFormat="0" applyBorder="0" applyAlignment="0" applyProtection="0"/>
    <xf numFmtId="0" fontId="6" fillId="8" borderId="1" applyNumberFormat="0" applyAlignment="0" applyProtection="0"/>
    <xf numFmtId="170" fontId="1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84" fontId="32" fillId="0" borderId="0" applyFont="0" applyFill="0" applyBorder="0" applyAlignment="0" applyProtection="0"/>
    <xf numFmtId="185" fontId="33" fillId="0" borderId="0" applyFont="0" applyFill="0" applyBorder="0" applyAlignment="0" applyProtection="0"/>
    <xf numFmtId="185" fontId="33" fillId="0" borderId="0" applyFont="0" applyFill="0" applyBorder="0" applyAlignment="0" applyProtection="0"/>
    <xf numFmtId="173" fontId="15" fillId="0" borderId="0" applyFill="0" applyBorder="0" applyAlignment="0" applyProtection="0"/>
    <xf numFmtId="167" fontId="15" fillId="0" borderId="0" applyFill="0" applyBorder="0" applyAlignment="0" applyProtection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ill="0" applyBorder="0" applyAlignment="0" applyProtection="0"/>
    <xf numFmtId="164" fontId="15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7" fontId="15" fillId="0" borderId="0"/>
    <xf numFmtId="0" fontId="6" fillId="8" borderId="260" applyNumberFormat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8" borderId="260" applyNumberFormat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8" borderId="261" applyNumberFormat="0" applyAlignment="0" applyProtection="0"/>
  </cellStyleXfs>
  <cellXfs count="1070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70" fontId="0" fillId="0" borderId="0" xfId="16" applyFont="1" applyProtection="1"/>
    <xf numFmtId="0" fontId="0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4" fillId="9" borderId="0" xfId="0" applyFont="1" applyFill="1" applyBorder="1" applyAlignment="1" applyProtection="1">
      <alignment horizontal="left" vertical="center"/>
    </xf>
    <xf numFmtId="169" fontId="14" fillId="9" borderId="0" xfId="13" applyNumberFormat="1" applyFont="1" applyFill="1" applyBorder="1" applyAlignment="1" applyProtection="1">
      <alignment vertical="center"/>
    </xf>
    <xf numFmtId="167" fontId="14" fillId="0" borderId="0" xfId="13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172" fontId="14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9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center" vertical="center" wrapText="1"/>
    </xf>
    <xf numFmtId="167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70" fontId="17" fillId="0" borderId="0" xfId="16" applyFont="1" applyBorder="1" applyAlignment="1" applyProtection="1">
      <alignment vertical="center"/>
    </xf>
    <xf numFmtId="175" fontId="0" fillId="0" borderId="0" xfId="12" applyNumberFormat="1" applyFont="1" applyFill="1" applyBorder="1" applyAlignment="1" applyProtection="1">
      <alignment vertical="center"/>
    </xf>
    <xf numFmtId="0" fontId="0" fillId="11" borderId="0" xfId="0" applyFont="1" applyFill="1" applyBorder="1" applyAlignment="1" applyProtection="1">
      <alignment horizontal="left" vertical="center"/>
    </xf>
    <xf numFmtId="178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9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78" fontId="0" fillId="0" borderId="0" xfId="0" applyNumberFormat="1" applyFont="1" applyFill="1" applyBorder="1" applyAlignment="1" applyProtection="1">
      <alignment horizontal="right" vertical="center"/>
    </xf>
    <xf numFmtId="178" fontId="14" fillId="0" borderId="0" xfId="0" applyNumberFormat="1" applyFont="1" applyFill="1" applyBorder="1" applyProtection="1"/>
    <xf numFmtId="178" fontId="14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8" fontId="0" fillId="0" borderId="0" xfId="0" applyNumberFormat="1" applyFont="1" applyFill="1" applyBorder="1" applyProtection="1"/>
    <xf numFmtId="178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4" fillId="0" borderId="0" xfId="0" applyFont="1" applyBorder="1" applyProtection="1"/>
    <xf numFmtId="0" fontId="14" fillId="0" borderId="0" xfId="0" applyFont="1" applyFill="1" applyBorder="1" applyAlignment="1" applyProtection="1">
      <alignment vertical="center"/>
    </xf>
    <xf numFmtId="170" fontId="14" fillId="0" borderId="0" xfId="16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168" fontId="25" fillId="30" borderId="27" xfId="0" applyNumberFormat="1" applyFont="1" applyFill="1" applyBorder="1" applyAlignment="1" applyProtection="1">
      <alignment vertical="center"/>
    </xf>
    <xf numFmtId="168" fontId="14" fillId="32" borderId="32" xfId="13" applyNumberFormat="1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 wrapText="1"/>
    </xf>
    <xf numFmtId="0" fontId="14" fillId="16" borderId="22" xfId="0" applyFont="1" applyFill="1" applyBorder="1" applyAlignment="1" applyProtection="1">
      <alignment horizontal="center" vertical="center" wrapText="1"/>
    </xf>
    <xf numFmtId="0" fontId="24" fillId="0" borderId="42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178" fontId="14" fillId="26" borderId="22" xfId="0" applyNumberFormat="1" applyFont="1" applyFill="1" applyBorder="1" applyAlignment="1" applyProtection="1">
      <alignment horizontal="center" vertical="center"/>
    </xf>
    <xf numFmtId="171" fontId="14" fillId="19" borderId="22" xfId="16" applyNumberFormat="1" applyFont="1" applyFill="1" applyBorder="1" applyAlignment="1" applyProtection="1">
      <alignment horizontal="center" vertical="center"/>
    </xf>
    <xf numFmtId="178" fontId="0" fillId="26" borderId="22" xfId="0" applyNumberFormat="1" applyFont="1" applyFill="1" applyBorder="1" applyAlignment="1" applyProtection="1">
      <alignment horizontal="center" vertical="center"/>
    </xf>
    <xf numFmtId="178" fontId="24" fillId="26" borderId="18" xfId="0" applyNumberFormat="1" applyFont="1" applyFill="1" applyBorder="1" applyAlignment="1" applyProtection="1">
      <alignment horizontal="right" vertical="center"/>
    </xf>
    <xf numFmtId="170" fontId="16" fillId="19" borderId="6" xfId="16" applyFont="1" applyFill="1" applyBorder="1" applyAlignment="1" applyProtection="1">
      <alignment horizontal="center" vertical="center"/>
    </xf>
    <xf numFmtId="0" fontId="14" fillId="43" borderId="0" xfId="0" applyFont="1" applyFill="1" applyBorder="1" applyAlignment="1" applyProtection="1">
      <alignment horizontal="center" vertical="center"/>
    </xf>
    <xf numFmtId="0" fontId="0" fillId="43" borderId="0" xfId="0" applyFill="1" applyProtection="1"/>
    <xf numFmtId="0" fontId="0" fillId="43" borderId="0" xfId="0" applyFill="1" applyAlignment="1" applyProtection="1">
      <alignment horizontal="center" vertical="center"/>
    </xf>
    <xf numFmtId="179" fontId="0" fillId="0" borderId="0" xfId="13" applyNumberFormat="1" applyFont="1" applyFill="1" applyBorder="1" applyAlignment="1" applyProtection="1">
      <alignment vertical="center"/>
    </xf>
    <xf numFmtId="0" fontId="0" fillId="12" borderId="30" xfId="0" applyFont="1" applyFill="1" applyBorder="1" applyAlignment="1" applyProtection="1">
      <alignment horizontal="left" vertical="center"/>
      <protection locked="0"/>
    </xf>
    <xf numFmtId="0" fontId="0" fillId="12" borderId="34" xfId="0" applyFont="1" applyFill="1" applyBorder="1" applyAlignment="1" applyProtection="1">
      <alignment horizontal="left" vertical="center"/>
      <protection locked="0"/>
    </xf>
    <xf numFmtId="0" fontId="0" fillId="12" borderId="17" xfId="0" applyFont="1" applyFill="1" applyBorder="1" applyAlignment="1" applyProtection="1">
      <alignment horizontal="left" vertical="center"/>
      <protection locked="0"/>
    </xf>
    <xf numFmtId="0" fontId="0" fillId="12" borderId="23" xfId="0" applyFont="1" applyFill="1" applyBorder="1" applyAlignment="1" applyProtection="1">
      <alignment horizontal="left" vertical="center"/>
      <protection locked="0"/>
    </xf>
    <xf numFmtId="0" fontId="0" fillId="12" borderId="23" xfId="0" applyFont="1" applyFill="1" applyBorder="1" applyProtection="1">
      <protection locked="0"/>
    </xf>
    <xf numFmtId="0" fontId="0" fillId="12" borderId="20" xfId="0" applyFont="1" applyFill="1" applyBorder="1" applyProtection="1">
      <protection locked="0"/>
    </xf>
    <xf numFmtId="170" fontId="15" fillId="0" borderId="22" xfId="16" applyBorder="1" applyAlignment="1" applyProtection="1">
      <alignment horizontal="center" vertical="center"/>
    </xf>
    <xf numFmtId="170" fontId="14" fillId="16" borderId="22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0" fillId="12" borderId="53" xfId="0" applyFont="1" applyFill="1" applyBorder="1" applyProtection="1">
      <protection locked="0"/>
    </xf>
    <xf numFmtId="169" fontId="14" fillId="35" borderId="60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center" vertical="center" wrapText="1"/>
    </xf>
    <xf numFmtId="170" fontId="30" fillId="0" borderId="0" xfId="16" applyFont="1" applyFill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right" vertical="center"/>
    </xf>
    <xf numFmtId="0" fontId="26" fillId="11" borderId="0" xfId="0" applyFont="1" applyFill="1" applyBorder="1" applyAlignment="1" applyProtection="1">
      <alignment horizontal="left" vertical="center" indent="2"/>
    </xf>
    <xf numFmtId="0" fontId="26" fillId="0" borderId="0" xfId="0" applyFont="1" applyBorder="1" applyAlignment="1" applyProtection="1">
      <alignment horizontal="left" vertical="center" indent="2"/>
    </xf>
    <xf numFmtId="0" fontId="14" fillId="0" borderId="0" xfId="0" applyFont="1" applyFill="1" applyBorder="1" applyAlignment="1" applyProtection="1">
      <alignment horizontal="center" vertical="center"/>
    </xf>
    <xf numFmtId="179" fontId="0" fillId="12" borderId="68" xfId="13" applyNumberFormat="1" applyFont="1" applyFill="1" applyBorder="1" applyAlignment="1" applyProtection="1">
      <alignment vertical="center"/>
      <protection locked="0"/>
    </xf>
    <xf numFmtId="179" fontId="0" fillId="12" borderId="69" xfId="13" applyNumberFormat="1" applyFont="1" applyFill="1" applyBorder="1" applyAlignment="1" applyProtection="1">
      <alignment vertical="center"/>
      <protection locked="0"/>
    </xf>
    <xf numFmtId="0" fontId="0" fillId="12" borderId="70" xfId="0" applyFont="1" applyFill="1" applyBorder="1" applyAlignment="1" applyProtection="1">
      <alignment horizontal="left" vertical="center"/>
      <protection locked="0"/>
    </xf>
    <xf numFmtId="0" fontId="0" fillId="12" borderId="70" xfId="0" applyFont="1" applyFill="1" applyBorder="1" applyProtection="1">
      <protection locked="0"/>
    </xf>
    <xf numFmtId="0" fontId="0" fillId="12" borderId="71" xfId="0" applyFont="1" applyFill="1" applyBorder="1" applyProtection="1">
      <protection locked="0"/>
    </xf>
    <xf numFmtId="179" fontId="0" fillId="12" borderId="70" xfId="13" applyNumberFormat="1" applyFont="1" applyFill="1" applyBorder="1" applyAlignment="1" applyProtection="1">
      <alignment vertical="center"/>
      <protection locked="0"/>
    </xf>
    <xf numFmtId="0" fontId="0" fillId="12" borderId="68" xfId="0" applyFont="1" applyFill="1" applyBorder="1" applyAlignment="1" applyProtection="1">
      <alignment horizontal="left" vertical="center"/>
      <protection locked="0"/>
    </xf>
    <xf numFmtId="0" fontId="0" fillId="12" borderId="68" xfId="0" applyFont="1" applyFill="1" applyBorder="1" applyProtection="1">
      <protection locked="0"/>
    </xf>
    <xf numFmtId="0" fontId="0" fillId="12" borderId="73" xfId="0" applyFont="1" applyFill="1" applyBorder="1" applyProtection="1">
      <protection locked="0"/>
    </xf>
    <xf numFmtId="0" fontId="0" fillId="12" borderId="66" xfId="0" applyFont="1" applyFill="1" applyBorder="1" applyAlignment="1" applyProtection="1">
      <alignment horizontal="left" vertical="center"/>
      <protection locked="0"/>
    </xf>
    <xf numFmtId="0" fontId="0" fillId="12" borderId="66" xfId="0" applyFont="1" applyFill="1" applyBorder="1" applyProtection="1">
      <protection locked="0"/>
    </xf>
    <xf numFmtId="0" fontId="0" fillId="12" borderId="69" xfId="0" applyFont="1" applyFill="1" applyBorder="1" applyAlignment="1" applyProtection="1">
      <alignment horizontal="left" vertical="center"/>
      <protection locked="0"/>
    </xf>
    <xf numFmtId="0" fontId="0" fillId="12" borderId="69" xfId="0" applyFont="1" applyFill="1" applyBorder="1" applyProtection="1">
      <protection locked="0"/>
    </xf>
    <xf numFmtId="0" fontId="0" fillId="12" borderId="75" xfId="0" applyFont="1" applyFill="1" applyBorder="1" applyProtection="1">
      <protection locked="0"/>
    </xf>
    <xf numFmtId="178" fontId="0" fillId="0" borderId="76" xfId="0" applyNumberFormat="1" applyFont="1" applyFill="1" applyBorder="1" applyAlignment="1" applyProtection="1">
      <alignment horizontal="right" vertical="center"/>
    </xf>
    <xf numFmtId="178" fontId="0" fillId="0" borderId="78" xfId="0" applyNumberFormat="1" applyFont="1" applyFill="1" applyBorder="1" applyAlignment="1" applyProtection="1">
      <alignment horizontal="right" vertical="center"/>
    </xf>
    <xf numFmtId="178" fontId="0" fillId="0" borderId="79" xfId="0" applyNumberFormat="1" applyFont="1" applyFill="1" applyBorder="1" applyAlignment="1" applyProtection="1">
      <alignment horizontal="right" vertical="center"/>
    </xf>
    <xf numFmtId="0" fontId="14" fillId="16" borderId="53" xfId="0" applyFont="1" applyFill="1" applyBorder="1" applyAlignment="1" applyProtection="1">
      <alignment horizontal="center" vertical="center" wrapText="1"/>
    </xf>
    <xf numFmtId="0" fontId="14" fillId="16" borderId="23" xfId="0" applyFont="1" applyFill="1" applyBorder="1" applyAlignment="1" applyProtection="1">
      <alignment horizontal="center" vertical="center" wrapText="1"/>
    </xf>
    <xf numFmtId="0" fontId="14" fillId="16" borderId="39" xfId="0" applyFont="1" applyFill="1" applyBorder="1" applyAlignment="1" applyProtection="1">
      <alignment horizontal="center" vertical="center" wrapText="1"/>
    </xf>
    <xf numFmtId="179" fontId="0" fillId="12" borderId="73" xfId="13" applyNumberFormat="1" applyFont="1" applyFill="1" applyBorder="1" applyAlignment="1" applyProtection="1">
      <alignment vertical="center"/>
      <protection locked="0"/>
    </xf>
    <xf numFmtId="179" fontId="0" fillId="12" borderId="75" xfId="13" applyNumberFormat="1" applyFont="1" applyFill="1" applyBorder="1" applyAlignment="1" applyProtection="1">
      <alignment vertical="center"/>
      <protection locked="0"/>
    </xf>
    <xf numFmtId="179" fontId="0" fillId="12" borderId="71" xfId="13" applyNumberFormat="1" applyFont="1" applyFill="1" applyBorder="1" applyAlignment="1" applyProtection="1">
      <alignment vertical="center"/>
      <protection locked="0"/>
    </xf>
    <xf numFmtId="178" fontId="0" fillId="29" borderId="78" xfId="0" applyNumberFormat="1" applyFont="1" applyFill="1" applyBorder="1" applyAlignment="1" applyProtection="1">
      <alignment horizontal="right" vertical="center"/>
    </xf>
    <xf numFmtId="178" fontId="0" fillId="29" borderId="79" xfId="0" applyNumberFormat="1" applyFont="1" applyFill="1" applyBorder="1" applyAlignment="1" applyProtection="1">
      <alignment horizontal="right" vertical="center"/>
    </xf>
    <xf numFmtId="178" fontId="0" fillId="29" borderId="76" xfId="0" applyNumberFormat="1" applyFont="1" applyFill="1" applyBorder="1" applyAlignment="1" applyProtection="1">
      <alignment horizontal="right" vertical="center"/>
    </xf>
    <xf numFmtId="178" fontId="0" fillId="29" borderId="72" xfId="0" applyNumberFormat="1" applyFont="1" applyFill="1" applyBorder="1" applyAlignment="1" applyProtection="1">
      <alignment horizontal="right" vertical="center"/>
    </xf>
    <xf numFmtId="178" fontId="0" fillId="29" borderId="80" xfId="0" applyNumberFormat="1" applyFont="1" applyFill="1" applyBorder="1" applyAlignment="1" applyProtection="1">
      <alignment horizontal="right" vertical="center"/>
    </xf>
    <xf numFmtId="178" fontId="0" fillId="0" borderId="72" xfId="0" applyNumberFormat="1" applyFont="1" applyFill="1" applyBorder="1" applyAlignment="1" applyProtection="1">
      <alignment horizontal="right" vertical="center"/>
    </xf>
    <xf numFmtId="178" fontId="0" fillId="0" borderId="80" xfId="0" applyNumberFormat="1" applyFont="1" applyFill="1" applyBorder="1" applyAlignment="1" applyProtection="1">
      <alignment horizontal="right" vertical="center"/>
    </xf>
    <xf numFmtId="0" fontId="0" fillId="12" borderId="81" xfId="0" applyFont="1" applyFill="1" applyBorder="1" applyAlignment="1" applyProtection="1">
      <alignment horizontal="left" vertical="center"/>
      <protection locked="0"/>
    </xf>
    <xf numFmtId="0" fontId="0" fillId="12" borderId="82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vertical="center"/>
    </xf>
    <xf numFmtId="0" fontId="12" fillId="23" borderId="69" xfId="0" applyFont="1" applyFill="1" applyBorder="1" applyAlignment="1" applyProtection="1">
      <alignment horizontal="left" vertical="center"/>
    </xf>
    <xf numFmtId="0" fontId="12" fillId="20" borderId="69" xfId="0" applyFont="1" applyFill="1" applyBorder="1" applyAlignment="1" applyProtection="1">
      <alignment horizontal="left" vertical="center"/>
    </xf>
    <xf numFmtId="176" fontId="20" fillId="0" borderId="69" xfId="0" applyNumberFormat="1" applyFont="1" applyFill="1" applyBorder="1" applyAlignment="1" applyProtection="1">
      <alignment horizontal="left"/>
    </xf>
    <xf numFmtId="0" fontId="14" fillId="21" borderId="69" xfId="0" applyFont="1" applyFill="1" applyBorder="1" applyAlignment="1" applyProtection="1">
      <alignment horizontal="center" vertical="center"/>
    </xf>
    <xf numFmtId="0" fontId="14" fillId="20" borderId="69" xfId="0" applyFont="1" applyFill="1" applyBorder="1" applyAlignment="1" applyProtection="1">
      <alignment horizontal="center" vertical="center" wrapText="1"/>
    </xf>
    <xf numFmtId="1" fontId="0" fillId="0" borderId="69" xfId="0" applyNumberFormat="1" applyFont="1" applyFill="1" applyBorder="1" applyAlignment="1" applyProtection="1">
      <alignment horizontal="center" vertical="center" wrapText="1"/>
    </xf>
    <xf numFmtId="169" fontId="12" fillId="23" borderId="69" xfId="13" applyNumberFormat="1" applyFont="1" applyFill="1" applyBorder="1" applyAlignment="1" applyProtection="1">
      <alignment horizontal="center" vertical="center"/>
    </xf>
    <xf numFmtId="169" fontId="12" fillId="20" borderId="69" xfId="13" applyNumberFormat="1" applyFont="1" applyFill="1" applyBorder="1" applyAlignment="1" applyProtection="1">
      <alignment horizontal="center" vertical="center"/>
    </xf>
    <xf numFmtId="169" fontId="0" fillId="12" borderId="69" xfId="13" applyNumberFormat="1" applyFont="1" applyFill="1" applyBorder="1" applyAlignment="1" applyProtection="1">
      <alignment vertical="center"/>
      <protection locked="0"/>
    </xf>
    <xf numFmtId="0" fontId="14" fillId="31" borderId="69" xfId="0" applyFont="1" applyFill="1" applyBorder="1" applyAlignment="1" applyProtection="1">
      <alignment horizontal="center" vertical="center" wrapText="1"/>
    </xf>
    <xf numFmtId="0" fontId="14" fillId="32" borderId="69" xfId="0" applyFont="1" applyFill="1" applyBorder="1" applyAlignment="1" applyProtection="1">
      <alignment horizontal="left" vertical="center"/>
    </xf>
    <xf numFmtId="169" fontId="14" fillId="31" borderId="69" xfId="0" applyNumberFormat="1" applyFont="1" applyFill="1" applyBorder="1" applyAlignment="1" applyProtection="1">
      <alignment horizontal="center" vertical="center" wrapText="1"/>
    </xf>
    <xf numFmtId="9" fontId="0" fillId="12" borderId="83" xfId="0" applyNumberFormat="1" applyFont="1" applyFill="1" applyBorder="1" applyAlignment="1" applyProtection="1">
      <alignment horizontal="center" vertical="center"/>
      <protection locked="0"/>
    </xf>
    <xf numFmtId="183" fontId="0" fillId="11" borderId="0" xfId="0" applyNumberFormat="1" applyFont="1" applyFill="1" applyProtection="1"/>
    <xf numFmtId="182" fontId="0" fillId="11" borderId="0" xfId="0" applyNumberFormat="1" applyFont="1" applyFill="1" applyProtection="1"/>
    <xf numFmtId="180" fontId="0" fillId="12" borderId="109" xfId="13" applyNumberFormat="1" applyFont="1" applyFill="1" applyBorder="1" applyAlignment="1" applyProtection="1">
      <alignment horizontal="center" vertical="center"/>
      <protection locked="0"/>
    </xf>
    <xf numFmtId="170" fontId="15" fillId="0" borderId="0" xfId="16" applyProtection="1"/>
    <xf numFmtId="182" fontId="15" fillId="0" borderId="0" xfId="13" applyNumberFormat="1" applyProtection="1"/>
    <xf numFmtId="0" fontId="24" fillId="12" borderId="41" xfId="0" applyFont="1" applyFill="1" applyBorder="1" applyAlignment="1" applyProtection="1">
      <alignment horizontal="center" vertical="center"/>
      <protection locked="0"/>
    </xf>
    <xf numFmtId="9" fontId="0" fillId="12" borderId="107" xfId="0" applyNumberFormat="1" applyFont="1" applyFill="1" applyBorder="1" applyAlignment="1" applyProtection="1">
      <alignment horizontal="center" vertical="center"/>
      <protection locked="0"/>
    </xf>
    <xf numFmtId="178" fontId="0" fillId="0" borderId="108" xfId="0" applyNumberFormat="1" applyFont="1" applyFill="1" applyBorder="1" applyAlignment="1" applyProtection="1">
      <alignment horizontal="right" vertical="center"/>
    </xf>
    <xf numFmtId="178" fontId="0" fillId="0" borderId="73" xfId="0" applyNumberFormat="1" applyFont="1" applyFill="1" applyBorder="1" applyAlignment="1" applyProtection="1">
      <alignment horizontal="right" vertical="center"/>
    </xf>
    <xf numFmtId="178" fontId="0" fillId="0" borderId="116" xfId="0" applyNumberFormat="1" applyFont="1" applyFill="1" applyBorder="1" applyAlignment="1" applyProtection="1">
      <alignment horizontal="right" vertical="center"/>
    </xf>
    <xf numFmtId="178" fontId="0" fillId="0" borderId="102" xfId="0" applyNumberFormat="1" applyFont="1" applyFill="1" applyBorder="1" applyAlignment="1" applyProtection="1">
      <alignment horizontal="right" vertical="center"/>
    </xf>
    <xf numFmtId="9" fontId="0" fillId="12" borderId="111" xfId="0" applyNumberFormat="1" applyFont="1" applyFill="1" applyBorder="1" applyAlignment="1" applyProtection="1">
      <alignment horizontal="center" vertical="center"/>
      <protection locked="0"/>
    </xf>
    <xf numFmtId="0" fontId="11" fillId="14" borderId="111" xfId="0" applyFont="1" applyFill="1" applyBorder="1" applyAlignment="1" applyProtection="1">
      <alignment horizontal="center" vertical="center"/>
    </xf>
    <xf numFmtId="0" fontId="11" fillId="47" borderId="110" xfId="0" applyFont="1" applyFill="1" applyBorder="1" applyAlignment="1" applyProtection="1">
      <alignment horizontal="center" vertical="center"/>
    </xf>
    <xf numFmtId="0" fontId="11" fillId="14" borderId="102" xfId="0" applyFont="1" applyFill="1" applyBorder="1" applyAlignment="1" applyProtection="1">
      <alignment horizontal="center" vertical="center"/>
    </xf>
    <xf numFmtId="0" fontId="11" fillId="47" borderId="122" xfId="0" applyFont="1" applyFill="1" applyBorder="1" applyAlignment="1" applyProtection="1">
      <alignment horizontal="center" vertical="center"/>
    </xf>
    <xf numFmtId="170" fontId="0" fillId="12" borderId="85" xfId="16" applyFont="1" applyFill="1" applyBorder="1" applyAlignment="1" applyProtection="1">
      <alignment horizontal="center" vertical="center"/>
      <protection locked="0"/>
    </xf>
    <xf numFmtId="170" fontId="0" fillId="12" borderId="123" xfId="16" applyFont="1" applyFill="1" applyBorder="1" applyAlignment="1" applyProtection="1">
      <alignment horizontal="center" vertical="center"/>
      <protection locked="0"/>
    </xf>
    <xf numFmtId="170" fontId="0" fillId="12" borderId="122" xfId="16" applyFont="1" applyFill="1" applyBorder="1" applyAlignment="1" applyProtection="1">
      <alignment horizontal="center" vertical="center"/>
      <protection locked="0"/>
    </xf>
    <xf numFmtId="178" fontId="0" fillId="0" borderId="105" xfId="0" applyNumberFormat="1" applyFont="1" applyFill="1" applyBorder="1" applyAlignment="1" applyProtection="1">
      <alignment horizontal="right" vertical="center"/>
    </xf>
    <xf numFmtId="178" fontId="0" fillId="0" borderId="110" xfId="0" applyNumberFormat="1" applyFont="1" applyFill="1" applyBorder="1" applyAlignment="1" applyProtection="1">
      <alignment horizontal="right" vertical="center"/>
    </xf>
    <xf numFmtId="0" fontId="26" fillId="0" borderId="0" xfId="0" applyFont="1" applyBorder="1" applyAlignment="1" applyProtection="1">
      <alignment vertical="center" wrapText="1"/>
    </xf>
    <xf numFmtId="0" fontId="11" fillId="48" borderId="111" xfId="0" applyFont="1" applyFill="1" applyBorder="1" applyAlignment="1" applyProtection="1">
      <alignment horizontal="center" vertical="center"/>
    </xf>
    <xf numFmtId="0" fontId="11" fillId="48" borderId="110" xfId="0" applyFont="1" applyFill="1" applyBorder="1" applyAlignment="1" applyProtection="1">
      <alignment horizontal="center" vertical="center"/>
    </xf>
    <xf numFmtId="170" fontId="31" fillId="0" borderId="87" xfId="16" applyFont="1" applyFill="1" applyBorder="1" applyAlignment="1" applyProtection="1">
      <alignment horizontal="center" vertical="center"/>
    </xf>
    <xf numFmtId="170" fontId="31" fillId="0" borderId="90" xfId="16" applyFont="1" applyFill="1" applyBorder="1" applyAlignment="1" applyProtection="1">
      <alignment horizontal="center" vertical="center"/>
    </xf>
    <xf numFmtId="178" fontId="0" fillId="27" borderId="89" xfId="0" applyNumberFormat="1" applyFont="1" applyFill="1" applyBorder="1" applyAlignment="1" applyProtection="1">
      <alignment horizontal="right" vertical="center"/>
    </xf>
    <xf numFmtId="178" fontId="0" fillId="27" borderId="126" xfId="0" applyNumberFormat="1" applyFont="1" applyFill="1" applyBorder="1" applyAlignment="1" applyProtection="1">
      <alignment horizontal="right" vertical="center"/>
    </xf>
    <xf numFmtId="0" fontId="0" fillId="11" borderId="128" xfId="0" applyFont="1" applyFill="1" applyBorder="1" applyProtection="1"/>
    <xf numFmtId="0" fontId="0" fillId="11" borderId="129" xfId="0" applyFont="1" applyFill="1" applyBorder="1" applyProtection="1"/>
    <xf numFmtId="0" fontId="0" fillId="11" borderId="130" xfId="0" applyFont="1" applyFill="1" applyBorder="1" applyProtection="1"/>
    <xf numFmtId="0" fontId="0" fillId="11" borderId="118" xfId="0" applyFont="1" applyFill="1" applyBorder="1" applyProtection="1"/>
    <xf numFmtId="0" fontId="0" fillId="11" borderId="65" xfId="0" applyFont="1" applyFill="1" applyBorder="1" applyProtection="1"/>
    <xf numFmtId="0" fontId="26" fillId="0" borderId="118" xfId="0" applyFont="1" applyBorder="1" applyAlignment="1" applyProtection="1">
      <alignment vertical="center"/>
    </xf>
    <xf numFmtId="0" fontId="11" fillId="14" borderId="112" xfId="0" applyFont="1" applyFill="1" applyBorder="1" applyAlignment="1" applyProtection="1">
      <alignment horizontal="center" vertical="center"/>
    </xf>
    <xf numFmtId="0" fontId="11" fillId="14" borderId="127" xfId="0" applyFont="1" applyFill="1" applyBorder="1" applyAlignment="1" applyProtection="1">
      <alignment horizontal="center" vertical="center"/>
    </xf>
    <xf numFmtId="0" fontId="11" fillId="48" borderId="112" xfId="0" applyFont="1" applyFill="1" applyBorder="1" applyAlignment="1" applyProtection="1">
      <alignment horizontal="center" vertical="center"/>
    </xf>
    <xf numFmtId="0" fontId="11" fillId="48" borderId="127" xfId="0" applyFont="1" applyFill="1" applyBorder="1" applyAlignment="1" applyProtection="1">
      <alignment horizontal="center" vertical="center"/>
    </xf>
    <xf numFmtId="0" fontId="11" fillId="47" borderId="112" xfId="0" applyFont="1" applyFill="1" applyBorder="1" applyAlignment="1" applyProtection="1">
      <alignment horizontal="center" vertical="center"/>
    </xf>
    <xf numFmtId="0" fontId="11" fillId="47" borderId="127" xfId="0" applyFont="1" applyFill="1" applyBorder="1" applyAlignment="1" applyProtection="1">
      <alignment horizontal="center" vertical="center"/>
    </xf>
    <xf numFmtId="178" fontId="0" fillId="26" borderId="104" xfId="0" applyNumberFormat="1" applyFont="1" applyFill="1" applyBorder="1" applyAlignment="1" applyProtection="1">
      <alignment horizontal="right" vertical="center"/>
    </xf>
    <xf numFmtId="178" fontId="0" fillId="26" borderId="105" xfId="0" applyNumberFormat="1" applyFont="1" applyFill="1" applyBorder="1" applyAlignment="1" applyProtection="1">
      <alignment horizontal="right" vertical="center"/>
    </xf>
    <xf numFmtId="0" fontId="0" fillId="11" borderId="119" xfId="0" applyFont="1" applyFill="1" applyBorder="1" applyProtection="1"/>
    <xf numFmtId="0" fontId="0" fillId="11" borderId="125" xfId="0" applyFont="1" applyFill="1" applyBorder="1" applyProtection="1"/>
    <xf numFmtId="0" fontId="0" fillId="11" borderId="61" xfId="0" applyFont="1" applyFill="1" applyBorder="1" applyProtection="1"/>
    <xf numFmtId="169" fontId="12" fillId="20" borderId="69" xfId="13" applyNumberFormat="1" applyFont="1" applyFill="1" applyBorder="1" applyAlignment="1" applyProtection="1">
      <alignment horizontal="center" vertical="center"/>
      <protection locked="0"/>
    </xf>
    <xf numFmtId="9" fontId="0" fillId="44" borderId="83" xfId="0" applyNumberFormat="1" applyFont="1" applyFill="1" applyBorder="1" applyAlignment="1" applyProtection="1">
      <alignment horizontal="center" vertical="center"/>
    </xf>
    <xf numFmtId="9" fontId="0" fillId="44" borderId="104" xfId="0" applyNumberFormat="1" applyFont="1" applyFill="1" applyBorder="1" applyAlignment="1" applyProtection="1">
      <alignment horizontal="center" vertical="center"/>
    </xf>
    <xf numFmtId="170" fontId="0" fillId="44" borderId="104" xfId="16" applyFont="1" applyFill="1" applyBorder="1" applyAlignment="1" applyProtection="1">
      <alignment horizontal="center" vertical="center"/>
    </xf>
    <xf numFmtId="0" fontId="14" fillId="16" borderId="127" xfId="0" applyFont="1" applyFill="1" applyBorder="1" applyAlignment="1" applyProtection="1">
      <alignment horizontal="center" vertical="center" wrapText="1"/>
    </xf>
    <xf numFmtId="0" fontId="0" fillId="12" borderId="109" xfId="0" applyFont="1" applyFill="1" applyBorder="1" applyAlignment="1" applyProtection="1">
      <alignment horizontal="left" vertical="center"/>
      <protection locked="0"/>
    </xf>
    <xf numFmtId="178" fontId="24" fillId="28" borderId="52" xfId="0" applyNumberFormat="1" applyFont="1" applyFill="1" applyBorder="1" applyAlignment="1" applyProtection="1">
      <alignment vertical="center"/>
    </xf>
    <xf numFmtId="0" fontId="0" fillId="12" borderId="111" xfId="0" applyFont="1" applyFill="1" applyBorder="1" applyAlignment="1" applyProtection="1">
      <alignment horizontal="left" vertical="center"/>
      <protection locked="0"/>
    </xf>
    <xf numFmtId="181" fontId="15" fillId="37" borderId="111" xfId="16" applyNumberFormat="1" applyFill="1" applyBorder="1" applyAlignment="1" applyProtection="1">
      <alignment horizontal="center" vertical="center"/>
    </xf>
    <xf numFmtId="181" fontId="15" fillId="37" borderId="109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2" fillId="0" borderId="0" xfId="20" applyFill="1" applyBorder="1" applyAlignment="1" applyProtection="1">
      <alignment vertical="center"/>
    </xf>
    <xf numFmtId="0" fontId="22" fillId="11" borderId="0" xfId="20" applyFill="1" applyBorder="1" applyAlignment="1" applyProtection="1">
      <alignment vertical="center"/>
    </xf>
    <xf numFmtId="0" fontId="22" fillId="0" borderId="0" xfId="20" applyProtection="1"/>
    <xf numFmtId="0" fontId="22" fillId="0" borderId="0" xfId="20" applyBorder="1" applyAlignment="1" applyProtection="1">
      <alignment vertical="center"/>
    </xf>
    <xf numFmtId="0" fontId="22" fillId="0" borderId="0" xfId="20" applyBorder="1" applyAlignment="1" applyProtection="1">
      <alignment horizontal="left" vertical="center"/>
    </xf>
    <xf numFmtId="0" fontId="26" fillId="0" borderId="0" xfId="0" applyFont="1" applyBorder="1" applyAlignment="1" applyProtection="1">
      <alignment horizontal="left" vertical="center"/>
    </xf>
    <xf numFmtId="0" fontId="22" fillId="0" borderId="0" xfId="20" quotePrefix="1" applyBorder="1" applyAlignment="1" applyProtection="1">
      <alignment horizontal="left" vertical="center"/>
    </xf>
    <xf numFmtId="0" fontId="22" fillId="0" borderId="0" xfId="20"/>
    <xf numFmtId="0" fontId="22" fillId="11" borderId="0" xfId="20" applyFill="1" applyBorder="1" applyAlignment="1" applyProtection="1">
      <alignment horizontal="left" vertical="center"/>
    </xf>
    <xf numFmtId="0" fontId="22" fillId="0" borderId="0" xfId="20" applyAlignment="1" applyProtection="1">
      <alignment horizontal="left"/>
    </xf>
    <xf numFmtId="0" fontId="14" fillId="0" borderId="0" xfId="0" applyFont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left" vertical="center" indent="2"/>
    </xf>
    <xf numFmtId="0" fontId="0" fillId="0" borderId="140" xfId="0" applyFont="1" applyFill="1" applyBorder="1" applyAlignment="1" applyProtection="1">
      <alignment horizontal="left" vertical="center"/>
    </xf>
    <xf numFmtId="176" fontId="31" fillId="0" borderId="140" xfId="0" applyNumberFormat="1" applyFont="1" applyFill="1" applyBorder="1" applyAlignment="1" applyProtection="1">
      <alignment horizontal="left"/>
    </xf>
    <xf numFmtId="176" fontId="20" fillId="0" borderId="140" xfId="0" applyNumberFormat="1" applyFont="1" applyFill="1" applyBorder="1" applyAlignment="1" applyProtection="1">
      <alignment horizontal="left"/>
    </xf>
    <xf numFmtId="169" fontId="0" fillId="12" borderId="106" xfId="13" applyNumberFormat="1" applyFont="1" applyFill="1" applyBorder="1" applyAlignment="1" applyProtection="1">
      <alignment vertical="center"/>
      <protection locked="0"/>
    </xf>
    <xf numFmtId="177" fontId="20" fillId="12" borderId="106" xfId="12" applyNumberFormat="1" applyFont="1" applyFill="1" applyBorder="1" applyAlignment="1" applyProtection="1">
      <alignment vertical="center"/>
      <protection locked="0"/>
    </xf>
    <xf numFmtId="169" fontId="20" fillId="12" borderId="106" xfId="13" applyNumberFormat="1" applyFont="1" applyFill="1" applyBorder="1" applyAlignment="1" applyProtection="1">
      <alignment vertical="center"/>
      <protection locked="0"/>
    </xf>
    <xf numFmtId="0" fontId="12" fillId="20" borderId="140" xfId="0" applyFont="1" applyFill="1" applyBorder="1" applyAlignment="1" applyProtection="1">
      <alignment horizontal="left" vertical="center"/>
    </xf>
    <xf numFmtId="176" fontId="20" fillId="0" borderId="103" xfId="0" applyNumberFormat="1" applyFont="1" applyFill="1" applyBorder="1" applyAlignment="1" applyProtection="1">
      <alignment horizontal="left"/>
    </xf>
    <xf numFmtId="169" fontId="12" fillId="20" borderId="106" xfId="13" applyNumberFormat="1" applyFont="1" applyFill="1" applyBorder="1" applyAlignment="1" applyProtection="1">
      <alignment horizontal="center" vertical="center"/>
    </xf>
    <xf numFmtId="169" fontId="12" fillId="22" borderId="106" xfId="13" applyNumberFormat="1" applyFont="1" applyFill="1" applyBorder="1" applyAlignment="1" applyProtection="1">
      <alignment vertical="center"/>
    </xf>
    <xf numFmtId="0" fontId="12" fillId="23" borderId="140" xfId="0" applyFont="1" applyFill="1" applyBorder="1" applyAlignment="1" applyProtection="1">
      <alignment horizontal="left" vertical="center"/>
    </xf>
    <xf numFmtId="0" fontId="14" fillId="32" borderId="33" xfId="0" applyFont="1" applyFill="1" applyBorder="1" applyAlignment="1" applyProtection="1">
      <alignment vertical="center"/>
    </xf>
    <xf numFmtId="169" fontId="12" fillId="28" borderId="143" xfId="13" applyNumberFormat="1" applyFont="1" applyFill="1" applyBorder="1" applyAlignment="1" applyProtection="1">
      <alignment vertical="center"/>
    </xf>
    <xf numFmtId="169" fontId="12" fillId="20" borderId="142" xfId="13" applyNumberFormat="1" applyFont="1" applyFill="1" applyBorder="1" applyAlignment="1" applyProtection="1">
      <alignment horizontal="center" vertical="center"/>
    </xf>
    <xf numFmtId="169" fontId="12" fillId="23" borderId="142" xfId="13" applyNumberFormat="1" applyFont="1" applyFill="1" applyBorder="1" applyAlignment="1" applyProtection="1">
      <alignment horizontal="center" vertical="center"/>
    </xf>
    <xf numFmtId="169" fontId="12" fillId="20" borderId="143" xfId="13" applyNumberFormat="1" applyFont="1" applyFill="1" applyBorder="1" applyAlignment="1" applyProtection="1">
      <alignment vertical="center"/>
    </xf>
    <xf numFmtId="169" fontId="12" fillId="28" borderId="138" xfId="13" applyNumberFormat="1" applyFont="1" applyFill="1" applyBorder="1" applyAlignment="1" applyProtection="1">
      <alignment vertical="center"/>
    </xf>
    <xf numFmtId="169" fontId="12" fillId="23" borderId="143" xfId="13" applyNumberFormat="1" applyFont="1" applyFill="1" applyBorder="1" applyAlignment="1" applyProtection="1">
      <alignment horizontal="center" vertical="center"/>
    </xf>
    <xf numFmtId="169" fontId="20" fillId="29" borderId="106" xfId="13" applyNumberFormat="1" applyFont="1" applyFill="1" applyBorder="1" applyAlignment="1" applyProtection="1">
      <alignment vertical="center"/>
    </xf>
    <xf numFmtId="169" fontId="12" fillId="23" borderId="106" xfId="13" applyNumberFormat="1" applyFont="1" applyFill="1" applyBorder="1" applyAlignment="1" applyProtection="1">
      <alignment horizontal="center" vertical="center"/>
    </xf>
    <xf numFmtId="169" fontId="12" fillId="24" borderId="106" xfId="13" applyNumberFormat="1" applyFont="1" applyFill="1" applyBorder="1" applyAlignment="1" applyProtection="1">
      <alignment vertical="center"/>
    </xf>
    <xf numFmtId="169" fontId="12" fillId="20" borderId="106" xfId="13" applyNumberFormat="1" applyFont="1" applyFill="1" applyBorder="1" applyAlignment="1" applyProtection="1">
      <alignment vertical="center"/>
    </xf>
    <xf numFmtId="168" fontId="14" fillId="32" borderId="106" xfId="13" applyNumberFormat="1" applyFont="1" applyFill="1" applyBorder="1" applyAlignment="1" applyProtection="1">
      <alignment vertical="center"/>
    </xf>
    <xf numFmtId="168" fontId="14" fillId="33" borderId="106" xfId="13" applyNumberFormat="1" applyFont="1" applyFill="1" applyBorder="1" applyAlignment="1" applyProtection="1">
      <alignment vertical="center"/>
    </xf>
    <xf numFmtId="0" fontId="14" fillId="17" borderId="106" xfId="0" applyFont="1" applyFill="1" applyBorder="1" applyAlignment="1" applyProtection="1">
      <alignment horizontal="center" vertical="center" wrapText="1"/>
    </xf>
    <xf numFmtId="175" fontId="14" fillId="17" borderId="106" xfId="12" applyNumberFormat="1" applyFont="1" applyFill="1" applyBorder="1" applyAlignment="1" applyProtection="1">
      <alignment horizontal="center" vertical="center" wrapText="1"/>
    </xf>
    <xf numFmtId="169" fontId="14" fillId="41" borderId="106" xfId="13" applyNumberFormat="1" applyFont="1" applyFill="1" applyBorder="1" applyAlignment="1" applyProtection="1">
      <alignment vertical="center"/>
    </xf>
    <xf numFmtId="169" fontId="14" fillId="42" borderId="106" xfId="13" applyNumberFormat="1" applyFont="1" applyFill="1" applyBorder="1" applyAlignment="1" applyProtection="1">
      <alignment vertical="center"/>
    </xf>
    <xf numFmtId="169" fontId="20" fillId="1" borderId="106" xfId="13" applyNumberFormat="1" applyFont="1" applyFill="1" applyBorder="1" applyAlignment="1" applyProtection="1">
      <alignment vertical="center"/>
    </xf>
    <xf numFmtId="177" fontId="20" fillId="1" borderId="106" xfId="12" applyNumberFormat="1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1" fontId="0" fillId="0" borderId="145" xfId="0" applyNumberFormat="1" applyBorder="1" applyAlignment="1" applyProtection="1"/>
    <xf numFmtId="169" fontId="0" fillId="46" borderId="106" xfId="13" applyNumberFormat="1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  <protection locked="0"/>
    </xf>
    <xf numFmtId="169" fontId="0" fillId="0" borderId="0" xfId="0" applyNumberFormat="1" applyFont="1" applyAlignment="1" applyProtection="1">
      <alignment vertical="center"/>
    </xf>
    <xf numFmtId="169" fontId="14" fillId="0" borderId="0" xfId="0" applyNumberFormat="1" applyFont="1" applyAlignment="1" applyProtection="1">
      <alignment vertical="center"/>
    </xf>
    <xf numFmtId="169" fontId="0" fillId="0" borderId="152" xfId="0" applyNumberFormat="1" applyFont="1" applyFill="1" applyBorder="1" applyAlignment="1" applyProtection="1">
      <alignment vertical="center"/>
    </xf>
    <xf numFmtId="169" fontId="14" fillId="35" borderId="153" xfId="0" applyNumberFormat="1" applyFont="1" applyFill="1" applyBorder="1" applyAlignment="1" applyProtection="1">
      <alignment horizontal="center" vertical="center" wrapText="1"/>
    </xf>
    <xf numFmtId="169" fontId="14" fillId="35" borderId="154" xfId="0" applyNumberFormat="1" applyFont="1" applyFill="1" applyBorder="1" applyAlignment="1" applyProtection="1">
      <alignment horizontal="center" vertical="center" wrapText="1"/>
    </xf>
    <xf numFmtId="169" fontId="14" fillId="35" borderId="155" xfId="0" applyNumberFormat="1" applyFont="1" applyFill="1" applyBorder="1" applyAlignment="1" applyProtection="1">
      <alignment horizontal="center" vertical="center" wrapText="1"/>
    </xf>
    <xf numFmtId="169" fontId="0" fillId="10" borderId="106" xfId="13" applyNumberFormat="1" applyFont="1" applyFill="1" applyBorder="1" applyAlignment="1" applyProtection="1">
      <alignment horizontal="right" vertical="center"/>
    </xf>
    <xf numFmtId="174" fontId="0" fillId="0" borderId="106" xfId="12" applyNumberFormat="1" applyFont="1" applyFill="1" applyBorder="1" applyAlignment="1" applyProtection="1">
      <alignment vertical="center"/>
    </xf>
    <xf numFmtId="169" fontId="15" fillId="0" borderId="104" xfId="13" applyNumberFormat="1" applyFont="1" applyFill="1" applyBorder="1" applyAlignment="1" applyProtection="1">
      <alignment vertical="center"/>
    </xf>
    <xf numFmtId="169" fontId="0" fillId="10" borderId="104" xfId="13" applyNumberFormat="1" applyFont="1" applyFill="1" applyBorder="1" applyAlignment="1" applyProtection="1">
      <alignment horizontal="right" vertical="center"/>
    </xf>
    <xf numFmtId="169" fontId="14" fillId="40" borderId="158" xfId="0" applyNumberFormat="1" applyFont="1" applyFill="1" applyBorder="1" applyAlignment="1" applyProtection="1">
      <alignment vertical="center"/>
    </xf>
    <xf numFmtId="169" fontId="14" fillId="40" borderId="109" xfId="13" applyNumberFormat="1" applyFont="1" applyFill="1" applyBorder="1" applyAlignment="1" applyProtection="1">
      <alignment vertical="center"/>
    </xf>
    <xf numFmtId="169" fontId="14" fillId="40" borderId="109" xfId="13" applyNumberFormat="1" applyFont="1" applyFill="1" applyBorder="1" applyAlignment="1" applyProtection="1">
      <alignment horizontal="right" vertical="center"/>
    </xf>
    <xf numFmtId="169" fontId="15" fillId="0" borderId="54" xfId="13" applyNumberFormat="1" applyFont="1" applyFill="1" applyBorder="1" applyAlignment="1" applyProtection="1">
      <alignment vertical="center"/>
    </xf>
    <xf numFmtId="169" fontId="15" fillId="0" borderId="105" xfId="13" applyNumberFormat="1" applyFont="1" applyFill="1" applyBorder="1" applyAlignment="1" applyProtection="1">
      <alignment vertical="center"/>
    </xf>
    <xf numFmtId="174" fontId="0" fillId="0" borderId="107" xfId="12" applyNumberFormat="1" applyFont="1" applyFill="1" applyBorder="1" applyAlignment="1" applyProtection="1">
      <alignment vertical="center"/>
    </xf>
    <xf numFmtId="174" fontId="0" fillId="0" borderId="108" xfId="12" applyNumberFormat="1" applyFont="1" applyFill="1" applyBorder="1" applyAlignment="1" applyProtection="1">
      <alignment vertical="center"/>
    </xf>
    <xf numFmtId="169" fontId="14" fillId="40" borderId="111" xfId="13" applyNumberFormat="1" applyFont="1" applyFill="1" applyBorder="1" applyAlignment="1" applyProtection="1">
      <alignment vertical="center"/>
    </xf>
    <xf numFmtId="169" fontId="14" fillId="40" borderId="110" xfId="13" applyNumberFormat="1" applyFont="1" applyFill="1" applyBorder="1" applyAlignment="1" applyProtection="1">
      <alignment vertical="center"/>
    </xf>
    <xf numFmtId="169" fontId="0" fillId="10" borderId="141" xfId="13" applyNumberFormat="1" applyFont="1" applyFill="1" applyBorder="1" applyAlignment="1" applyProtection="1">
      <alignment horizontal="right" vertical="center"/>
    </xf>
    <xf numFmtId="169" fontId="0" fillId="10" borderId="123" xfId="13" applyNumberFormat="1" applyFont="1" applyFill="1" applyBorder="1" applyAlignment="1" applyProtection="1">
      <alignment horizontal="right" vertical="center"/>
    </xf>
    <xf numFmtId="169" fontId="14" fillId="40" borderId="122" xfId="13" applyNumberFormat="1" applyFont="1" applyFill="1" applyBorder="1" applyAlignment="1" applyProtection="1">
      <alignment horizontal="right" vertical="center"/>
    </xf>
    <xf numFmtId="169" fontId="15" fillId="44" borderId="58" xfId="13" applyNumberFormat="1" applyFont="1" applyFill="1" applyBorder="1" applyAlignment="1" applyProtection="1">
      <alignment vertical="center"/>
    </xf>
    <xf numFmtId="174" fontId="0" fillId="12" borderId="116" xfId="12" applyNumberFormat="1" applyFont="1" applyFill="1" applyBorder="1" applyAlignment="1" applyProtection="1">
      <alignment vertical="center"/>
      <protection locked="0"/>
    </xf>
    <xf numFmtId="169" fontId="14" fillId="40" borderId="102" xfId="13" applyNumberFormat="1" applyFont="1" applyFill="1" applyBorder="1" applyAlignment="1" applyProtection="1">
      <alignment vertical="center"/>
    </xf>
    <xf numFmtId="169" fontId="14" fillId="40" borderId="135" xfId="13" applyNumberFormat="1" applyFont="1" applyFill="1" applyBorder="1" applyAlignment="1" applyProtection="1">
      <alignment horizontal="right" vertical="center"/>
    </xf>
    <xf numFmtId="0" fontId="14" fillId="15" borderId="139" xfId="0" applyFont="1" applyFill="1" applyBorder="1" applyAlignment="1" applyProtection="1">
      <alignment horizontal="center" vertical="center" wrapText="1"/>
    </xf>
    <xf numFmtId="169" fontId="19" fillId="36" borderId="94" xfId="0" applyNumberFormat="1" applyFont="1" applyFill="1" applyBorder="1" applyAlignment="1" applyProtection="1">
      <alignment horizontal="center" vertical="center" wrapText="1"/>
    </xf>
    <xf numFmtId="169" fontId="19" fillId="36" borderId="168" xfId="0" applyNumberFormat="1" applyFont="1" applyFill="1" applyBorder="1" applyAlignment="1" applyProtection="1">
      <alignment horizontal="center" vertical="center" wrapText="1"/>
    </xf>
    <xf numFmtId="0" fontId="19" fillId="36" borderId="93" xfId="0" applyFont="1" applyFill="1" applyBorder="1" applyAlignment="1" applyProtection="1">
      <alignment horizontal="center" vertical="center" wrapText="1"/>
    </xf>
    <xf numFmtId="0" fontId="19" fillId="25" borderId="169" xfId="0" applyFont="1" applyFill="1" applyBorder="1" applyAlignment="1" applyProtection="1">
      <alignment horizontal="center" vertical="center" wrapText="1"/>
    </xf>
    <xf numFmtId="0" fontId="19" fillId="25" borderId="166" xfId="0" applyFont="1" applyFill="1" applyBorder="1" applyAlignment="1" applyProtection="1">
      <alignment horizontal="center" vertical="center" wrapText="1"/>
    </xf>
    <xf numFmtId="0" fontId="19" fillId="25" borderId="94" xfId="0" applyFont="1" applyFill="1" applyBorder="1" applyAlignment="1" applyProtection="1">
      <alignment horizontal="center" vertical="center" wrapText="1"/>
    </xf>
    <xf numFmtId="0" fontId="14" fillId="15" borderId="97" xfId="0" applyFont="1" applyFill="1" applyBorder="1" applyAlignment="1" applyProtection="1">
      <alignment horizontal="center" vertical="center" wrapText="1"/>
    </xf>
    <xf numFmtId="0" fontId="14" fillId="0" borderId="170" xfId="0" applyFont="1" applyFill="1" applyBorder="1" applyAlignment="1" applyProtection="1">
      <alignment horizontal="left" vertical="center"/>
    </xf>
    <xf numFmtId="169" fontId="0" fillId="29" borderId="148" xfId="13" applyNumberFormat="1" applyFont="1" applyFill="1" applyBorder="1" applyAlignment="1" applyProtection="1">
      <alignment vertical="center"/>
    </xf>
    <xf numFmtId="169" fontId="0" fillId="29" borderId="152" xfId="13" applyNumberFormat="1" applyFont="1" applyFill="1" applyBorder="1" applyAlignment="1" applyProtection="1">
      <alignment vertical="center"/>
    </xf>
    <xf numFmtId="169" fontId="14" fillId="29" borderId="171" xfId="13" applyNumberFormat="1" applyFont="1" applyFill="1" applyBorder="1" applyAlignment="1" applyProtection="1">
      <alignment vertical="center"/>
    </xf>
    <xf numFmtId="169" fontId="0" fillId="19" borderId="172" xfId="13" applyNumberFormat="1" applyFont="1" applyFill="1" applyBorder="1" applyAlignment="1" applyProtection="1">
      <alignment vertical="center"/>
    </xf>
    <xf numFmtId="169" fontId="0" fillId="19" borderId="173" xfId="13" applyNumberFormat="1" applyFont="1" applyFill="1" applyBorder="1" applyAlignment="1" applyProtection="1">
      <alignment vertical="center"/>
    </xf>
    <xf numFmtId="169" fontId="14" fillId="19" borderId="148" xfId="13" applyNumberFormat="1" applyFont="1" applyFill="1" applyBorder="1" applyAlignment="1" applyProtection="1">
      <alignment vertical="center"/>
    </xf>
    <xf numFmtId="169" fontId="14" fillId="0" borderId="174" xfId="13" applyNumberFormat="1" applyFont="1" applyFill="1" applyBorder="1" applyAlignment="1" applyProtection="1">
      <alignment vertical="center"/>
    </xf>
    <xf numFmtId="0" fontId="14" fillId="15" borderId="175" xfId="0" applyFont="1" applyFill="1" applyBorder="1" applyAlignment="1" applyProtection="1">
      <alignment horizontal="center" vertical="center"/>
    </xf>
    <xf numFmtId="169" fontId="23" fillId="15" borderId="176" xfId="13" applyNumberFormat="1" applyFont="1" applyFill="1" applyBorder="1" applyAlignment="1" applyProtection="1">
      <alignment vertical="center"/>
    </xf>
    <xf numFmtId="169" fontId="23" fillId="15" borderId="177" xfId="13" applyNumberFormat="1" applyFont="1" applyFill="1" applyBorder="1" applyAlignment="1" applyProtection="1">
      <alignment vertical="center"/>
    </xf>
    <xf numFmtId="169" fontId="23" fillId="15" borderId="178" xfId="13" applyNumberFormat="1" applyFont="1" applyFill="1" applyBorder="1" applyAlignment="1" applyProtection="1">
      <alignment vertical="center"/>
    </xf>
    <xf numFmtId="168" fontId="0" fillId="0" borderId="113" xfId="13" applyNumberFormat="1" applyFont="1" applyFill="1" applyBorder="1" applyAlignment="1" applyProtection="1">
      <alignment vertical="center"/>
    </xf>
    <xf numFmtId="168" fontId="0" fillId="0" borderId="114" xfId="13" applyNumberFormat="1" applyFont="1" applyFill="1" applyBorder="1" applyAlignment="1" applyProtection="1">
      <alignment vertical="center"/>
    </xf>
    <xf numFmtId="169" fontId="0" fillId="29" borderId="106" xfId="13" applyNumberFormat="1" applyFont="1" applyFill="1" applyBorder="1" applyAlignment="1" applyProtection="1">
      <alignment vertical="center"/>
    </xf>
    <xf numFmtId="169" fontId="0" fillId="29" borderId="111" xfId="13" applyNumberFormat="1" applyFont="1" applyFill="1" applyBorder="1" applyAlignment="1" applyProtection="1">
      <alignment vertical="center"/>
    </xf>
    <xf numFmtId="169" fontId="0" fillId="29" borderId="109" xfId="13" applyNumberFormat="1" applyFont="1" applyFill="1" applyBorder="1" applyAlignment="1" applyProtection="1">
      <alignment vertical="center"/>
    </xf>
    <xf numFmtId="169" fontId="0" fillId="29" borderId="110" xfId="13" applyNumberFormat="1" applyFont="1" applyFill="1" applyBorder="1" applyAlignment="1" applyProtection="1">
      <alignment vertical="center"/>
    </xf>
    <xf numFmtId="171" fontId="0" fillId="0" borderId="105" xfId="0" applyNumberFormat="1" applyFont="1" applyFill="1" applyBorder="1" applyAlignment="1" applyProtection="1">
      <alignment horizontal="center" vertical="center"/>
    </xf>
    <xf numFmtId="169" fontId="14" fillId="35" borderId="185" xfId="0" applyNumberFormat="1" applyFont="1" applyFill="1" applyBorder="1" applyAlignment="1" applyProtection="1">
      <alignment horizontal="center" vertical="center" wrapText="1"/>
    </xf>
    <xf numFmtId="169" fontId="14" fillId="35" borderId="186" xfId="0" applyNumberFormat="1" applyFont="1" applyFill="1" applyBorder="1" applyAlignment="1" applyProtection="1">
      <alignment horizontal="center" vertical="center" wrapText="1"/>
    </xf>
    <xf numFmtId="169" fontId="14" fillId="35" borderId="187" xfId="0" applyNumberFormat="1" applyFont="1" applyFill="1" applyBorder="1" applyAlignment="1" applyProtection="1">
      <alignment horizontal="center" vertical="center" wrapText="1"/>
    </xf>
    <xf numFmtId="169" fontId="14" fillId="15" borderId="188" xfId="0" applyNumberFormat="1" applyFont="1" applyFill="1" applyBorder="1" applyAlignment="1" applyProtection="1">
      <alignment horizontal="center" vertical="center" wrapText="1"/>
    </xf>
    <xf numFmtId="169" fontId="14" fillId="15" borderId="186" xfId="0" applyNumberFormat="1" applyFont="1" applyFill="1" applyBorder="1" applyAlignment="1" applyProtection="1">
      <alignment horizontal="center" vertical="center" wrapText="1"/>
    </xf>
    <xf numFmtId="169" fontId="14" fillId="15" borderId="189" xfId="0" applyNumberFormat="1" applyFont="1" applyFill="1" applyBorder="1" applyAlignment="1" applyProtection="1">
      <alignment horizontal="center" vertical="center" wrapText="1"/>
    </xf>
    <xf numFmtId="0" fontId="14" fillId="15" borderId="185" xfId="0" applyFont="1" applyFill="1" applyBorder="1" applyAlignment="1" applyProtection="1">
      <alignment horizontal="center" vertical="center"/>
    </xf>
    <xf numFmtId="0" fontId="14" fillId="15" borderId="190" xfId="0" applyFont="1" applyFill="1" applyBorder="1" applyAlignment="1" applyProtection="1">
      <alignment horizontal="center" vertical="center"/>
    </xf>
    <xf numFmtId="169" fontId="15" fillId="0" borderId="58" xfId="13" applyNumberFormat="1" applyFont="1" applyFill="1" applyBorder="1" applyAlignment="1" applyProtection="1">
      <alignment vertical="center"/>
    </xf>
    <xf numFmtId="169" fontId="14" fillId="40" borderId="112" xfId="13" applyNumberFormat="1" applyFont="1" applyFill="1" applyBorder="1" applyAlignment="1" applyProtection="1">
      <alignment vertical="center"/>
    </xf>
    <xf numFmtId="169" fontId="14" fillId="40" borderId="179" xfId="13" applyNumberFormat="1" applyFont="1" applyFill="1" applyBorder="1" applyAlignment="1" applyProtection="1">
      <alignment vertical="center"/>
    </xf>
    <xf numFmtId="169" fontId="14" fillId="40" borderId="127" xfId="13" applyNumberFormat="1" applyFont="1" applyFill="1" applyBorder="1" applyAlignment="1" applyProtection="1">
      <alignment vertical="center"/>
    </xf>
    <xf numFmtId="174" fontId="0" fillId="0" borderId="116" xfId="12" applyNumberFormat="1" applyFont="1" applyFill="1" applyBorder="1" applyAlignment="1" applyProtection="1">
      <alignment vertical="center"/>
    </xf>
    <xf numFmtId="169" fontId="0" fillId="0" borderId="86" xfId="13" applyNumberFormat="1" applyFont="1" applyFill="1" applyBorder="1" applyAlignment="1" applyProtection="1">
      <alignment vertical="center"/>
    </xf>
    <xf numFmtId="169" fontId="0" fillId="0" borderId="157" xfId="13" applyNumberFormat="1" applyFont="1" applyFill="1" applyBorder="1" applyAlignment="1" applyProtection="1">
      <alignment vertical="center"/>
    </xf>
    <xf numFmtId="169" fontId="0" fillId="0" borderId="136" xfId="13" applyNumberFormat="1" applyFont="1" applyFill="1" applyBorder="1" applyAlignment="1" applyProtection="1">
      <alignment vertical="center"/>
    </xf>
    <xf numFmtId="169" fontId="23" fillId="32" borderId="181" xfId="13" applyNumberFormat="1" applyFont="1" applyFill="1" applyBorder="1" applyAlignment="1" applyProtection="1">
      <alignment vertical="center" wrapText="1"/>
    </xf>
    <xf numFmtId="169" fontId="23" fillId="32" borderId="146" xfId="13" applyNumberFormat="1" applyFont="1" applyFill="1" applyBorder="1" applyAlignment="1" applyProtection="1">
      <alignment vertical="center" wrapText="1"/>
    </xf>
    <xf numFmtId="169" fontId="23" fillId="32" borderId="147" xfId="13" applyNumberFormat="1" applyFont="1" applyFill="1" applyBorder="1" applyAlignment="1" applyProtection="1">
      <alignment vertical="center" wrapText="1"/>
    </xf>
    <xf numFmtId="169" fontId="23" fillId="32" borderId="149" xfId="13" applyNumberFormat="1" applyFont="1" applyFill="1" applyBorder="1" applyAlignment="1" applyProtection="1">
      <alignment vertical="center" wrapText="1"/>
    </xf>
    <xf numFmtId="169" fontId="23" fillId="32" borderId="192" xfId="13" applyNumberFormat="1" applyFont="1" applyFill="1" applyBorder="1" applyAlignment="1" applyProtection="1">
      <alignment vertical="center" wrapText="1"/>
    </xf>
    <xf numFmtId="169" fontId="23" fillId="32" borderId="193" xfId="13" applyNumberFormat="1" applyFont="1" applyFill="1" applyBorder="1" applyAlignment="1" applyProtection="1">
      <alignment vertical="center" wrapText="1"/>
    </xf>
    <xf numFmtId="169" fontId="23" fillId="32" borderId="194" xfId="13" applyNumberFormat="1" applyFont="1" applyFill="1" applyBorder="1" applyAlignment="1" applyProtection="1">
      <alignment vertical="center" wrapText="1"/>
    </xf>
    <xf numFmtId="169" fontId="23" fillId="32" borderId="182" xfId="13" applyNumberFormat="1" applyFont="1" applyFill="1" applyBorder="1" applyAlignment="1" applyProtection="1">
      <alignment vertical="center" wrapText="1"/>
    </xf>
    <xf numFmtId="169" fontId="23" fillId="32" borderId="55" xfId="13" applyNumberFormat="1" applyFont="1" applyFill="1" applyBorder="1" applyAlignment="1" applyProtection="1">
      <alignment vertical="center" wrapText="1"/>
    </xf>
    <xf numFmtId="169" fontId="23" fillId="32" borderId="56" xfId="13" applyNumberFormat="1" applyFont="1" applyFill="1" applyBorder="1" applyAlignment="1" applyProtection="1">
      <alignment vertical="center" wrapText="1"/>
    </xf>
    <xf numFmtId="169" fontId="23" fillId="32" borderId="59" xfId="13" applyNumberFormat="1" applyFont="1" applyFill="1" applyBorder="1" applyAlignment="1" applyProtection="1">
      <alignment vertical="center" wrapText="1"/>
    </xf>
    <xf numFmtId="169" fontId="23" fillId="32" borderId="67" xfId="13" applyNumberFormat="1" applyFont="1" applyFill="1" applyBorder="1" applyAlignment="1" applyProtection="1">
      <alignment vertical="center" wrapText="1"/>
    </xf>
    <xf numFmtId="178" fontId="24" fillId="26" borderId="67" xfId="0" applyNumberFormat="1" applyFont="1" applyFill="1" applyBorder="1" applyAlignment="1" applyProtection="1">
      <alignment horizontal="right" vertical="center"/>
    </xf>
    <xf numFmtId="9" fontId="0" fillId="12" borderId="112" xfId="0" applyNumberFormat="1" applyFont="1" applyFill="1" applyBorder="1" applyAlignment="1" applyProtection="1">
      <alignment horizontal="center" vertical="center"/>
      <protection locked="0"/>
    </xf>
    <xf numFmtId="178" fontId="0" fillId="0" borderId="180" xfId="0" applyNumberFormat="1" applyFont="1" applyFill="1" applyBorder="1" applyAlignment="1" applyProtection="1">
      <alignment horizontal="right" vertical="center"/>
    </xf>
    <xf numFmtId="178" fontId="0" fillId="0" borderId="127" xfId="0" applyNumberFormat="1" applyFont="1" applyFill="1" applyBorder="1" applyAlignment="1" applyProtection="1">
      <alignment horizontal="right" vertical="center"/>
    </xf>
    <xf numFmtId="170" fontId="0" fillId="12" borderId="195" xfId="16" applyFont="1" applyFill="1" applyBorder="1" applyAlignment="1" applyProtection="1">
      <alignment horizontal="center" vertical="center"/>
      <protection locked="0"/>
    </xf>
    <xf numFmtId="170" fontId="16" fillId="19" borderId="55" xfId="16" applyFont="1" applyFill="1" applyBorder="1" applyAlignment="1" applyProtection="1">
      <alignment horizontal="center" vertical="center"/>
    </xf>
    <xf numFmtId="178" fontId="24" fillId="26" borderId="57" xfId="0" applyNumberFormat="1" applyFont="1" applyFill="1" applyBorder="1" applyAlignment="1" applyProtection="1">
      <alignment horizontal="right" vertical="center"/>
    </xf>
    <xf numFmtId="179" fontId="0" fillId="46" borderId="200" xfId="13" applyNumberFormat="1" applyFont="1" applyFill="1" applyBorder="1" applyAlignment="1" applyProtection="1">
      <alignment vertical="center"/>
    </xf>
    <xf numFmtId="171" fontId="0" fillId="46" borderId="200" xfId="13" applyNumberFormat="1" applyFont="1" applyFill="1" applyBorder="1" applyAlignment="1" applyProtection="1">
      <alignment horizontal="center" vertical="center"/>
    </xf>
    <xf numFmtId="171" fontId="0" fillId="46" borderId="109" xfId="13" applyNumberFormat="1" applyFont="1" applyFill="1" applyBorder="1" applyAlignment="1" applyProtection="1">
      <alignment horizontal="center" vertical="center"/>
    </xf>
    <xf numFmtId="169" fontId="14" fillId="15" borderId="161" xfId="0" applyNumberFormat="1" applyFont="1" applyFill="1" applyBorder="1" applyAlignment="1" applyProtection="1">
      <alignment horizontal="center" vertical="center" wrapText="1"/>
    </xf>
    <xf numFmtId="169" fontId="14" fillId="15" borderId="199" xfId="0" applyNumberFormat="1" applyFont="1" applyFill="1" applyBorder="1" applyAlignment="1" applyProtection="1">
      <alignment horizontal="center" vertical="center" wrapText="1"/>
    </xf>
    <xf numFmtId="179" fontId="0" fillId="29" borderId="200" xfId="13" applyNumberFormat="1" applyFont="1" applyFill="1" applyBorder="1" applyAlignment="1" applyProtection="1">
      <alignment vertical="center"/>
    </xf>
    <xf numFmtId="179" fontId="0" fillId="29" borderId="202" xfId="13" applyNumberFormat="1" applyFont="1" applyFill="1" applyBorder="1" applyAlignment="1" applyProtection="1">
      <alignment vertical="center"/>
    </xf>
    <xf numFmtId="179" fontId="0" fillId="29" borderId="109" xfId="13" applyNumberFormat="1" applyFont="1" applyFill="1" applyBorder="1" applyAlignment="1" applyProtection="1">
      <alignment vertical="center"/>
    </xf>
    <xf numFmtId="179" fontId="0" fillId="29" borderId="110" xfId="13" applyNumberFormat="1" applyFont="1" applyFill="1" applyBorder="1" applyAlignment="1" applyProtection="1">
      <alignment vertical="center"/>
    </xf>
    <xf numFmtId="178" fontId="23" fillId="28" borderId="184" xfId="0" applyNumberFormat="1" applyFont="1" applyFill="1" applyBorder="1" applyAlignment="1" applyProtection="1">
      <alignment horizontal="center" vertical="center"/>
    </xf>
    <xf numFmtId="169" fontId="14" fillId="15" borderId="198" xfId="0" applyNumberFormat="1" applyFont="1" applyFill="1" applyBorder="1" applyAlignment="1" applyProtection="1">
      <alignment horizontal="center" vertical="center" wrapText="1"/>
    </xf>
    <xf numFmtId="169" fontId="14" fillId="15" borderId="168" xfId="0" applyNumberFormat="1" applyFont="1" applyFill="1" applyBorder="1" applyAlignment="1" applyProtection="1">
      <alignment horizontal="center" vertical="center" wrapText="1"/>
    </xf>
    <xf numFmtId="169" fontId="14" fillId="15" borderId="213" xfId="0" applyNumberFormat="1" applyFont="1" applyFill="1" applyBorder="1" applyAlignment="1" applyProtection="1">
      <alignment horizontal="center" vertical="center" wrapText="1"/>
    </xf>
    <xf numFmtId="169" fontId="14" fillId="15" borderId="214" xfId="0" applyNumberFormat="1" applyFont="1" applyFill="1" applyBorder="1" applyAlignment="1" applyProtection="1">
      <alignment horizontal="center" vertical="center" wrapText="1"/>
    </xf>
    <xf numFmtId="169" fontId="0" fillId="37" borderId="200" xfId="13" applyNumberFormat="1" applyFont="1" applyFill="1" applyBorder="1" applyAlignment="1" applyProtection="1">
      <alignment vertical="center"/>
    </xf>
    <xf numFmtId="169" fontId="0" fillId="0" borderId="200" xfId="13" applyNumberFormat="1" applyFont="1" applyFill="1" applyBorder="1" applyAlignment="1" applyProtection="1">
      <alignment vertical="center"/>
    </xf>
    <xf numFmtId="171" fontId="0" fillId="0" borderId="201" xfId="0" applyNumberFormat="1" applyFont="1" applyFill="1" applyBorder="1" applyAlignment="1" applyProtection="1">
      <alignment horizontal="center" vertical="center"/>
    </xf>
    <xf numFmtId="171" fontId="0" fillId="0" borderId="200" xfId="0" applyNumberFormat="1" applyFont="1" applyFill="1" applyBorder="1" applyAlignment="1" applyProtection="1">
      <alignment horizontal="center" vertical="center"/>
    </xf>
    <xf numFmtId="171" fontId="0" fillId="0" borderId="202" xfId="0" applyNumberFormat="1" applyFont="1" applyFill="1" applyBorder="1" applyAlignment="1" applyProtection="1">
      <alignment horizontal="center" vertical="center"/>
    </xf>
    <xf numFmtId="169" fontId="0" fillId="37" borderId="109" xfId="13" applyNumberFormat="1" applyFont="1" applyFill="1" applyBorder="1" applyAlignment="1" applyProtection="1">
      <alignment vertical="center"/>
    </xf>
    <xf numFmtId="169" fontId="0" fillId="37" borderId="102" xfId="13" applyNumberFormat="1" applyFont="1" applyFill="1" applyBorder="1" applyAlignment="1" applyProtection="1">
      <alignment vertical="center"/>
    </xf>
    <xf numFmtId="169" fontId="0" fillId="0" borderId="111" xfId="13" applyNumberFormat="1" applyFont="1" applyFill="1" applyBorder="1" applyAlignment="1" applyProtection="1">
      <alignment vertical="center"/>
    </xf>
    <xf numFmtId="169" fontId="0" fillId="0" borderId="109" xfId="13" applyNumberFormat="1" applyFont="1" applyFill="1" applyBorder="1" applyAlignment="1" applyProtection="1">
      <alignment vertical="center"/>
    </xf>
    <xf numFmtId="169" fontId="0" fillId="0" borderId="102" xfId="13" applyNumberFormat="1" applyFont="1" applyFill="1" applyBorder="1" applyAlignment="1" applyProtection="1">
      <alignment vertical="center"/>
    </xf>
    <xf numFmtId="171" fontId="0" fillId="0" borderId="111" xfId="0" applyNumberFormat="1" applyFont="1" applyFill="1" applyBorder="1" applyAlignment="1" applyProtection="1">
      <alignment horizontal="center" vertical="center"/>
    </xf>
    <xf numFmtId="171" fontId="0" fillId="0" borderId="109" xfId="0" applyNumberFormat="1" applyFont="1" applyFill="1" applyBorder="1" applyAlignment="1" applyProtection="1">
      <alignment horizontal="center" vertical="center"/>
    </xf>
    <xf numFmtId="171" fontId="0" fillId="0" borderId="110" xfId="0" applyNumberFormat="1" applyFont="1" applyFill="1" applyBorder="1" applyAlignment="1" applyProtection="1">
      <alignment horizontal="center" vertical="center"/>
    </xf>
    <xf numFmtId="169" fontId="0" fillId="28" borderId="106" xfId="13" applyNumberFormat="1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35" fillId="0" borderId="0" xfId="0" applyFont="1" applyAlignment="1" applyProtection="1">
      <alignment horizontal="center"/>
      <protection locked="0"/>
    </xf>
    <xf numFmtId="0" fontId="37" fillId="0" borderId="0" xfId="0" applyFont="1" applyProtection="1">
      <protection locked="0"/>
    </xf>
    <xf numFmtId="0" fontId="35" fillId="0" borderId="0" xfId="0" applyFont="1" applyFill="1" applyBorder="1" applyAlignment="1" applyProtection="1">
      <alignment horizontal="center"/>
      <protection locked="0"/>
    </xf>
    <xf numFmtId="0" fontId="37" fillId="0" borderId="0" xfId="0" applyFont="1" applyFill="1" applyBorder="1" applyProtection="1">
      <protection locked="0"/>
    </xf>
    <xf numFmtId="0" fontId="37" fillId="0" borderId="0" xfId="0" applyFont="1" applyFill="1" applyProtection="1"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Fill="1" applyBorder="1" applyProtection="1">
      <protection locked="0"/>
    </xf>
    <xf numFmtId="0" fontId="40" fillId="0" borderId="0" xfId="0" applyFont="1" applyAlignment="1" applyProtection="1">
      <alignment vertical="center" wrapText="1"/>
      <protection locked="0"/>
    </xf>
    <xf numFmtId="0" fontId="37" fillId="0" borderId="0" xfId="0" applyFont="1" applyAlignment="1" applyProtection="1">
      <alignment horizontal="left" vertical="center" wrapText="1"/>
      <protection locked="0"/>
    </xf>
    <xf numFmtId="0" fontId="38" fillId="0" borderId="0" xfId="0" applyFont="1" applyAlignment="1" applyProtection="1">
      <alignment horizontal="left"/>
      <protection locked="0"/>
    </xf>
    <xf numFmtId="0" fontId="0" fillId="12" borderId="216" xfId="0" applyFont="1" applyFill="1" applyBorder="1" applyAlignment="1" applyProtection="1">
      <alignment horizontal="left" vertical="center"/>
      <protection locked="0"/>
    </xf>
    <xf numFmtId="0" fontId="0" fillId="12" borderId="217" xfId="0" applyFont="1" applyFill="1" applyBorder="1" applyAlignment="1" applyProtection="1">
      <alignment horizontal="left" vertical="center"/>
      <protection locked="0"/>
    </xf>
    <xf numFmtId="0" fontId="0" fillId="12" borderId="217" xfId="0" applyFont="1" applyFill="1" applyBorder="1" applyProtection="1">
      <protection locked="0"/>
    </xf>
    <xf numFmtId="0" fontId="0" fillId="12" borderId="218" xfId="0" applyFont="1" applyFill="1" applyBorder="1" applyProtection="1">
      <protection locked="0"/>
    </xf>
    <xf numFmtId="0" fontId="0" fillId="12" borderId="123" xfId="0" applyFont="1" applyFill="1" applyBorder="1" applyAlignment="1" applyProtection="1">
      <alignment horizontal="left" vertical="center"/>
      <protection locked="0"/>
    </xf>
    <xf numFmtId="0" fontId="0" fillId="12" borderId="200" xfId="0" applyFont="1" applyFill="1" applyBorder="1" applyAlignment="1" applyProtection="1">
      <alignment horizontal="left" vertical="center"/>
      <protection locked="0"/>
    </xf>
    <xf numFmtId="0" fontId="0" fillId="12" borderId="200" xfId="0" applyFont="1" applyFill="1" applyBorder="1" applyProtection="1">
      <protection locked="0"/>
    </xf>
    <xf numFmtId="0" fontId="0" fillId="12" borderId="207" xfId="0" applyFont="1" applyFill="1" applyBorder="1" applyProtection="1">
      <protection locked="0"/>
    </xf>
    <xf numFmtId="0" fontId="0" fillId="12" borderId="122" xfId="0" applyFont="1" applyFill="1" applyBorder="1" applyAlignment="1" applyProtection="1">
      <alignment horizontal="left" vertical="center"/>
      <protection locked="0"/>
    </xf>
    <xf numFmtId="0" fontId="0" fillId="12" borderId="109" xfId="0" applyFont="1" applyFill="1" applyBorder="1" applyProtection="1">
      <protection locked="0"/>
    </xf>
    <xf numFmtId="0" fontId="0" fillId="12" borderId="102" xfId="0" applyFont="1" applyFill="1" applyBorder="1" applyProtection="1">
      <protection locked="0"/>
    </xf>
    <xf numFmtId="0" fontId="0" fillId="12" borderId="195" xfId="0" applyFont="1" applyFill="1" applyBorder="1" applyAlignment="1" applyProtection="1">
      <alignment horizontal="left" vertical="center"/>
      <protection locked="0"/>
    </xf>
    <xf numFmtId="0" fontId="0" fillId="12" borderId="179" xfId="0" applyFont="1" applyFill="1" applyBorder="1" applyAlignment="1" applyProtection="1">
      <alignment horizontal="left" vertical="center"/>
      <protection locked="0"/>
    </xf>
    <xf numFmtId="0" fontId="0" fillId="12" borderId="179" xfId="0" applyFont="1" applyFill="1" applyBorder="1" applyProtection="1">
      <protection locked="0"/>
    </xf>
    <xf numFmtId="0" fontId="0" fillId="12" borderId="206" xfId="0" applyFont="1" applyFill="1" applyBorder="1" applyProtection="1">
      <protection locked="0"/>
    </xf>
    <xf numFmtId="0" fontId="37" fillId="0" borderId="0" xfId="0" applyFont="1" applyAlignment="1" applyProtection="1">
      <alignment horizontal="left"/>
      <protection locked="0"/>
    </xf>
    <xf numFmtId="0" fontId="37" fillId="0" borderId="0" xfId="0" applyFont="1" applyFill="1" applyAlignment="1" applyProtection="1">
      <alignment horizontal="left"/>
      <protection locked="0"/>
    </xf>
    <xf numFmtId="0" fontId="35" fillId="0" borderId="0" xfId="0" applyFont="1" applyAlignment="1" applyProtection="1">
      <alignment horizontal="left"/>
      <protection locked="0"/>
    </xf>
    <xf numFmtId="0" fontId="35" fillId="0" borderId="0" xfId="0" applyFont="1" applyFill="1" applyProtection="1">
      <protection locked="0"/>
    </xf>
    <xf numFmtId="0" fontId="42" fillId="0" borderId="0" xfId="0" applyFont="1" applyProtection="1">
      <protection locked="0"/>
    </xf>
    <xf numFmtId="179" fontId="0" fillId="12" borderId="218" xfId="13" applyNumberFormat="1" applyFont="1" applyFill="1" applyBorder="1" applyAlignment="1" applyProtection="1">
      <alignment vertical="center"/>
      <protection locked="0"/>
    </xf>
    <xf numFmtId="179" fontId="0" fillId="12" borderId="200" xfId="13" applyNumberFormat="1" applyFont="1" applyFill="1" applyBorder="1" applyAlignment="1" applyProtection="1">
      <alignment vertical="center"/>
      <protection locked="0"/>
    </xf>
    <xf numFmtId="0" fontId="3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/>
      <protection locked="0"/>
    </xf>
    <xf numFmtId="169" fontId="15" fillId="1" borderId="219" xfId="13" applyNumberFormat="1" applyFill="1" applyBorder="1" applyAlignment="1">
      <alignment vertical="center"/>
    </xf>
    <xf numFmtId="169" fontId="15" fillId="1" borderId="200" xfId="13" applyNumberFormat="1" applyFill="1" applyBorder="1" applyAlignment="1">
      <alignment vertical="center"/>
    </xf>
    <xf numFmtId="169" fontId="15" fillId="1" borderId="207" xfId="13" applyNumberFormat="1" applyFill="1" applyBorder="1" applyAlignment="1">
      <alignment vertical="center"/>
    </xf>
    <xf numFmtId="169" fontId="15" fillId="1" borderId="201" xfId="13" applyNumberFormat="1" applyFill="1" applyBorder="1" applyAlignment="1">
      <alignment vertical="center"/>
    </xf>
    <xf numFmtId="180" fontId="0" fillId="12" borderId="217" xfId="13" applyNumberFormat="1" applyFont="1" applyFill="1" applyBorder="1" applyAlignment="1" applyProtection="1">
      <alignment horizontal="center" vertical="center"/>
      <protection locked="0"/>
    </xf>
    <xf numFmtId="169" fontId="15" fillId="0" borderId="217" xfId="13" applyNumberFormat="1" applyBorder="1" applyAlignment="1">
      <alignment vertical="center"/>
    </xf>
    <xf numFmtId="169" fontId="15" fillId="0" borderId="218" xfId="13" applyNumberFormat="1" applyBorder="1" applyAlignment="1">
      <alignment vertical="center"/>
    </xf>
    <xf numFmtId="169" fontId="15" fillId="0" borderId="219" xfId="13" applyNumberFormat="1" applyBorder="1" applyAlignment="1">
      <alignment vertical="center"/>
    </xf>
    <xf numFmtId="169" fontId="15" fillId="0" borderId="105" xfId="13" applyNumberFormat="1" applyBorder="1" applyAlignment="1">
      <alignment vertical="center"/>
    </xf>
    <xf numFmtId="169" fontId="0" fillId="10" borderId="216" xfId="13" applyNumberFormat="1" applyFont="1" applyFill="1" applyBorder="1" applyAlignment="1">
      <alignment horizontal="right" vertical="center"/>
    </xf>
    <xf numFmtId="169" fontId="0" fillId="10" borderId="217" xfId="13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9" fontId="0" fillId="0" borderId="152" xfId="0" applyNumberFormat="1" applyBorder="1" applyAlignment="1">
      <alignment vertical="center"/>
    </xf>
    <xf numFmtId="174" fontId="0" fillId="0" borderId="200" xfId="12" applyNumberFormat="1" applyFont="1" applyBorder="1" applyAlignment="1">
      <alignment vertical="center"/>
    </xf>
    <xf numFmtId="174" fontId="0" fillId="0" borderId="207" xfId="12" applyNumberFormat="1" applyFont="1" applyBorder="1" applyAlignment="1">
      <alignment vertical="center"/>
    </xf>
    <xf numFmtId="174" fontId="0" fillId="0" borderId="201" xfId="12" applyNumberFormat="1" applyFont="1" applyBorder="1" applyAlignment="1">
      <alignment vertical="center"/>
    </xf>
    <xf numFmtId="174" fontId="0" fillId="0" borderId="202" xfId="12" applyNumberFormat="1" applyFont="1" applyBorder="1" applyAlignment="1">
      <alignment vertical="center"/>
    </xf>
    <xf numFmtId="169" fontId="0" fillId="10" borderId="123" xfId="13" applyNumberFormat="1" applyFont="1" applyFill="1" applyBorder="1" applyAlignment="1">
      <alignment horizontal="right" vertical="center"/>
    </xf>
    <xf numFmtId="169" fontId="0" fillId="10" borderId="200" xfId="13" applyNumberFormat="1" applyFont="1" applyFill="1" applyBorder="1" applyAlignment="1">
      <alignment horizontal="right" vertical="center"/>
    </xf>
    <xf numFmtId="169" fontId="14" fillId="40" borderId="158" xfId="0" applyNumberFormat="1" applyFont="1" applyFill="1" applyBorder="1" applyAlignment="1">
      <alignment vertical="center"/>
    </xf>
    <xf numFmtId="169" fontId="14" fillId="40" borderId="111" xfId="13" applyNumberFormat="1" applyFont="1" applyFill="1" applyBorder="1" applyAlignment="1">
      <alignment vertical="center"/>
    </xf>
    <xf numFmtId="169" fontId="14" fillId="40" borderId="109" xfId="13" applyNumberFormat="1" applyFont="1" applyFill="1" applyBorder="1" applyAlignment="1">
      <alignment vertical="center"/>
    </xf>
    <xf numFmtId="169" fontId="14" fillId="40" borderId="102" xfId="13" applyNumberFormat="1" applyFont="1" applyFill="1" applyBorder="1" applyAlignment="1">
      <alignment vertical="center"/>
    </xf>
    <xf numFmtId="169" fontId="14" fillId="40" borderId="110" xfId="13" applyNumberFormat="1" applyFont="1" applyFill="1" applyBorder="1" applyAlignment="1">
      <alignment vertical="center"/>
    </xf>
    <xf numFmtId="169" fontId="14" fillId="40" borderId="122" xfId="13" applyNumberFormat="1" applyFont="1" applyFill="1" applyBorder="1" applyAlignment="1">
      <alignment horizontal="right" vertical="center"/>
    </xf>
    <xf numFmtId="169" fontId="14" fillId="40" borderId="109" xfId="13" applyNumberFormat="1" applyFont="1" applyFill="1" applyBorder="1" applyAlignment="1">
      <alignment horizontal="right" vertical="center"/>
    </xf>
    <xf numFmtId="169" fontId="14" fillId="40" borderId="135" xfId="13" applyNumberFormat="1" applyFont="1" applyFill="1" applyBorder="1" applyAlignment="1">
      <alignment horizontal="right" vertical="center"/>
    </xf>
    <xf numFmtId="169" fontId="15" fillId="1" borderId="86" xfId="13" applyNumberFormat="1" applyFill="1" applyBorder="1" applyAlignment="1">
      <alignment vertical="center"/>
    </xf>
    <xf numFmtId="169" fontId="15" fillId="1" borderId="157" xfId="13" applyNumberFormat="1" applyFill="1" applyBorder="1" applyAlignment="1">
      <alignment vertical="center"/>
    </xf>
    <xf numFmtId="169" fontId="15" fillId="1" borderId="136" xfId="13" applyNumberFormat="1" applyFill="1" applyBorder="1" applyAlignment="1">
      <alignment vertical="center"/>
    </xf>
    <xf numFmtId="174" fontId="0" fillId="1" borderId="200" xfId="12" applyNumberFormat="1" applyFont="1" applyFill="1" applyBorder="1" applyAlignment="1">
      <alignment vertical="center"/>
    </xf>
    <xf numFmtId="174" fontId="0" fillId="1" borderId="207" xfId="12" applyNumberFormat="1" applyFont="1" applyFill="1" applyBorder="1" applyAlignment="1">
      <alignment vertical="center"/>
    </xf>
    <xf numFmtId="174" fontId="0" fillId="1" borderId="201" xfId="12" applyNumberFormat="1" applyFont="1" applyFill="1" applyBorder="1" applyAlignment="1">
      <alignment vertical="center"/>
    </xf>
    <xf numFmtId="174" fontId="0" fillId="1" borderId="202" xfId="12" applyNumberFormat="1" applyFont="1" applyFill="1" applyBorder="1" applyAlignment="1">
      <alignment vertical="center"/>
    </xf>
    <xf numFmtId="169" fontId="14" fillId="40" borderId="112" xfId="13" applyNumberFormat="1" applyFont="1" applyFill="1" applyBorder="1" applyAlignment="1">
      <alignment vertical="center"/>
    </xf>
    <xf numFmtId="169" fontId="14" fillId="40" borderId="179" xfId="13" applyNumberFormat="1" applyFont="1" applyFill="1" applyBorder="1" applyAlignment="1">
      <alignment vertical="center"/>
    </xf>
    <xf numFmtId="169" fontId="14" fillId="40" borderId="127" xfId="13" applyNumberFormat="1" applyFont="1" applyFill="1" applyBorder="1" applyAlignment="1">
      <alignment vertical="center"/>
    </xf>
    <xf numFmtId="168" fontId="0" fillId="0" borderId="208" xfId="13" applyNumberFormat="1" applyFont="1" applyBorder="1" applyAlignment="1">
      <alignment vertical="center"/>
    </xf>
    <xf numFmtId="169" fontId="0" fillId="52" borderId="201" xfId="13" applyNumberFormat="1" applyFont="1" applyFill="1" applyBorder="1" applyAlignment="1">
      <alignment vertical="center"/>
    </xf>
    <xf numFmtId="169" fontId="0" fillId="52" borderId="200" xfId="13" applyNumberFormat="1" applyFont="1" applyFill="1" applyBorder="1" applyAlignment="1">
      <alignment vertical="center"/>
    </xf>
    <xf numFmtId="169" fontId="0" fillId="51" borderId="200" xfId="13" applyNumberFormat="1" applyFont="1" applyFill="1" applyBorder="1" applyAlignment="1">
      <alignment vertical="center"/>
    </xf>
    <xf numFmtId="169" fontId="0" fillId="1" borderId="201" xfId="13" applyNumberFormat="1" applyFont="1" applyFill="1" applyBorder="1" applyAlignment="1">
      <alignment vertical="center"/>
    </xf>
    <xf numFmtId="169" fontId="0" fillId="1" borderId="200" xfId="13" applyNumberFormat="1" applyFont="1" applyFill="1" applyBorder="1" applyAlignment="1">
      <alignment vertical="center"/>
    </xf>
    <xf numFmtId="168" fontId="0" fillId="0" borderId="114" xfId="13" applyNumberFormat="1" applyFont="1" applyBorder="1" applyAlignment="1">
      <alignment vertical="center"/>
    </xf>
    <xf numFmtId="179" fontId="0" fillId="12" borderId="216" xfId="13" applyNumberFormat="1" applyFont="1" applyFill="1" applyBorder="1" applyAlignment="1" applyProtection="1">
      <alignment vertical="center"/>
      <protection locked="0"/>
    </xf>
    <xf numFmtId="179" fontId="0" fillId="12" borderId="122" xfId="13" applyNumberFormat="1" applyFont="1" applyFill="1" applyBorder="1" applyAlignment="1" applyProtection="1">
      <alignment vertical="center"/>
      <protection locked="0"/>
    </xf>
    <xf numFmtId="0" fontId="0" fillId="12" borderId="200" xfId="0" applyFill="1" applyBorder="1" applyAlignment="1" applyProtection="1">
      <alignment horizontal="left" vertical="center"/>
      <protection locked="0"/>
    </xf>
    <xf numFmtId="0" fontId="0" fillId="12" borderId="201" xfId="0" applyFont="1" applyFill="1" applyBorder="1" applyAlignment="1" applyProtection="1">
      <alignment horizontal="left" vertical="center"/>
      <protection locked="0"/>
    </xf>
    <xf numFmtId="169" fontId="0" fillId="12" borderId="200" xfId="13" applyNumberFormat="1" applyFont="1" applyFill="1" applyBorder="1" applyAlignment="1" applyProtection="1">
      <alignment vertical="center"/>
      <protection locked="0"/>
    </xf>
    <xf numFmtId="169" fontId="20" fillId="12" borderId="200" xfId="13" applyNumberFormat="1" applyFont="1" applyFill="1" applyBorder="1" applyAlignment="1" applyProtection="1">
      <alignment vertical="center"/>
      <protection locked="0"/>
    </xf>
    <xf numFmtId="177" fontId="20" fillId="12" borderId="200" xfId="12" applyNumberFormat="1" applyFont="1" applyFill="1" applyBorder="1" applyAlignment="1" applyProtection="1">
      <alignment vertical="center"/>
      <protection locked="0"/>
    </xf>
    <xf numFmtId="169" fontId="23" fillId="32" borderId="57" xfId="13" applyNumberFormat="1" applyFont="1" applyFill="1" applyBorder="1" applyAlignment="1" applyProtection="1">
      <alignment vertical="center" wrapText="1"/>
    </xf>
    <xf numFmtId="164" fontId="0" fillId="12" borderId="200" xfId="31" applyFont="1" applyFill="1" applyBorder="1" applyAlignment="1" applyProtection="1">
      <alignment horizontal="center" vertical="center"/>
      <protection locked="0"/>
    </xf>
    <xf numFmtId="164" fontId="0" fillId="46" borderId="200" xfId="31" applyFont="1" applyFill="1" applyBorder="1" applyAlignment="1" applyProtection="1">
      <alignment horizontal="center" vertical="center"/>
    </xf>
    <xf numFmtId="164" fontId="0" fillId="49" borderId="200" xfId="31" applyFont="1" applyFill="1" applyBorder="1" applyAlignment="1" applyProtection="1">
      <alignment horizontal="center" vertical="center"/>
      <protection locked="0"/>
    </xf>
    <xf numFmtId="0" fontId="0" fillId="0" borderId="223" xfId="0" applyFont="1" applyFill="1" applyBorder="1" applyAlignment="1" applyProtection="1">
      <alignment horizontal="left" vertical="center"/>
    </xf>
    <xf numFmtId="0" fontId="0" fillId="0" borderId="222" xfId="0" applyFont="1" applyFill="1" applyBorder="1" applyAlignment="1" applyProtection="1">
      <alignment horizontal="left" vertical="center"/>
    </xf>
    <xf numFmtId="0" fontId="0" fillId="0" borderId="224" xfId="0" applyFont="1" applyFill="1" applyBorder="1" applyAlignment="1" applyProtection="1">
      <alignment horizontal="left" vertical="center"/>
    </xf>
    <xf numFmtId="0" fontId="0" fillId="0" borderId="152" xfId="0" applyFont="1" applyFill="1" applyBorder="1" applyAlignment="1" applyProtection="1">
      <alignment horizontal="left" vertical="center"/>
    </xf>
    <xf numFmtId="0" fontId="0" fillId="0" borderId="221" xfId="0" applyFont="1" applyFill="1" applyBorder="1" applyAlignment="1" applyProtection="1">
      <alignment horizontal="left" vertical="center"/>
    </xf>
    <xf numFmtId="179" fontId="0" fillId="29" borderId="217" xfId="13" applyNumberFormat="1" applyFont="1" applyFill="1" applyBorder="1" applyAlignment="1">
      <alignment vertical="center"/>
    </xf>
    <xf numFmtId="169" fontId="0" fillId="0" borderId="219" xfId="13" applyNumberFormat="1" applyFont="1" applyFill="1" applyBorder="1" applyAlignment="1" applyProtection="1">
      <alignment vertical="center"/>
    </xf>
    <xf numFmtId="169" fontId="0" fillId="0" borderId="217" xfId="13" applyNumberFormat="1" applyFont="1" applyFill="1" applyBorder="1" applyAlignment="1" applyProtection="1">
      <alignment vertical="center"/>
    </xf>
    <xf numFmtId="169" fontId="0" fillId="0" borderId="218" xfId="13" applyNumberFormat="1" applyFont="1" applyFill="1" applyBorder="1" applyAlignment="1" applyProtection="1">
      <alignment vertical="center"/>
    </xf>
    <xf numFmtId="171" fontId="0" fillId="0" borderId="219" xfId="0" applyNumberFormat="1" applyFont="1" applyFill="1" applyBorder="1" applyAlignment="1" applyProtection="1">
      <alignment horizontal="center" vertical="center"/>
    </xf>
    <xf numFmtId="171" fontId="0" fillId="0" borderId="217" xfId="0" applyNumberFormat="1" applyFont="1" applyFill="1" applyBorder="1" applyAlignment="1" applyProtection="1">
      <alignment horizontal="center" vertical="center"/>
    </xf>
    <xf numFmtId="169" fontId="0" fillId="0" borderId="226" xfId="13" applyNumberFormat="1" applyFont="1" applyFill="1" applyBorder="1" applyAlignment="1" applyProtection="1">
      <alignment vertical="center"/>
    </xf>
    <xf numFmtId="169" fontId="0" fillId="1" borderId="226" xfId="13" applyNumberFormat="1" applyFont="1" applyFill="1" applyBorder="1" applyAlignment="1">
      <alignment vertical="center"/>
    </xf>
    <xf numFmtId="169" fontId="0" fillId="1" borderId="202" xfId="13" applyNumberFormat="1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Fill="1" applyBorder="1" applyAlignment="1" applyProtection="1">
      <alignment horizontal="left" vertical="center" wrapText="1"/>
      <protection locked="0"/>
    </xf>
    <xf numFmtId="0" fontId="37" fillId="0" borderId="0" xfId="0" applyFont="1" applyFill="1" applyBorder="1" applyAlignment="1" applyProtection="1">
      <alignment vertical="center" wrapText="1"/>
      <protection locked="0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5" fillId="0" borderId="0" xfId="0" applyFont="1" applyProtection="1">
      <protection locked="0"/>
    </xf>
    <xf numFmtId="0" fontId="46" fillId="0" borderId="0" xfId="0" applyFont="1" applyBorder="1" applyAlignment="1" applyProtection="1">
      <alignment horizontal="center" vertical="center"/>
      <protection locked="0"/>
    </xf>
    <xf numFmtId="0" fontId="46" fillId="0" borderId="0" xfId="0" applyFont="1" applyBorder="1" applyAlignment="1" applyProtection="1">
      <alignment vertical="center"/>
      <protection locked="0"/>
    </xf>
    <xf numFmtId="0" fontId="46" fillId="0" borderId="0" xfId="0" applyFont="1" applyBorder="1" applyAlignment="1" applyProtection="1">
      <alignment horizontal="right" vertical="center"/>
      <protection locked="0"/>
    </xf>
    <xf numFmtId="0" fontId="45" fillId="0" borderId="0" xfId="0" applyFont="1" applyAlignment="1" applyProtection="1">
      <alignment horizontal="left" vertical="center"/>
      <protection locked="0"/>
    </xf>
    <xf numFmtId="0" fontId="45" fillId="0" borderId="0" xfId="0" applyFont="1" applyAlignment="1" applyProtection="1">
      <alignment horizontal="left" vertical="center" wrapText="1"/>
      <protection locked="0"/>
    </xf>
    <xf numFmtId="169" fontId="0" fillId="0" borderId="93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4" fillId="12" borderId="200" xfId="0" applyFont="1" applyFill="1" applyBorder="1" applyAlignment="1" applyProtection="1">
      <alignment horizontal="center" vertical="center"/>
    </xf>
    <xf numFmtId="0" fontId="14" fillId="21" borderId="229" xfId="0" applyFont="1" applyFill="1" applyBorder="1" applyAlignment="1" applyProtection="1">
      <alignment horizontal="center" vertical="center"/>
    </xf>
    <xf numFmtId="0" fontId="14" fillId="20" borderId="142" xfId="0" applyFont="1" applyFill="1" applyBorder="1" applyAlignment="1" applyProtection="1">
      <alignment horizontal="center" vertical="center" wrapText="1"/>
    </xf>
    <xf numFmtId="1" fontId="0" fillId="0" borderId="142" xfId="0" applyNumberFormat="1" applyFont="1" applyFill="1" applyBorder="1" applyAlignment="1" applyProtection="1">
      <alignment horizontal="center" vertical="center" wrapText="1"/>
    </xf>
    <xf numFmtId="1" fontId="0" fillId="0" borderId="230" xfId="0" applyNumberFormat="1" applyBorder="1" applyAlignment="1" applyProtection="1">
      <alignment horizontal="center"/>
    </xf>
    <xf numFmtId="1" fontId="0" fillId="44" borderId="142" xfId="0" applyNumberFormat="1" applyFont="1" applyFill="1" applyBorder="1" applyAlignment="1" applyProtection="1">
      <alignment horizontal="center" vertical="center" wrapText="1"/>
    </xf>
    <xf numFmtId="1" fontId="0" fillId="0" borderId="63" xfId="0" applyNumberFormat="1" applyFont="1" applyFill="1" applyBorder="1" applyAlignment="1" applyProtection="1">
      <alignment horizontal="center" vertical="center" wrapText="1"/>
    </xf>
    <xf numFmtId="0" fontId="14" fillId="31" borderId="231" xfId="0" applyFont="1" applyFill="1" applyBorder="1" applyAlignment="1" applyProtection="1">
      <alignment horizontal="center" vertical="center" wrapText="1"/>
    </xf>
    <xf numFmtId="169" fontId="14" fillId="55" borderId="106" xfId="13" applyNumberFormat="1" applyFont="1" applyFill="1" applyBorder="1" applyAlignment="1" applyProtection="1">
      <alignment horizontal="center" vertical="center"/>
    </xf>
    <xf numFmtId="169" fontId="14" fillId="15" borderId="183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right" vertical="center"/>
    </xf>
    <xf numFmtId="0" fontId="26" fillId="11" borderId="0" xfId="0" applyFont="1" applyFill="1" applyBorder="1" applyAlignment="1" applyProtection="1">
      <alignment horizontal="left" vertical="center" indent="2"/>
    </xf>
    <xf numFmtId="0" fontId="14" fillId="0" borderId="0" xfId="0" applyFont="1" applyBorder="1" applyAlignment="1" applyProtection="1">
      <alignment horizontal="right" vertical="center"/>
    </xf>
    <xf numFmtId="0" fontId="12" fillId="17" borderId="106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2" fillId="44" borderId="0" xfId="32" applyFill="1"/>
    <xf numFmtId="0" fontId="47" fillId="54" borderId="232" xfId="32" applyFont="1" applyFill="1" applyBorder="1" applyAlignment="1">
      <alignment horizontal="center" vertical="center"/>
    </xf>
    <xf numFmtId="0" fontId="47" fillId="56" borderId="232" xfId="32" applyFont="1" applyFill="1" applyBorder="1" applyAlignment="1">
      <alignment horizontal="center" vertical="center" wrapText="1"/>
    </xf>
    <xf numFmtId="0" fontId="47" fillId="44" borderId="0" xfId="32" applyFont="1" applyFill="1" applyAlignment="1">
      <alignment horizontal="right"/>
    </xf>
    <xf numFmtId="1" fontId="48" fillId="44" borderId="232" xfId="33" applyNumberFormat="1" applyFont="1" applyFill="1" applyBorder="1" applyAlignment="1">
      <alignment horizontal="center" vertical="center"/>
    </xf>
    <xf numFmtId="1" fontId="48" fillId="44" borderId="0" xfId="33" applyNumberFormat="1" applyFont="1" applyFill="1" applyBorder="1" applyAlignment="1">
      <alignment horizontal="center" vertical="center"/>
    </xf>
    <xf numFmtId="0" fontId="47" fillId="47" borderId="0" xfId="32" applyFont="1" applyFill="1" applyAlignment="1">
      <alignment horizontal="left" vertical="center" indent="1"/>
    </xf>
    <xf numFmtId="0" fontId="2" fillId="44" borderId="0" xfId="32" applyFill="1" applyAlignment="1">
      <alignment horizontal="left" indent="2"/>
    </xf>
    <xf numFmtId="186" fontId="2" fillId="44" borderId="0" xfId="32" applyNumberFormat="1" applyFill="1"/>
    <xf numFmtId="186" fontId="47" fillId="44" borderId="0" xfId="32" applyNumberFormat="1" applyFont="1" applyFill="1"/>
    <xf numFmtId="0" fontId="47" fillId="54" borderId="200" xfId="32" applyFont="1" applyFill="1" applyBorder="1" applyAlignment="1">
      <alignment horizontal="left" indent="2"/>
    </xf>
    <xf numFmtId="186" fontId="47" fillId="54" borderId="200" xfId="32" applyNumberFormat="1" applyFont="1" applyFill="1" applyBorder="1"/>
    <xf numFmtId="180" fontId="14" fillId="50" borderId="200" xfId="0" applyNumberFormat="1" applyFont="1" applyFill="1" applyBorder="1" applyAlignment="1">
      <alignment vertical="center"/>
    </xf>
    <xf numFmtId="0" fontId="0" fillId="0" borderId="113" xfId="0" applyFont="1" applyFill="1" applyBorder="1" applyAlignment="1" applyProtection="1">
      <alignment horizontal="left" vertical="center"/>
    </xf>
    <xf numFmtId="0" fontId="0" fillId="0" borderId="208" xfId="0" applyFont="1" applyFill="1" applyBorder="1" applyAlignment="1" applyProtection="1">
      <alignment horizontal="left" vertical="center"/>
    </xf>
    <xf numFmtId="0" fontId="0" fillId="0" borderId="114" xfId="0" applyFont="1" applyFill="1" applyBorder="1" applyAlignment="1" applyProtection="1">
      <alignment horizontal="left" vertical="center"/>
    </xf>
    <xf numFmtId="180" fontId="0" fillId="29" borderId="237" xfId="0" applyNumberFormat="1" applyFont="1" applyFill="1" applyBorder="1" applyProtection="1"/>
    <xf numFmtId="169" fontId="14" fillId="35" borderId="240" xfId="0" applyNumberFormat="1" applyFont="1" applyFill="1" applyBorder="1" applyAlignment="1" applyProtection="1">
      <alignment horizontal="center" vertical="center" wrapText="1"/>
    </xf>
    <xf numFmtId="180" fontId="0" fillId="12" borderId="219" xfId="13" applyNumberFormat="1" applyFont="1" applyFill="1" applyBorder="1" applyAlignment="1" applyProtection="1">
      <alignment horizontal="center" vertical="center"/>
      <protection locked="0"/>
    </xf>
    <xf numFmtId="180" fontId="14" fillId="50" borderId="201" xfId="0" applyNumberFormat="1" applyFont="1" applyFill="1" applyBorder="1" applyAlignment="1">
      <alignment vertical="center"/>
    </xf>
    <xf numFmtId="180" fontId="0" fillId="12" borderId="111" xfId="13" applyNumberFormat="1" applyFont="1" applyFill="1" applyBorder="1" applyAlignment="1" applyProtection="1">
      <alignment horizontal="center" vertical="center"/>
      <protection locked="0"/>
    </xf>
    <xf numFmtId="169" fontId="14" fillId="35" borderId="62" xfId="0" applyNumberFormat="1" applyFont="1" applyFill="1" applyBorder="1" applyAlignment="1" applyProtection="1">
      <alignment horizontal="center" vertical="center" wrapText="1"/>
    </xf>
    <xf numFmtId="180" fontId="14" fillId="50" borderId="226" xfId="0" applyNumberFormat="1" applyFont="1" applyFill="1" applyBorder="1" applyAlignment="1">
      <alignment vertical="center"/>
    </xf>
    <xf numFmtId="180" fontId="0" fillId="12" borderId="102" xfId="13" applyNumberFormat="1" applyFont="1" applyFill="1" applyBorder="1" applyAlignment="1" applyProtection="1">
      <alignment horizontal="center" vertical="center"/>
      <protection locked="0"/>
    </xf>
    <xf numFmtId="0" fontId="14" fillId="16" borderId="182" xfId="0" applyFont="1" applyFill="1" applyBorder="1" applyAlignment="1" applyProtection="1">
      <alignment horizontal="center" vertical="center" wrapText="1"/>
    </xf>
    <xf numFmtId="180" fontId="14" fillId="29" borderId="133" xfId="0" applyNumberFormat="1" applyFont="1" applyFill="1" applyBorder="1" applyAlignment="1" applyProtection="1">
      <alignment vertical="center"/>
    </xf>
    <xf numFmtId="180" fontId="14" fillId="50" borderId="134" xfId="0" applyNumberFormat="1" applyFont="1" applyFill="1" applyBorder="1" applyAlignment="1">
      <alignment vertical="center"/>
    </xf>
    <xf numFmtId="180" fontId="14" fillId="29" borderId="135" xfId="0" applyNumberFormat="1" applyFont="1" applyFill="1" applyBorder="1" applyAlignment="1">
      <alignment vertical="center"/>
    </xf>
    <xf numFmtId="169" fontId="15" fillId="50" borderId="200" xfId="13" applyNumberFormat="1" applyFill="1" applyBorder="1" applyAlignment="1">
      <alignment vertical="center"/>
    </xf>
    <xf numFmtId="171" fontId="0" fillId="46" borderId="217" xfId="13" applyNumberFormat="1" applyFont="1" applyFill="1" applyBorder="1" applyAlignment="1" applyProtection="1">
      <alignment horizontal="center" vertical="center"/>
    </xf>
    <xf numFmtId="179" fontId="0" fillId="29" borderId="217" xfId="13" applyNumberFormat="1" applyFont="1" applyFill="1" applyBorder="1" applyAlignment="1" applyProtection="1">
      <alignment vertical="center"/>
    </xf>
    <xf numFmtId="169" fontId="15" fillId="50" borderId="202" xfId="13" applyNumberFormat="1" applyFill="1" applyBorder="1" applyAlignment="1">
      <alignment vertical="center"/>
    </xf>
    <xf numFmtId="169" fontId="14" fillId="15" borderId="225" xfId="0" applyNumberFormat="1" applyFont="1" applyFill="1" applyBorder="1" applyAlignment="1" applyProtection="1">
      <alignment horizontal="center" vertical="center" wrapText="1"/>
    </xf>
    <xf numFmtId="179" fontId="15" fillId="46" borderId="109" xfId="13" applyNumberFormat="1" applyFont="1" applyFill="1" applyBorder="1" applyAlignment="1" applyProtection="1">
      <alignment vertical="center"/>
    </xf>
    <xf numFmtId="169" fontId="14" fillId="40" borderId="189" xfId="0" applyNumberFormat="1" applyFont="1" applyFill="1" applyBorder="1" applyAlignment="1" applyProtection="1">
      <alignment vertical="center"/>
    </xf>
    <xf numFmtId="169" fontId="14" fillId="40" borderId="241" xfId="13" applyNumberFormat="1" applyFont="1" applyFill="1" applyBorder="1" applyAlignment="1" applyProtection="1">
      <alignment vertical="center"/>
    </xf>
    <xf numFmtId="169" fontId="14" fillId="40" borderId="235" xfId="13" applyNumberFormat="1" applyFont="1" applyFill="1" applyBorder="1" applyAlignment="1" applyProtection="1">
      <alignment vertical="center"/>
    </xf>
    <xf numFmtId="169" fontId="14" fillId="40" borderId="236" xfId="13" applyNumberFormat="1" applyFont="1" applyFill="1" applyBorder="1" applyAlignment="1" applyProtection="1">
      <alignment vertical="center"/>
    </xf>
    <xf numFmtId="169" fontId="14" fillId="40" borderId="234" xfId="13" applyNumberFormat="1" applyFont="1" applyFill="1" applyBorder="1" applyAlignment="1" applyProtection="1">
      <alignment horizontal="right" vertical="center"/>
    </xf>
    <xf numFmtId="169" fontId="14" fillId="40" borderId="235" xfId="13" applyNumberFormat="1" applyFont="1" applyFill="1" applyBorder="1" applyAlignment="1" applyProtection="1">
      <alignment horizontal="right" vertical="center"/>
    </xf>
    <xf numFmtId="169" fontId="14" fillId="40" borderId="242" xfId="13" applyNumberFormat="1" applyFont="1" applyFill="1" applyBorder="1" applyAlignment="1" applyProtection="1">
      <alignment vertical="center"/>
    </xf>
    <xf numFmtId="169" fontId="14" fillId="40" borderId="233" xfId="13" applyNumberFormat="1" applyFont="1" applyFill="1" applyBorder="1" applyAlignment="1" applyProtection="1">
      <alignment horizontal="right" vertical="center"/>
    </xf>
    <xf numFmtId="0" fontId="14" fillId="21" borderId="200" xfId="0" applyFont="1" applyFill="1" applyBorder="1" applyAlignment="1" applyProtection="1">
      <alignment horizontal="left" vertical="center"/>
    </xf>
    <xf numFmtId="0" fontId="12" fillId="23" borderId="200" xfId="0" applyFont="1" applyFill="1" applyBorder="1" applyAlignment="1" applyProtection="1">
      <alignment horizontal="left" vertical="center"/>
    </xf>
    <xf numFmtId="0" fontId="12" fillId="20" borderId="144" xfId="0" applyFont="1" applyFill="1" applyBorder="1" applyAlignment="1" applyProtection="1">
      <alignment horizontal="left" vertical="center"/>
    </xf>
    <xf numFmtId="182" fontId="14" fillId="19" borderId="157" xfId="13" applyNumberFormat="1" applyFont="1" applyFill="1" applyBorder="1" applyAlignment="1" applyProtection="1">
      <alignment horizontal="center"/>
    </xf>
    <xf numFmtId="176" fontId="20" fillId="0" borderId="152" xfId="0" applyNumberFormat="1" applyFont="1" applyBorder="1" applyAlignment="1" applyProtection="1">
      <alignment horizontal="left" wrapText="1"/>
    </xf>
    <xf numFmtId="176" fontId="20" fillId="0" borderId="152" xfId="0" applyNumberFormat="1" applyFont="1" applyBorder="1" applyAlignment="1" applyProtection="1">
      <alignment horizontal="left"/>
    </xf>
    <xf numFmtId="177" fontId="20" fillId="29" borderId="106" xfId="12" applyNumberFormat="1" applyFont="1" applyFill="1" applyBorder="1" applyAlignment="1" applyProtection="1">
      <alignment vertical="center"/>
    </xf>
    <xf numFmtId="0" fontId="12" fillId="23" borderId="152" xfId="0" applyFont="1" applyFill="1" applyBorder="1" applyAlignment="1" applyProtection="1">
      <alignment horizontal="left" vertical="center"/>
    </xf>
    <xf numFmtId="169" fontId="12" fillId="41" borderId="200" xfId="13" applyNumberFormat="1" applyFont="1" applyFill="1" applyBorder="1" applyAlignment="1" applyProtection="1">
      <alignment vertical="center"/>
    </xf>
    <xf numFmtId="0" fontId="12" fillId="20" borderId="152" xfId="0" applyFont="1" applyFill="1" applyBorder="1" applyAlignment="1" applyProtection="1">
      <alignment horizontal="left" vertical="center"/>
    </xf>
    <xf numFmtId="182" fontId="14" fillId="19" borderId="200" xfId="13" applyNumberFormat="1" applyFont="1" applyFill="1" applyBorder="1" applyAlignment="1" applyProtection="1">
      <alignment horizontal="center"/>
    </xf>
    <xf numFmtId="0" fontId="12" fillId="20" borderId="200" xfId="0" applyFont="1" applyFill="1" applyBorder="1" applyAlignment="1" applyProtection="1">
      <alignment horizontal="left" vertical="center"/>
    </xf>
    <xf numFmtId="182" fontId="15" fillId="28" borderId="200" xfId="13" applyNumberFormat="1" applyFill="1" applyBorder="1" applyProtection="1"/>
    <xf numFmtId="0" fontId="14" fillId="17" borderId="200" xfId="0" applyFont="1" applyFill="1" applyBorder="1" applyAlignment="1" applyProtection="1">
      <alignment horizontal="center" vertical="center" wrapText="1"/>
    </xf>
    <xf numFmtId="175" fontId="14" fillId="17" borderId="200" xfId="12" applyNumberFormat="1" applyFont="1" applyFill="1" applyBorder="1" applyAlignment="1" applyProtection="1">
      <alignment horizontal="center" vertical="center" wrapText="1"/>
    </xf>
    <xf numFmtId="0" fontId="12" fillId="17" borderId="200" xfId="0" applyFont="1" applyFill="1" applyBorder="1" applyAlignment="1" applyProtection="1">
      <alignment horizontal="center" vertical="center"/>
    </xf>
    <xf numFmtId="169" fontId="12" fillId="23" borderId="200" xfId="13" applyNumberFormat="1" applyFont="1" applyFill="1" applyBorder="1" applyAlignment="1" applyProtection="1">
      <alignment horizontal="center" vertical="center"/>
    </xf>
    <xf numFmtId="169" fontId="12" fillId="24" borderId="200" xfId="13" applyNumberFormat="1" applyFont="1" applyFill="1" applyBorder="1" applyAlignment="1" applyProtection="1">
      <alignment vertical="center"/>
    </xf>
    <xf numFmtId="169" fontId="14" fillId="41" borderId="200" xfId="13" applyNumberFormat="1" applyFont="1" applyFill="1" applyBorder="1" applyAlignment="1" applyProtection="1">
      <alignment vertical="center"/>
    </xf>
    <xf numFmtId="169" fontId="12" fillId="23" borderId="173" xfId="13" applyNumberFormat="1" applyFont="1" applyFill="1" applyBorder="1" applyAlignment="1" applyProtection="1">
      <alignment horizontal="center" vertical="center"/>
    </xf>
    <xf numFmtId="169" fontId="12" fillId="20" borderId="200" xfId="13" applyNumberFormat="1" applyFont="1" applyFill="1" applyBorder="1" applyAlignment="1" applyProtection="1">
      <alignment horizontal="center" vertical="center"/>
    </xf>
    <xf numFmtId="169" fontId="12" fillId="22" borderId="200" xfId="13" applyNumberFormat="1" applyFont="1" applyFill="1" applyBorder="1" applyAlignment="1" applyProtection="1">
      <alignment vertical="center"/>
    </xf>
    <xf numFmtId="169" fontId="14" fillId="42" borderId="200" xfId="13" applyNumberFormat="1" applyFont="1" applyFill="1" applyBorder="1" applyAlignment="1" applyProtection="1">
      <alignment vertical="center"/>
    </xf>
    <xf numFmtId="1" fontId="0" fillId="0" borderId="142" xfId="0" applyNumberFormat="1" applyBorder="1" applyAlignment="1" applyProtection="1">
      <alignment horizontal="center" vertical="center" wrapText="1"/>
    </xf>
    <xf numFmtId="169" fontId="0" fillId="46" borderId="200" xfId="13" applyNumberFormat="1" applyFont="1" applyFill="1" applyBorder="1" applyAlignment="1" applyProtection="1">
      <alignment vertical="center"/>
    </xf>
    <xf numFmtId="169" fontId="20" fillId="1" borderId="200" xfId="13" applyNumberFormat="1" applyFont="1" applyFill="1" applyBorder="1" applyAlignment="1" applyProtection="1">
      <alignment vertical="center"/>
    </xf>
    <xf numFmtId="177" fontId="20" fillId="1" borderId="200" xfId="12" applyNumberFormat="1" applyFont="1" applyFill="1" applyBorder="1" applyAlignment="1" applyProtection="1">
      <alignment vertical="center"/>
    </xf>
    <xf numFmtId="169" fontId="20" fillId="29" borderId="200" xfId="13" applyNumberFormat="1" applyFont="1" applyFill="1" applyBorder="1" applyAlignment="1" applyProtection="1">
      <alignment vertical="center"/>
    </xf>
    <xf numFmtId="169" fontId="12" fillId="28" borderId="173" xfId="13" applyNumberFormat="1" applyFont="1" applyFill="1" applyBorder="1" applyAlignment="1" applyProtection="1">
      <alignment vertical="center"/>
    </xf>
    <xf numFmtId="1" fontId="0" fillId="0" borderId="145" xfId="0" applyNumberFormat="1" applyBorder="1" applyProtection="1"/>
    <xf numFmtId="176" fontId="31" fillId="0" borderId="152" xfId="0" applyNumberFormat="1" applyFont="1" applyBorder="1" applyAlignment="1" applyProtection="1">
      <alignment horizontal="left"/>
    </xf>
    <xf numFmtId="169" fontId="0" fillId="29" borderId="200" xfId="13" applyNumberFormat="1" applyFont="1" applyFill="1" applyBorder="1" applyAlignment="1" applyProtection="1">
      <alignment vertical="center"/>
    </xf>
    <xf numFmtId="177" fontId="20" fillId="29" borderId="200" xfId="12" applyNumberFormat="1" applyFont="1" applyFill="1" applyBorder="1" applyAlignment="1" applyProtection="1">
      <alignment vertical="center"/>
    </xf>
    <xf numFmtId="169" fontId="12" fillId="20" borderId="200" xfId="13" applyNumberFormat="1" applyFont="1" applyFill="1" applyBorder="1" applyAlignment="1" applyProtection="1">
      <alignment vertical="center"/>
    </xf>
    <xf numFmtId="169" fontId="12" fillId="20" borderId="173" xfId="13" applyNumberFormat="1" applyFont="1" applyFill="1" applyBorder="1" applyAlignment="1" applyProtection="1">
      <alignment vertical="center"/>
    </xf>
    <xf numFmtId="1" fontId="0" fillId="44" borderId="142" xfId="0" applyNumberFormat="1" applyFill="1" applyBorder="1" applyAlignment="1" applyProtection="1">
      <alignment horizontal="center" vertical="center" wrapText="1"/>
    </xf>
    <xf numFmtId="1" fontId="0" fillId="0" borderId="63" xfId="0" applyNumberFormat="1" applyBorder="1" applyAlignment="1" applyProtection="1">
      <alignment horizontal="center" vertical="center" wrapText="1"/>
    </xf>
    <xf numFmtId="176" fontId="20" fillId="0" borderId="189" xfId="0" applyNumberFormat="1" applyFont="1" applyBorder="1" applyAlignment="1" applyProtection="1">
      <alignment horizontal="left"/>
    </xf>
    <xf numFmtId="169" fontId="12" fillId="28" borderId="190" xfId="13" applyNumberFormat="1" applyFont="1" applyFill="1" applyBorder="1" applyAlignment="1" applyProtection="1">
      <alignment vertical="center"/>
    </xf>
    <xf numFmtId="0" fontId="14" fillId="32" borderId="221" xfId="0" applyFont="1" applyFill="1" applyBorder="1" applyAlignment="1" applyProtection="1">
      <alignment vertical="center"/>
    </xf>
    <xf numFmtId="168" fontId="14" fillId="32" borderId="69" xfId="13" applyNumberFormat="1" applyFont="1" applyFill="1" applyBorder="1" applyAlignment="1" applyProtection="1">
      <alignment vertical="center"/>
    </xf>
    <xf numFmtId="168" fontId="14" fillId="33" borderId="69" xfId="13" applyNumberFormat="1" applyFont="1" applyFill="1" applyBorder="1" applyAlignment="1" applyProtection="1">
      <alignment vertical="center"/>
    </xf>
    <xf numFmtId="0" fontId="11" fillId="47" borderId="102" xfId="0" applyFont="1" applyFill="1" applyBorder="1" applyAlignment="1" applyProtection="1">
      <alignment horizontal="center" vertical="center"/>
    </xf>
    <xf numFmtId="178" fontId="0" fillId="0" borderId="218" xfId="0" applyNumberFormat="1" applyFont="1" applyFill="1" applyBorder="1" applyAlignment="1" applyProtection="1">
      <alignment horizontal="right" vertical="center"/>
    </xf>
    <xf numFmtId="178" fontId="0" fillId="0" borderId="226" xfId="0" applyNumberFormat="1" applyFont="1" applyFill="1" applyBorder="1" applyAlignment="1" applyProtection="1">
      <alignment horizontal="right" vertical="center"/>
    </xf>
    <xf numFmtId="178" fontId="0" fillId="0" borderId="242" xfId="0" applyNumberFormat="1" applyFont="1" applyFill="1" applyBorder="1" applyAlignment="1" applyProtection="1">
      <alignment horizontal="right" vertical="center"/>
    </xf>
    <xf numFmtId="9" fontId="0" fillId="26" borderId="133" xfId="0" applyNumberFormat="1" applyFont="1" applyFill="1" applyBorder="1" applyAlignment="1" applyProtection="1">
      <alignment horizontal="center" vertical="center"/>
    </xf>
    <xf numFmtId="9" fontId="0" fillId="26" borderId="134" xfId="0" applyNumberFormat="1" applyFont="1" applyFill="1" applyBorder="1" applyAlignment="1" applyProtection="1">
      <alignment horizontal="center" vertical="center"/>
    </xf>
    <xf numFmtId="9" fontId="0" fillId="26" borderId="135" xfId="0" applyNumberFormat="1" applyFont="1" applyFill="1" applyBorder="1" applyAlignment="1" applyProtection="1">
      <alignment horizontal="center" vertical="center"/>
    </xf>
    <xf numFmtId="0" fontId="0" fillId="12" borderId="217" xfId="0" applyFill="1" applyBorder="1" applyAlignment="1" applyProtection="1">
      <alignment horizontal="left" vertical="center"/>
      <protection locked="0"/>
    </xf>
    <xf numFmtId="179" fontId="0" fillId="12" borderId="243" xfId="13" applyNumberFormat="1" applyFont="1" applyFill="1" applyBorder="1" applyAlignment="1" applyProtection="1">
      <alignment vertical="center"/>
      <protection locked="0"/>
    </xf>
    <xf numFmtId="0" fontId="0" fillId="12" borderId="243" xfId="0" applyFont="1" applyFill="1" applyBorder="1" applyAlignment="1" applyProtection="1">
      <alignment horizontal="left" vertical="center"/>
      <protection locked="0"/>
    </xf>
    <xf numFmtId="0" fontId="14" fillId="16" borderId="236" xfId="0" applyFont="1" applyFill="1" applyBorder="1" applyAlignment="1" applyProtection="1">
      <alignment horizontal="center" vertical="center" wrapText="1"/>
    </xf>
    <xf numFmtId="0" fontId="0" fillId="12" borderId="109" xfId="0" applyFill="1" applyBorder="1" applyAlignment="1" applyProtection="1">
      <alignment horizontal="left" vertical="center"/>
      <protection locked="0"/>
    </xf>
    <xf numFmtId="179" fontId="0" fillId="12" borderId="226" xfId="13" applyNumberFormat="1" applyFont="1" applyFill="1" applyBorder="1" applyAlignment="1" applyProtection="1">
      <alignment vertical="center"/>
      <protection locked="0"/>
    </xf>
    <xf numFmtId="179" fontId="0" fillId="12" borderId="102" xfId="13" applyNumberFormat="1" applyFont="1" applyFill="1" applyBorder="1" applyAlignment="1" applyProtection="1">
      <alignment vertical="center"/>
      <protection locked="0"/>
    </xf>
    <xf numFmtId="178" fontId="0" fillId="29" borderId="133" xfId="0" applyNumberFormat="1" applyFont="1" applyFill="1" applyBorder="1" applyAlignment="1" applyProtection="1">
      <alignment vertical="center"/>
    </xf>
    <xf numFmtId="178" fontId="0" fillId="29" borderId="134" xfId="0" applyNumberFormat="1" applyFont="1" applyFill="1" applyBorder="1" applyAlignment="1" applyProtection="1">
      <alignment vertical="center"/>
    </xf>
    <xf numFmtId="178" fontId="0" fillId="29" borderId="135" xfId="0" applyNumberFormat="1" applyFont="1" applyFill="1" applyBorder="1" applyAlignment="1" applyProtection="1">
      <alignment vertical="center"/>
    </xf>
    <xf numFmtId="169" fontId="0" fillId="29" borderId="219" xfId="13" applyNumberFormat="1" applyFont="1" applyFill="1" applyBorder="1" applyAlignment="1" applyProtection="1">
      <alignment vertical="center"/>
    </xf>
    <xf numFmtId="169" fontId="0" fillId="29" borderId="217" xfId="13" applyNumberFormat="1" applyFont="1" applyFill="1" applyBorder="1" applyAlignment="1" applyProtection="1">
      <alignment vertical="center"/>
    </xf>
    <xf numFmtId="169" fontId="0" fillId="29" borderId="244" xfId="13" applyNumberFormat="1" applyFont="1" applyFill="1" applyBorder="1" applyAlignment="1" applyProtection="1">
      <alignment vertical="center"/>
    </xf>
    <xf numFmtId="169" fontId="0" fillId="29" borderId="201" xfId="13" applyNumberFormat="1" applyFont="1" applyFill="1" applyBorder="1" applyAlignment="1" applyProtection="1">
      <alignment vertical="center"/>
    </xf>
    <xf numFmtId="169" fontId="0" fillId="29" borderId="202" xfId="13" applyNumberFormat="1" applyFont="1" applyFill="1" applyBorder="1" applyAlignment="1" applyProtection="1">
      <alignment vertical="center"/>
    </xf>
    <xf numFmtId="169" fontId="0" fillId="29" borderId="235" xfId="13" applyNumberFormat="1" applyFont="1" applyFill="1" applyBorder="1" applyAlignment="1" applyProtection="1">
      <alignment vertical="center"/>
    </xf>
    <xf numFmtId="169" fontId="0" fillId="29" borderId="236" xfId="13" applyNumberFormat="1" applyFont="1" applyFill="1" applyBorder="1" applyAlignment="1" applyProtection="1">
      <alignment vertical="center"/>
    </xf>
    <xf numFmtId="169" fontId="0" fillId="37" borderId="217" xfId="13" applyNumberFormat="1" applyFont="1" applyFill="1" applyBorder="1" applyAlignment="1" applyProtection="1">
      <alignment vertical="center"/>
    </xf>
    <xf numFmtId="169" fontId="0" fillId="51" borderId="226" xfId="13" applyNumberFormat="1" applyFont="1" applyFill="1" applyBorder="1" applyAlignment="1">
      <alignment vertical="center"/>
    </xf>
    <xf numFmtId="169" fontId="0" fillId="0" borderId="235" xfId="13" applyNumberFormat="1" applyFont="1" applyFill="1" applyBorder="1" applyAlignment="1" applyProtection="1">
      <alignment vertical="center"/>
    </xf>
    <xf numFmtId="169" fontId="0" fillId="0" borderId="242" xfId="13" applyNumberFormat="1" applyFont="1" applyFill="1" applyBorder="1" applyAlignment="1" applyProtection="1">
      <alignment vertical="center"/>
    </xf>
    <xf numFmtId="171" fontId="0" fillId="0" borderId="241" xfId="0" applyNumberFormat="1" applyFont="1" applyFill="1" applyBorder="1" applyAlignment="1" applyProtection="1">
      <alignment horizontal="center" vertical="center"/>
    </xf>
    <xf numFmtId="171" fontId="0" fillId="0" borderId="235" xfId="0" applyNumberFormat="1" applyFont="1" applyFill="1" applyBorder="1" applyAlignment="1" applyProtection="1">
      <alignment horizontal="center" vertical="center"/>
    </xf>
    <xf numFmtId="171" fontId="0" fillId="0" borderId="236" xfId="0" applyNumberFormat="1" applyFont="1" applyFill="1" applyBorder="1" applyAlignment="1" applyProtection="1">
      <alignment horizontal="center" vertical="center"/>
    </xf>
    <xf numFmtId="171" fontId="0" fillId="0" borderId="244" xfId="0" applyNumberFormat="1" applyFont="1" applyFill="1" applyBorder="1" applyAlignment="1" applyProtection="1">
      <alignment horizontal="center" vertical="center"/>
    </xf>
    <xf numFmtId="0" fontId="0" fillId="0" borderId="245" xfId="0" applyFont="1" applyFill="1" applyBorder="1" applyAlignment="1" applyProtection="1">
      <alignment horizontal="left" vertical="center"/>
    </xf>
    <xf numFmtId="180" fontId="0" fillId="12" borderId="86" xfId="13" applyNumberFormat="1" applyFont="1" applyFill="1" applyBorder="1" applyAlignment="1" applyProtection="1">
      <alignment horizontal="center" vertical="center"/>
      <protection locked="0"/>
    </xf>
    <xf numFmtId="180" fontId="0" fillId="12" borderId="157" xfId="13" applyNumberFormat="1" applyFont="1" applyFill="1" applyBorder="1" applyAlignment="1" applyProtection="1">
      <alignment horizontal="center" vertical="center"/>
      <protection locked="0"/>
    </xf>
    <xf numFmtId="180" fontId="0" fillId="12" borderId="246" xfId="13" applyNumberFormat="1" applyFont="1" applyFill="1" applyBorder="1" applyAlignment="1" applyProtection="1">
      <alignment horizontal="center" vertical="center"/>
      <protection locked="0"/>
    </xf>
    <xf numFmtId="180" fontId="0" fillId="12" borderId="200" xfId="13" applyNumberFormat="1" applyFont="1" applyFill="1" applyBorder="1" applyAlignment="1" applyProtection="1">
      <alignment horizontal="center" vertical="center"/>
      <protection locked="0"/>
    </xf>
    <xf numFmtId="180" fontId="14" fillId="29" borderId="247" xfId="0" applyNumberFormat="1" applyFont="1" applyFill="1" applyBorder="1" applyAlignment="1">
      <alignment vertical="center"/>
    </xf>
    <xf numFmtId="180" fontId="0" fillId="12" borderId="244" xfId="13" applyNumberFormat="1" applyFont="1" applyFill="1" applyBorder="1" applyAlignment="1" applyProtection="1">
      <alignment horizontal="center" vertical="center"/>
      <protection locked="0"/>
    </xf>
    <xf numFmtId="180" fontId="0" fillId="12" borderId="201" xfId="13" applyNumberFormat="1" applyFont="1" applyFill="1" applyBorder="1" applyAlignment="1" applyProtection="1">
      <alignment horizontal="center" vertical="center"/>
      <protection locked="0"/>
    </xf>
    <xf numFmtId="180" fontId="0" fillId="12" borderId="202" xfId="13" applyNumberFormat="1" applyFont="1" applyFill="1" applyBorder="1" applyAlignment="1" applyProtection="1">
      <alignment horizontal="center" vertical="center"/>
      <protection locked="0"/>
    </xf>
    <xf numFmtId="180" fontId="0" fillId="12" borderId="110" xfId="13" applyNumberFormat="1" applyFont="1" applyFill="1" applyBorder="1" applyAlignment="1" applyProtection="1">
      <alignment horizontal="center" vertical="center"/>
      <protection locked="0"/>
    </xf>
    <xf numFmtId="180" fontId="14" fillId="29" borderId="134" xfId="0" applyNumberFormat="1" applyFont="1" applyFill="1" applyBorder="1" applyAlignment="1" applyProtection="1">
      <alignment vertical="center"/>
    </xf>
    <xf numFmtId="180" fontId="14" fillId="29" borderId="135" xfId="0" applyNumberFormat="1" applyFont="1" applyFill="1" applyBorder="1" applyAlignment="1" applyProtection="1">
      <alignment vertical="center"/>
    </xf>
    <xf numFmtId="164" fontId="0" fillId="49" borderId="200" xfId="31" applyFont="1" applyFill="1" applyBorder="1" applyAlignment="1" applyProtection="1">
      <alignment horizontal="center" vertical="center"/>
    </xf>
    <xf numFmtId="169" fontId="14" fillId="35" borderId="192" xfId="0" applyNumberFormat="1" applyFont="1" applyFill="1" applyBorder="1" applyAlignment="1" applyProtection="1">
      <alignment horizontal="center" vertical="center" wrapText="1"/>
    </xf>
    <xf numFmtId="169" fontId="14" fillId="35" borderId="225" xfId="0" applyNumberFormat="1" applyFont="1" applyFill="1" applyBorder="1" applyAlignment="1" applyProtection="1">
      <alignment horizontal="center" vertical="center" wrapText="1"/>
    </xf>
    <xf numFmtId="169" fontId="14" fillId="35" borderId="38" xfId="0" applyNumberFormat="1" applyFont="1" applyFill="1" applyBorder="1" applyAlignment="1" applyProtection="1">
      <alignment horizontal="center" vertical="center" wrapText="1"/>
    </xf>
    <xf numFmtId="179" fontId="0" fillId="46" borderId="217" xfId="13" applyNumberFormat="1" applyFont="1" applyFill="1" applyBorder="1" applyAlignment="1" applyProtection="1">
      <alignment vertical="center"/>
    </xf>
    <xf numFmtId="169" fontId="14" fillId="15" borderId="248" xfId="0" applyNumberFormat="1" applyFont="1" applyFill="1" applyBorder="1" applyAlignment="1" applyProtection="1">
      <alignment horizontal="center" vertical="center" wrapText="1"/>
    </xf>
    <xf numFmtId="169" fontId="14" fillId="35" borderId="249" xfId="0" applyNumberFormat="1" applyFont="1" applyFill="1" applyBorder="1" applyAlignment="1" applyProtection="1">
      <alignment horizontal="center" vertical="center" wrapText="1"/>
    </xf>
    <xf numFmtId="169" fontId="14" fillId="35" borderId="193" xfId="0" applyNumberFormat="1" applyFont="1" applyFill="1" applyBorder="1" applyAlignment="1" applyProtection="1">
      <alignment horizontal="center" vertical="center" wrapText="1"/>
    </xf>
    <xf numFmtId="169" fontId="14" fillId="35" borderId="250" xfId="0" applyNumberFormat="1" applyFont="1" applyFill="1" applyBorder="1" applyAlignment="1" applyProtection="1">
      <alignment horizontal="center" vertical="center" wrapText="1"/>
    </xf>
    <xf numFmtId="179" fontId="0" fillId="29" borderId="244" xfId="13" applyNumberFormat="1" applyFont="1" applyFill="1" applyBorder="1" applyAlignment="1" applyProtection="1">
      <alignment vertical="center"/>
    </xf>
    <xf numFmtId="179" fontId="0" fillId="46" borderId="109" xfId="13" applyNumberFormat="1" applyFont="1" applyFill="1" applyBorder="1" applyAlignment="1" applyProtection="1">
      <alignment vertical="center"/>
    </xf>
    <xf numFmtId="0" fontId="0" fillId="46" borderId="219" xfId="0" applyFont="1" applyFill="1" applyBorder="1" applyAlignment="1" applyProtection="1">
      <alignment horizontal="left" vertical="center"/>
    </xf>
    <xf numFmtId="171" fontId="0" fillId="12" borderId="217" xfId="13" applyNumberFormat="1" applyFont="1" applyFill="1" applyBorder="1" applyAlignment="1" applyProtection="1">
      <alignment horizontal="center" vertical="center"/>
      <protection locked="0"/>
    </xf>
    <xf numFmtId="0" fontId="0" fillId="46" borderId="201" xfId="0" applyFont="1" applyFill="1" applyBorder="1" applyAlignment="1" applyProtection="1">
      <alignment horizontal="left" vertical="center"/>
    </xf>
    <xf numFmtId="0" fontId="0" fillId="46" borderId="111" xfId="0" applyFont="1" applyFill="1" applyBorder="1" applyAlignment="1" applyProtection="1">
      <alignment horizontal="left" vertical="center"/>
    </xf>
    <xf numFmtId="171" fontId="0" fillId="12" borderId="109" xfId="13" applyNumberFormat="1" applyFont="1" applyFill="1" applyBorder="1" applyAlignment="1" applyProtection="1">
      <alignment horizontal="center" vertical="center"/>
      <protection locked="0"/>
    </xf>
    <xf numFmtId="0" fontId="0" fillId="46" borderId="219" xfId="0" applyFill="1" applyBorder="1" applyAlignment="1">
      <alignment horizontal="left" vertical="center"/>
    </xf>
    <xf numFmtId="179" fontId="0" fillId="29" borderId="217" xfId="13" applyNumberFormat="1" applyFont="1" applyFill="1" applyBorder="1" applyAlignment="1" applyProtection="1">
      <alignment vertical="center"/>
      <protection locked="0"/>
    </xf>
    <xf numFmtId="0" fontId="0" fillId="46" borderId="201" xfId="0" applyFill="1" applyBorder="1" applyAlignment="1">
      <alignment horizontal="left" vertical="center"/>
    </xf>
    <xf numFmtId="0" fontId="0" fillId="46" borderId="111" xfId="0" applyFill="1" applyBorder="1" applyAlignment="1">
      <alignment horizontal="left" vertical="center"/>
    </xf>
    <xf numFmtId="169" fontId="0" fillId="0" borderId="216" xfId="13" applyNumberFormat="1" applyFont="1" applyFill="1" applyBorder="1" applyAlignment="1" applyProtection="1">
      <alignment vertical="center"/>
    </xf>
    <xf numFmtId="169" fontId="0" fillId="0" borderId="243" xfId="13" applyNumberFormat="1" applyFont="1" applyFill="1" applyBorder="1" applyAlignment="1" applyProtection="1">
      <alignment vertical="center"/>
    </xf>
    <xf numFmtId="169" fontId="0" fillId="0" borderId="34" xfId="13" applyNumberFormat="1" applyFont="1" applyFill="1" applyBorder="1" applyAlignment="1" applyProtection="1">
      <alignment vertical="center"/>
    </xf>
    <xf numFmtId="168" fontId="0" fillId="0" borderId="245" xfId="13" applyNumberFormat="1" applyFont="1" applyBorder="1" applyAlignment="1">
      <alignment vertical="center"/>
    </xf>
    <xf numFmtId="169" fontId="0" fillId="29" borderId="86" xfId="13" applyNumberFormat="1" applyFont="1" applyFill="1" applyBorder="1" applyAlignment="1">
      <alignment vertical="center"/>
    </xf>
    <xf numFmtId="169" fontId="0" fillId="29" borderId="157" xfId="13" applyNumberFormat="1" applyFont="1" applyFill="1" applyBorder="1" applyAlignment="1">
      <alignment vertical="center"/>
    </xf>
    <xf numFmtId="169" fontId="0" fillId="37" borderId="157" xfId="13" applyNumberFormat="1" applyFont="1" applyFill="1" applyBorder="1" applyAlignment="1" applyProtection="1">
      <alignment vertical="center"/>
    </xf>
    <xf numFmtId="169" fontId="0" fillId="37" borderId="246" xfId="13" applyNumberFormat="1" applyFont="1" applyFill="1" applyBorder="1" applyAlignment="1" applyProtection="1">
      <alignment vertical="center"/>
    </xf>
    <xf numFmtId="168" fontId="0" fillId="0" borderId="219" xfId="13" applyNumberFormat="1" applyFont="1" applyFill="1" applyBorder="1" applyAlignment="1" applyProtection="1">
      <alignment vertical="center"/>
    </xf>
    <xf numFmtId="169" fontId="0" fillId="37" borderId="244" xfId="13" applyNumberFormat="1" applyFont="1" applyFill="1" applyBorder="1" applyAlignment="1" applyProtection="1">
      <alignment vertical="center"/>
    </xf>
    <xf numFmtId="168" fontId="0" fillId="0" borderId="201" xfId="13" applyNumberFormat="1" applyFont="1" applyFill="1" applyBorder="1" applyAlignment="1" applyProtection="1">
      <alignment vertical="center"/>
    </xf>
    <xf numFmtId="169" fontId="0" fillId="37" borderId="202" xfId="13" applyNumberFormat="1" applyFont="1" applyFill="1" applyBorder="1" applyAlignment="1" applyProtection="1">
      <alignment vertical="center"/>
    </xf>
    <xf numFmtId="168" fontId="0" fillId="0" borderId="111" xfId="13" applyNumberFormat="1" applyFont="1" applyFill="1" applyBorder="1" applyAlignment="1" applyProtection="1">
      <alignment vertical="center"/>
    </xf>
    <xf numFmtId="169" fontId="0" fillId="37" borderId="110" xfId="13" applyNumberFormat="1" applyFont="1" applyFill="1" applyBorder="1" applyAlignment="1" applyProtection="1">
      <alignment vertical="center"/>
    </xf>
    <xf numFmtId="168" fontId="0" fillId="0" borderId="208" xfId="13" applyNumberFormat="1" applyFont="1" applyFill="1" applyBorder="1" applyAlignment="1" applyProtection="1">
      <alignment vertical="center"/>
    </xf>
    <xf numFmtId="169" fontId="0" fillId="37" borderId="216" xfId="13" applyNumberFormat="1" applyFont="1" applyFill="1" applyBorder="1" applyAlignment="1" applyProtection="1">
      <alignment vertical="center"/>
    </xf>
    <xf numFmtId="169" fontId="0" fillId="37" borderId="243" xfId="13" applyNumberFormat="1" applyFont="1" applyFill="1" applyBorder="1" applyAlignment="1" applyProtection="1">
      <alignment vertical="center"/>
    </xf>
    <xf numFmtId="169" fontId="0" fillId="37" borderId="122" xfId="13" applyNumberFormat="1" applyFont="1" applyFill="1" applyBorder="1" applyAlignment="1" applyProtection="1">
      <alignment vertical="center"/>
    </xf>
    <xf numFmtId="169" fontId="0" fillId="37" borderId="215" xfId="13" applyNumberFormat="1" applyFont="1" applyFill="1" applyBorder="1" applyAlignment="1" applyProtection="1">
      <alignment vertical="center"/>
    </xf>
    <xf numFmtId="169" fontId="0" fillId="51" borderId="243" xfId="13" applyNumberFormat="1" applyFont="1" applyFill="1" applyBorder="1" applyAlignment="1">
      <alignment vertical="center"/>
    </xf>
    <xf numFmtId="169" fontId="0" fillId="29" borderId="136" xfId="13" applyNumberFormat="1" applyFont="1" applyFill="1" applyBorder="1" applyAlignment="1">
      <alignment vertical="center"/>
    </xf>
    <xf numFmtId="169" fontId="0" fillId="52" borderId="202" xfId="13" applyNumberFormat="1" applyFont="1" applyFill="1" applyBorder="1" applyAlignment="1">
      <alignment vertical="center"/>
    </xf>
    <xf numFmtId="178" fontId="0" fillId="29" borderId="227" xfId="0" applyNumberFormat="1" applyFont="1" applyFill="1" applyBorder="1" applyAlignment="1" applyProtection="1">
      <alignment vertical="center"/>
    </xf>
    <xf numFmtId="178" fontId="0" fillId="29" borderId="228" xfId="0" applyNumberFormat="1" applyFont="1" applyFill="1" applyBorder="1" applyAlignment="1" applyProtection="1">
      <alignment vertical="center"/>
    </xf>
    <xf numFmtId="178" fontId="0" fillId="29" borderId="124" xfId="0" applyNumberFormat="1" applyFont="1" applyFill="1" applyBorder="1" applyAlignment="1" applyProtection="1">
      <alignment vertical="center"/>
    </xf>
    <xf numFmtId="0" fontId="0" fillId="12" borderId="215" xfId="0" applyFont="1" applyFill="1" applyBorder="1" applyAlignment="1" applyProtection="1">
      <alignment horizontal="left" vertical="center"/>
      <protection locked="0"/>
    </xf>
    <xf numFmtId="0" fontId="0" fillId="12" borderId="157" xfId="0" applyFont="1" applyFill="1" applyBorder="1" applyAlignment="1" applyProtection="1">
      <alignment horizontal="left" vertical="center"/>
      <protection locked="0"/>
    </xf>
    <xf numFmtId="0" fontId="0" fillId="12" borderId="157" xfId="0" applyFill="1" applyBorder="1" applyAlignment="1" applyProtection="1">
      <alignment horizontal="left" vertical="center"/>
      <protection locked="0"/>
    </xf>
    <xf numFmtId="179" fontId="0" fillId="12" borderId="246" xfId="13" applyNumberFormat="1" applyFont="1" applyFill="1" applyBorder="1" applyAlignment="1" applyProtection="1">
      <alignment vertical="center"/>
      <protection locked="0"/>
    </xf>
    <xf numFmtId="0" fontId="0" fillId="12" borderId="219" xfId="0" applyFill="1" applyBorder="1" applyAlignment="1" applyProtection="1">
      <alignment horizontal="left" vertical="center"/>
      <protection locked="0"/>
    </xf>
    <xf numFmtId="0" fontId="0" fillId="12" borderId="201" xfId="0" applyFill="1" applyBorder="1" applyAlignment="1" applyProtection="1">
      <alignment horizontal="left" vertical="center"/>
      <protection locked="0"/>
    </xf>
    <xf numFmtId="179" fontId="0" fillId="12" borderId="202" xfId="13" applyNumberFormat="1" applyFont="1" applyFill="1" applyBorder="1" applyAlignment="1" applyProtection="1">
      <alignment vertical="center"/>
      <protection locked="0"/>
    </xf>
    <xf numFmtId="179" fontId="0" fillId="12" borderId="110" xfId="13" applyNumberFormat="1" applyFont="1" applyFill="1" applyBorder="1" applyAlignment="1" applyProtection="1">
      <alignment vertical="center"/>
      <protection locked="0"/>
    </xf>
    <xf numFmtId="181" fontId="15" fillId="37" borderId="200" xfId="16" applyNumberFormat="1" applyFill="1" applyBorder="1" applyAlignment="1" applyProtection="1">
      <alignment horizontal="center" vertical="center"/>
    </xf>
    <xf numFmtId="168" fontId="0" fillId="0" borderId="241" xfId="13" applyNumberFormat="1" applyFont="1" applyFill="1" applyBorder="1" applyAlignment="1" applyProtection="1">
      <alignment vertical="center"/>
    </xf>
    <xf numFmtId="181" fontId="15" fillId="37" borderId="219" xfId="16" applyNumberFormat="1" applyFill="1" applyBorder="1" applyAlignment="1" applyProtection="1">
      <alignment horizontal="center" vertical="center"/>
    </xf>
    <xf numFmtId="181" fontId="15" fillId="37" borderId="217" xfId="16" applyNumberFormat="1" applyFill="1" applyBorder="1" applyAlignment="1" applyProtection="1">
      <alignment horizontal="center" vertical="center"/>
    </xf>
    <xf numFmtId="169" fontId="0" fillId="12" borderId="217" xfId="13" applyNumberFormat="1" applyFont="1" applyFill="1" applyBorder="1" applyAlignment="1" applyProtection="1">
      <alignment vertical="center"/>
      <protection locked="0"/>
    </xf>
    <xf numFmtId="181" fontId="15" fillId="37" borderId="201" xfId="16" applyNumberFormat="1" applyFill="1" applyBorder="1" applyAlignment="1" applyProtection="1">
      <alignment horizontal="center" vertical="center"/>
    </xf>
    <xf numFmtId="169" fontId="0" fillId="12" borderId="109" xfId="13" applyNumberFormat="1" applyFont="1" applyFill="1" applyBorder="1" applyAlignment="1" applyProtection="1">
      <alignment vertical="center"/>
      <protection locked="0"/>
    </xf>
    <xf numFmtId="169" fontId="0" fillId="57" borderId="200" xfId="13" applyNumberFormat="1" applyFont="1" applyFill="1" applyBorder="1" applyAlignment="1" applyProtection="1">
      <alignment vertical="center"/>
    </xf>
    <xf numFmtId="169" fontId="0" fillId="57" borderId="202" xfId="13" applyNumberFormat="1" applyFont="1" applyFill="1" applyBorder="1" applyAlignment="1" applyProtection="1">
      <alignment vertical="center"/>
    </xf>
    <xf numFmtId="181" fontId="15" fillId="58" borderId="201" xfId="16" applyNumberFormat="1" applyFill="1" applyBorder="1" applyAlignment="1" applyProtection="1">
      <alignment horizontal="center" vertical="center"/>
    </xf>
    <xf numFmtId="181" fontId="15" fillId="58" borderId="200" xfId="16" applyNumberFormat="1" applyFill="1" applyBorder="1" applyAlignment="1" applyProtection="1">
      <alignment horizontal="center" vertical="center"/>
    </xf>
    <xf numFmtId="0" fontId="0" fillId="59" borderId="200" xfId="0" applyFont="1" applyFill="1" applyBorder="1" applyAlignment="1" applyProtection="1">
      <alignment horizontal="left" vertical="center"/>
    </xf>
    <xf numFmtId="169" fontId="0" fillId="59" borderId="200" xfId="13" applyNumberFormat="1" applyFont="1" applyFill="1" applyBorder="1" applyAlignment="1" applyProtection="1">
      <alignment vertical="center"/>
    </xf>
    <xf numFmtId="0" fontId="37" fillId="0" borderId="0" xfId="0" applyFont="1" applyAlignment="1" applyProtection="1">
      <alignment horizontal="left"/>
      <protection locked="0"/>
    </xf>
    <xf numFmtId="0" fontId="0" fillId="12" borderId="226" xfId="0" applyFont="1" applyFill="1" applyBorder="1" applyProtection="1">
      <protection locked="0"/>
    </xf>
    <xf numFmtId="179" fontId="30" fillId="12" borderId="200" xfId="13" applyNumberFormat="1" applyFont="1" applyFill="1" applyBorder="1" applyAlignment="1" applyProtection="1">
      <alignment vertical="center"/>
      <protection locked="0"/>
    </xf>
    <xf numFmtId="0" fontId="36" fillId="0" borderId="0" xfId="0" applyFont="1" applyProtection="1">
      <protection locked="0"/>
    </xf>
    <xf numFmtId="0" fontId="38" fillId="0" borderId="200" xfId="0" applyFont="1" applyBorder="1" applyAlignment="1" applyProtection="1">
      <alignment horizontal="center"/>
      <protection locked="0"/>
    </xf>
    <xf numFmtId="9" fontId="39" fillId="0" borderId="200" xfId="0" applyNumberFormat="1" applyFont="1" applyFill="1" applyBorder="1" applyAlignment="1" applyProtection="1">
      <alignment horizontal="center"/>
      <protection locked="0"/>
    </xf>
    <xf numFmtId="0" fontId="38" fillId="0" borderId="200" xfId="0" applyFont="1" applyFill="1" applyBorder="1" applyAlignment="1" applyProtection="1">
      <alignment horizontal="center"/>
      <protection locked="0"/>
    </xf>
    <xf numFmtId="0" fontId="35" fillId="0" borderId="0" xfId="0" applyFont="1" applyProtection="1">
      <protection locked="0"/>
    </xf>
    <xf numFmtId="0" fontId="38" fillId="0" borderId="200" xfId="0" applyFont="1" applyBorder="1" applyProtection="1">
      <protection locked="0"/>
    </xf>
    <xf numFmtId="170" fontId="30" fillId="0" borderId="200" xfId="16" applyFont="1" applyBorder="1" applyProtection="1">
      <protection locked="0"/>
    </xf>
    <xf numFmtId="170" fontId="30" fillId="0" borderId="200" xfId="16" applyFont="1" applyBorder="1"/>
    <xf numFmtId="0" fontId="21" fillId="0" borderId="0" xfId="0" applyFont="1" applyAlignment="1" applyProtection="1">
      <alignment horizontal="left"/>
      <protection locked="0"/>
    </xf>
    <xf numFmtId="169" fontId="35" fillId="35" borderId="200" xfId="0" applyNumberFormat="1" applyFont="1" applyFill="1" applyBorder="1" applyAlignment="1" applyProtection="1">
      <alignment horizontal="center" vertical="center" wrapText="1"/>
      <protection locked="0"/>
    </xf>
    <xf numFmtId="169" fontId="14" fillId="35" borderId="200" xfId="0" applyNumberFormat="1" applyFont="1" applyFill="1" applyBorder="1" applyAlignment="1" applyProtection="1">
      <alignment horizontal="center" vertical="center" wrapText="1"/>
      <protection locked="0"/>
    </xf>
    <xf numFmtId="0" fontId="14" fillId="16" borderId="20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/>
      <protection locked="0"/>
    </xf>
    <xf numFmtId="180" fontId="14" fillId="12" borderId="200" xfId="0" applyNumberFormat="1" applyFont="1" applyFill="1" applyBorder="1" applyProtection="1">
      <protection locked="0"/>
    </xf>
    <xf numFmtId="180" fontId="24" fillId="60" borderId="200" xfId="0" applyNumberFormat="1" applyFont="1" applyFill="1" applyBorder="1" applyProtection="1">
      <protection locked="0"/>
    </xf>
    <xf numFmtId="0" fontId="0" fillId="12" borderId="251" xfId="0" applyFill="1" applyBorder="1" applyAlignment="1" applyProtection="1">
      <alignment horizontal="left" vertical="center"/>
      <protection locked="0"/>
    </xf>
    <xf numFmtId="0" fontId="0" fillId="12" borderId="217" xfId="0" applyFill="1" applyBorder="1" applyProtection="1">
      <protection locked="0"/>
    </xf>
    <xf numFmtId="0" fontId="0" fillId="12" borderId="252" xfId="0" applyFill="1" applyBorder="1" applyProtection="1">
      <protection locked="0"/>
    </xf>
    <xf numFmtId="179" fontId="0" fillId="12" borderId="217" xfId="34" applyNumberFormat="1" applyFont="1" applyFill="1" applyBorder="1" applyAlignment="1" applyProtection="1">
      <alignment vertical="center"/>
      <protection locked="0"/>
    </xf>
    <xf numFmtId="179" fontId="0" fillId="12" borderId="252" xfId="34" applyNumberFormat="1" applyFont="1" applyFill="1" applyBorder="1" applyAlignment="1" applyProtection="1">
      <alignment vertical="center"/>
      <protection locked="0"/>
    </xf>
    <xf numFmtId="0" fontId="0" fillId="12" borderId="243" xfId="0" applyFill="1" applyBorder="1" applyAlignment="1" applyProtection="1">
      <alignment horizontal="left" vertical="center"/>
      <protection locked="0"/>
    </xf>
    <xf numFmtId="0" fontId="0" fillId="12" borderId="200" xfId="0" applyFill="1" applyBorder="1" applyProtection="1">
      <protection locked="0"/>
    </xf>
    <xf numFmtId="0" fontId="0" fillId="12" borderId="226" xfId="0" applyFill="1" applyBorder="1" applyProtection="1">
      <protection locked="0"/>
    </xf>
    <xf numFmtId="179" fontId="0" fillId="12" borderId="200" xfId="34" applyNumberFormat="1" applyFont="1" applyFill="1" applyBorder="1" applyAlignment="1" applyProtection="1">
      <alignment vertical="center"/>
      <protection locked="0"/>
    </xf>
    <xf numFmtId="179" fontId="0" fillId="12" borderId="226" xfId="34" applyNumberFormat="1" applyFont="1" applyFill="1" applyBorder="1" applyAlignment="1" applyProtection="1">
      <alignment vertical="center"/>
      <protection locked="0"/>
    </xf>
    <xf numFmtId="0" fontId="0" fillId="12" borderId="253" xfId="0" applyFill="1" applyBorder="1" applyAlignment="1" applyProtection="1">
      <alignment horizontal="left" vertical="center"/>
      <protection locked="0"/>
    </xf>
    <xf numFmtId="0" fontId="0" fillId="12" borderId="254" xfId="0" applyFill="1" applyBorder="1" applyAlignment="1" applyProtection="1">
      <alignment horizontal="left" vertical="center"/>
      <protection locked="0"/>
    </xf>
    <xf numFmtId="0" fontId="0" fillId="12" borderId="254" xfId="0" applyFill="1" applyBorder="1" applyProtection="1">
      <protection locked="0"/>
    </xf>
    <xf numFmtId="0" fontId="0" fillId="12" borderId="255" xfId="0" applyFill="1" applyBorder="1" applyProtection="1">
      <protection locked="0"/>
    </xf>
    <xf numFmtId="9" fontId="0" fillId="12" borderId="133" xfId="0" applyNumberFormat="1" applyFill="1" applyBorder="1" applyAlignment="1" applyProtection="1">
      <alignment horizontal="center" vertical="center"/>
      <protection locked="0"/>
    </xf>
    <xf numFmtId="9" fontId="0" fillId="12" borderId="134" xfId="0" applyNumberFormat="1" applyFill="1" applyBorder="1" applyAlignment="1" applyProtection="1">
      <alignment horizontal="center" vertical="center"/>
      <protection locked="0"/>
    </xf>
    <xf numFmtId="170" fontId="0" fillId="12" borderId="133" xfId="16" applyFont="1" applyFill="1" applyBorder="1" applyAlignment="1" applyProtection="1">
      <alignment horizontal="center" vertical="center"/>
      <protection locked="0"/>
    </xf>
    <xf numFmtId="170" fontId="0" fillId="12" borderId="134" xfId="16" applyFont="1" applyFill="1" applyBorder="1" applyAlignment="1" applyProtection="1">
      <alignment horizontal="center" vertical="center"/>
      <protection locked="0"/>
    </xf>
    <xf numFmtId="169" fontId="0" fillId="12" borderId="200" xfId="34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61" borderId="34" xfId="0" applyFill="1" applyBorder="1" applyProtection="1">
      <protection locked="0"/>
    </xf>
    <xf numFmtId="0" fontId="0" fillId="61" borderId="23" xfId="0" applyFill="1" applyBorder="1" applyAlignment="1" applyProtection="1">
      <alignment horizontal="center"/>
      <protection locked="0"/>
    </xf>
    <xf numFmtId="0" fontId="0" fillId="61" borderId="157" xfId="0" applyFill="1" applyBorder="1" applyAlignment="1" applyProtection="1">
      <alignment horizontal="center"/>
      <protection locked="0"/>
    </xf>
    <xf numFmtId="0" fontId="0" fillId="61" borderId="146" xfId="0" applyFill="1" applyBorder="1" applyAlignment="1" applyProtection="1">
      <alignment horizontal="center"/>
      <protection locked="0"/>
    </xf>
    <xf numFmtId="0" fontId="0" fillId="61" borderId="215" xfId="0" applyFill="1" applyBorder="1" applyAlignment="1" applyProtection="1">
      <alignment horizontal="center"/>
      <protection locked="0"/>
    </xf>
    <xf numFmtId="179" fontId="0" fillId="12" borderId="244" xfId="34" applyNumberFormat="1" applyFont="1" applyFill="1" applyBorder="1" applyAlignment="1" applyProtection="1">
      <alignment vertical="center"/>
      <protection locked="0"/>
    </xf>
    <xf numFmtId="179" fontId="0" fillId="12" borderId="202" xfId="34" applyNumberFormat="1" applyFont="1" applyFill="1" applyBorder="1" applyAlignment="1" applyProtection="1">
      <alignment vertical="center"/>
      <protection locked="0"/>
    </xf>
    <xf numFmtId="179" fontId="0" fillId="12" borderId="251" xfId="34" applyNumberFormat="1" applyFont="1" applyFill="1" applyBorder="1" applyAlignment="1" applyProtection="1">
      <alignment vertical="center"/>
      <protection locked="0"/>
    </xf>
    <xf numFmtId="179" fontId="0" fillId="12" borderId="259" xfId="34" applyNumberFormat="1" applyFont="1" applyFill="1" applyBorder="1" applyAlignment="1" applyProtection="1">
      <alignment vertical="center"/>
      <protection locked="0"/>
    </xf>
    <xf numFmtId="0" fontId="49" fillId="0" borderId="0" xfId="0" applyFont="1" applyBorder="1" applyProtection="1"/>
    <xf numFmtId="180" fontId="14" fillId="11" borderId="0" xfId="31" applyNumberFormat="1" applyFont="1" applyFill="1" applyBorder="1" applyAlignment="1" applyProtection="1">
      <alignment horizontal="right" vertical="center"/>
    </xf>
    <xf numFmtId="178" fontId="0" fillId="11" borderId="0" xfId="0" applyNumberFormat="1" applyFont="1" applyFill="1" applyProtection="1"/>
    <xf numFmtId="0" fontId="30" fillId="12" borderId="201" xfId="0" applyFont="1" applyFill="1" applyBorder="1" applyAlignment="1" applyProtection="1">
      <alignment horizontal="left" vertical="center"/>
      <protection locked="0"/>
    </xf>
    <xf numFmtId="0" fontId="30" fillId="12" borderId="200" xfId="0" applyFont="1" applyFill="1" applyBorder="1" applyAlignment="1" applyProtection="1">
      <alignment horizontal="left" vertical="center"/>
      <protection locked="0"/>
    </xf>
    <xf numFmtId="179" fontId="30" fillId="12" borderId="202" xfId="34" applyNumberFormat="1" applyFont="1" applyFill="1" applyBorder="1" applyAlignment="1" applyProtection="1">
      <alignment vertical="center"/>
      <protection locked="0"/>
    </xf>
    <xf numFmtId="178" fontId="30" fillId="29" borderId="228" xfId="0" applyNumberFormat="1" applyFont="1" applyFill="1" applyBorder="1" applyAlignment="1" applyProtection="1">
      <alignment vertical="center"/>
    </xf>
    <xf numFmtId="179" fontId="30" fillId="12" borderId="259" xfId="34" applyNumberFormat="1" applyFont="1" applyFill="1" applyBorder="1" applyAlignment="1" applyProtection="1">
      <alignment vertical="center"/>
      <protection locked="0"/>
    </xf>
    <xf numFmtId="179" fontId="30" fillId="12" borderId="226" xfId="34" applyNumberFormat="1" applyFont="1" applyFill="1" applyBorder="1" applyAlignment="1" applyProtection="1">
      <alignment vertical="center"/>
      <protection locked="0"/>
    </xf>
    <xf numFmtId="0" fontId="30" fillId="0" borderId="0" xfId="0" applyFont="1" applyBorder="1" applyProtection="1"/>
    <xf numFmtId="0" fontId="30" fillId="0" borderId="0" xfId="0" applyFont="1" applyAlignment="1" applyProtection="1">
      <alignment vertical="center"/>
    </xf>
    <xf numFmtId="177" fontId="30" fillId="12" borderId="106" xfId="12" applyNumberFormat="1" applyFont="1" applyFill="1" applyBorder="1" applyAlignment="1" applyProtection="1">
      <alignment vertical="center"/>
      <protection locked="0"/>
    </xf>
    <xf numFmtId="169" fontId="30" fillId="12" borderId="200" xfId="13" applyNumberFormat="1" applyFont="1" applyFill="1" applyBorder="1" applyAlignment="1" applyProtection="1">
      <alignment vertical="center"/>
      <protection locked="0"/>
    </xf>
    <xf numFmtId="177" fontId="30" fillId="12" borderId="200" xfId="12" applyNumberFormat="1" applyFont="1" applyFill="1" applyBorder="1" applyAlignment="1" applyProtection="1">
      <alignment vertical="center"/>
      <protection locked="0"/>
    </xf>
    <xf numFmtId="0" fontId="0" fillId="11" borderId="0" xfId="0" applyFont="1" applyFill="1" applyBorder="1" applyAlignment="1" applyProtection="1">
      <alignment horizontal="center"/>
    </xf>
    <xf numFmtId="178" fontId="0" fillId="29" borderId="228" xfId="0" applyNumberFormat="1" applyFont="1" applyFill="1" applyBorder="1" applyAlignment="1" applyProtection="1">
      <alignment vertical="center"/>
    </xf>
    <xf numFmtId="0" fontId="0" fillId="11" borderId="0" xfId="0" applyFont="1" applyFill="1" applyBorder="1" applyProtection="1"/>
    <xf numFmtId="178" fontId="29" fillId="11" borderId="0" xfId="0" applyNumberFormat="1" applyFont="1" applyFill="1" applyBorder="1" applyAlignment="1" applyProtection="1">
      <alignment horizontal="right" vertical="center"/>
    </xf>
    <xf numFmtId="171" fontId="0" fillId="46" borderId="252" xfId="13" applyNumberFormat="1" applyFont="1" applyFill="1" applyBorder="1" applyAlignment="1" applyProtection="1">
      <alignment horizontal="center" vertical="center"/>
    </xf>
    <xf numFmtId="171" fontId="0" fillId="46" borderId="226" xfId="13" applyNumberFormat="1" applyFont="1" applyFill="1" applyBorder="1" applyAlignment="1" applyProtection="1">
      <alignment horizontal="center" vertical="center"/>
    </xf>
    <xf numFmtId="171" fontId="0" fillId="46" borderId="102" xfId="13" applyNumberFormat="1" applyFont="1" applyFill="1" applyBorder="1" applyAlignment="1" applyProtection="1">
      <alignment horizontal="center" vertical="center"/>
    </xf>
    <xf numFmtId="179" fontId="0" fillId="29" borderId="219" xfId="13" applyNumberFormat="1" applyFont="1" applyFill="1" applyBorder="1" applyAlignment="1" applyProtection="1">
      <alignment vertical="center"/>
    </xf>
    <xf numFmtId="179" fontId="0" fillId="29" borderId="201" xfId="13" applyNumberFormat="1" applyFont="1" applyFill="1" applyBorder="1" applyAlignment="1" applyProtection="1">
      <alignment vertical="center"/>
    </xf>
    <xf numFmtId="179" fontId="0" fillId="29" borderId="111" xfId="13" applyNumberFormat="1" applyFont="1" applyFill="1" applyBorder="1" applyAlignment="1" applyProtection="1">
      <alignment vertical="center"/>
    </xf>
    <xf numFmtId="169" fontId="15" fillId="50" borderId="226" xfId="13" applyNumberFormat="1" applyFill="1" applyBorder="1" applyAlignment="1">
      <alignment vertical="center"/>
    </xf>
    <xf numFmtId="169" fontId="15" fillId="50" borderId="201" xfId="13" applyNumberFormat="1" applyFill="1" applyBorder="1" applyAlignment="1">
      <alignment vertical="center"/>
    </xf>
    <xf numFmtId="0" fontId="22" fillId="0" borderId="0" xfId="20" applyAlignment="1" applyProtection="1">
      <alignment horizontal="center"/>
    </xf>
    <xf numFmtId="0" fontId="22" fillId="0" borderId="0" xfId="20"/>
    <xf numFmtId="0" fontId="0" fillId="0" borderId="0" xfId="0" applyFont="1"/>
    <xf numFmtId="0" fontId="22" fillId="0" borderId="0" xfId="20" applyBorder="1" applyAlignment="1" applyProtection="1">
      <alignment horizontal="left" vertical="center"/>
    </xf>
    <xf numFmtId="0" fontId="22" fillId="0" borderId="0" xfId="20" applyBorder="1" applyAlignment="1" applyProtection="1">
      <alignment horizontal="left" vertical="center" wrapText="1"/>
    </xf>
    <xf numFmtId="0" fontId="22" fillId="0" borderId="0" xfId="20" applyBorder="1" applyAlignment="1" applyProtection="1">
      <alignment horizontal="left" vertical="center" indent="2"/>
    </xf>
    <xf numFmtId="0" fontId="22" fillId="0" borderId="0" xfId="20" applyFont="1"/>
    <xf numFmtId="169" fontId="0" fillId="9" borderId="133" xfId="13" applyNumberFormat="1" applyFont="1" applyFill="1" applyBorder="1" applyAlignment="1" applyProtection="1">
      <alignment horizontal="right" vertical="center"/>
    </xf>
    <xf numFmtId="169" fontId="0" fillId="9" borderId="134" xfId="13" applyNumberFormat="1" applyFont="1" applyFill="1" applyBorder="1" applyAlignment="1" applyProtection="1">
      <alignment horizontal="right" vertical="center"/>
    </xf>
    <xf numFmtId="169" fontId="0" fillId="9" borderId="133" xfId="13" applyNumberFormat="1" applyFont="1" applyFill="1" applyBorder="1" applyAlignment="1">
      <alignment horizontal="right" vertical="center"/>
    </xf>
    <xf numFmtId="169" fontId="0" fillId="9" borderId="134" xfId="13" applyNumberFormat="1" applyFont="1" applyFill="1" applyBorder="1" applyAlignment="1">
      <alignment horizontal="right" vertical="center"/>
    </xf>
    <xf numFmtId="0" fontId="0" fillId="0" borderId="161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156" xfId="0" applyBorder="1" applyAlignment="1">
      <alignment horizontal="center" vertical="center" wrapText="1"/>
    </xf>
    <xf numFmtId="0" fontId="0" fillId="0" borderId="161" xfId="0" applyFont="1" applyFill="1" applyBorder="1" applyAlignment="1" applyProtection="1">
      <alignment horizontal="center" vertical="center" wrapText="1"/>
    </xf>
    <xf numFmtId="0" fontId="0" fillId="0" borderId="63" xfId="0" applyFont="1" applyFill="1" applyBorder="1" applyAlignment="1" applyProtection="1">
      <alignment horizontal="center" vertical="center" wrapText="1"/>
    </xf>
    <xf numFmtId="0" fontId="0" fillId="0" borderId="156" xfId="0" applyFont="1" applyFill="1" applyBorder="1" applyAlignment="1" applyProtection="1">
      <alignment horizontal="center" vertical="center" wrapText="1"/>
    </xf>
    <xf numFmtId="169" fontId="23" fillId="32" borderId="91" xfId="0" applyNumberFormat="1" applyFont="1" applyFill="1" applyBorder="1" applyAlignment="1" applyProtection="1">
      <alignment horizontal="center" vertical="center"/>
    </xf>
    <xf numFmtId="169" fontId="23" fillId="32" borderId="151" xfId="0" applyNumberFormat="1" applyFont="1" applyFill="1" applyBorder="1" applyAlignment="1" applyProtection="1">
      <alignment horizontal="center" vertical="center"/>
    </xf>
    <xf numFmtId="0" fontId="24" fillId="0" borderId="164" xfId="0" applyFont="1" applyFill="1" applyBorder="1" applyAlignment="1" applyProtection="1">
      <alignment horizontal="center" vertical="center" wrapText="1"/>
    </xf>
    <xf numFmtId="0" fontId="24" fillId="0" borderId="115" xfId="0" applyFont="1" applyFill="1" applyBorder="1" applyAlignment="1" applyProtection="1">
      <alignment horizontal="center" vertical="center" wrapText="1"/>
    </xf>
    <xf numFmtId="0" fontId="24" fillId="0" borderId="52" xfId="0" applyFont="1" applyFill="1" applyBorder="1" applyAlignment="1" applyProtection="1">
      <alignment horizontal="center" vertical="center" wrapText="1"/>
    </xf>
    <xf numFmtId="169" fontId="23" fillId="32" borderId="91" xfId="0" applyNumberFormat="1" applyFont="1" applyFill="1" applyBorder="1" applyAlignment="1" applyProtection="1">
      <alignment horizontal="right" vertical="center"/>
    </xf>
    <xf numFmtId="169" fontId="23" fillId="32" borderId="151" xfId="0" applyNumberFormat="1" applyFont="1" applyFill="1" applyBorder="1" applyAlignment="1" applyProtection="1">
      <alignment horizontal="right" vertical="center"/>
    </xf>
    <xf numFmtId="0" fontId="24" fillId="44" borderId="164" xfId="0" applyFont="1" applyFill="1" applyBorder="1" applyAlignment="1">
      <alignment horizontal="center" vertical="center" wrapText="1"/>
    </xf>
    <xf numFmtId="0" fontId="24" fillId="44" borderId="115" xfId="0" applyFont="1" applyFill="1" applyBorder="1" applyAlignment="1">
      <alignment horizontal="center" vertical="center" wrapText="1"/>
    </xf>
    <xf numFmtId="0" fontId="24" fillId="44" borderId="52" xfId="0" applyFont="1" applyFill="1" applyBorder="1" applyAlignment="1">
      <alignment horizontal="center" vertical="center" wrapText="1"/>
    </xf>
    <xf numFmtId="169" fontId="23" fillId="32" borderId="151" xfId="0" applyNumberFormat="1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right" vertical="center"/>
    </xf>
    <xf numFmtId="0" fontId="24" fillId="12" borderId="3" xfId="0" applyFont="1" applyFill="1" applyBorder="1" applyAlignment="1" applyProtection="1">
      <alignment horizontal="center" vertical="center"/>
      <protection locked="0"/>
    </xf>
    <xf numFmtId="0" fontId="24" fillId="12" borderId="50" xfId="0" applyFont="1" applyFill="1" applyBorder="1" applyAlignment="1" applyProtection="1">
      <alignment horizontal="center" vertical="center"/>
      <protection locked="0"/>
    </xf>
    <xf numFmtId="0" fontId="24" fillId="12" borderId="4" xfId="0" applyFont="1" applyFill="1" applyBorder="1" applyAlignment="1" applyProtection="1">
      <alignment horizontal="center" vertical="center"/>
      <protection locked="0"/>
    </xf>
    <xf numFmtId="169" fontId="14" fillId="15" borderId="165" xfId="0" applyNumberFormat="1" applyFont="1" applyFill="1" applyBorder="1" applyAlignment="1" applyProtection="1">
      <alignment horizontal="center" vertical="center"/>
    </xf>
    <xf numFmtId="169" fontId="14" fillId="15" borderId="150" xfId="0" applyNumberFormat="1" applyFont="1" applyFill="1" applyBorder="1" applyAlignment="1" applyProtection="1">
      <alignment horizontal="center" vertical="center"/>
    </xf>
    <xf numFmtId="169" fontId="24" fillId="39" borderId="92" xfId="0" applyNumberFormat="1" applyFont="1" applyFill="1" applyBorder="1" applyAlignment="1" applyProtection="1">
      <alignment horizontal="center" vertical="center" wrapText="1"/>
    </xf>
    <xf numFmtId="169" fontId="24" fillId="39" borderId="94" xfId="0" applyNumberFormat="1" applyFont="1" applyFill="1" applyBorder="1" applyAlignment="1" applyProtection="1">
      <alignment horizontal="center" vertical="center" wrapText="1"/>
    </xf>
    <xf numFmtId="169" fontId="24" fillId="39" borderId="97" xfId="0" applyNumberFormat="1" applyFont="1" applyFill="1" applyBorder="1" applyAlignment="1" applyProtection="1">
      <alignment horizontal="center" vertical="center" wrapText="1"/>
    </xf>
    <xf numFmtId="169" fontId="25" fillId="34" borderId="92" xfId="0" applyNumberFormat="1" applyFont="1" applyFill="1" applyBorder="1" applyAlignment="1" applyProtection="1">
      <alignment horizontal="center" vertical="center" wrapText="1"/>
    </xf>
    <xf numFmtId="169" fontId="25" fillId="34" borderId="94" xfId="0" applyNumberFormat="1" applyFont="1" applyFill="1" applyBorder="1" applyAlignment="1" applyProtection="1">
      <alignment horizontal="center" vertical="center" wrapText="1"/>
    </xf>
    <xf numFmtId="169" fontId="25" fillId="34" borderId="97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left" vertical="center" indent="2"/>
    </xf>
    <xf numFmtId="0" fontId="14" fillId="15" borderId="162" xfId="0" applyFont="1" applyFill="1" applyBorder="1" applyAlignment="1" applyProtection="1">
      <alignment horizontal="center" vertical="center" wrapText="1"/>
    </xf>
    <xf numFmtId="0" fontId="14" fillId="15" borderId="163" xfId="0" applyFont="1" applyFill="1" applyBorder="1" applyAlignment="1" applyProtection="1">
      <alignment horizontal="center" vertical="center" wrapText="1"/>
    </xf>
    <xf numFmtId="0" fontId="14" fillId="15" borderId="159" xfId="0" applyFont="1" applyFill="1" applyBorder="1" applyAlignment="1" applyProtection="1">
      <alignment horizontal="center" vertical="center" wrapText="1"/>
    </xf>
    <xf numFmtId="0" fontId="14" fillId="15" borderId="160" xfId="0" applyFont="1" applyFill="1" applyBorder="1" applyAlignment="1" applyProtection="1">
      <alignment horizontal="center" vertical="center" wrapText="1"/>
    </xf>
    <xf numFmtId="169" fontId="28" fillId="45" borderId="167" xfId="0" applyNumberFormat="1" applyFont="1" applyFill="1" applyBorder="1" applyAlignment="1" applyProtection="1">
      <alignment horizontal="center" vertical="center" wrapText="1"/>
    </xf>
    <xf numFmtId="169" fontId="28" fillId="45" borderId="62" xfId="0" applyNumberFormat="1" applyFont="1" applyFill="1" applyBorder="1" applyAlignment="1" applyProtection="1">
      <alignment horizontal="center" vertical="center" wrapText="1"/>
    </xf>
    <xf numFmtId="169" fontId="19" fillId="34" borderId="64" xfId="0" applyNumberFormat="1" applyFont="1" applyFill="1" applyBorder="1" applyAlignment="1" applyProtection="1">
      <alignment horizontal="center" vertical="center" wrapText="1"/>
    </xf>
    <xf numFmtId="169" fontId="19" fillId="34" borderId="63" xfId="0" applyNumberFormat="1" applyFont="1" applyFill="1" applyBorder="1" applyAlignment="1" applyProtection="1">
      <alignment horizontal="center" vertical="center" wrapText="1"/>
    </xf>
    <xf numFmtId="169" fontId="19" fillId="34" borderId="24" xfId="0" applyNumberFormat="1" applyFont="1" applyFill="1" applyBorder="1" applyAlignment="1" applyProtection="1">
      <alignment horizontal="center" vertical="center" wrapText="1"/>
    </xf>
    <xf numFmtId="169" fontId="19" fillId="34" borderId="60" xfId="0" applyNumberFormat="1" applyFont="1" applyFill="1" applyBorder="1" applyAlignment="1" applyProtection="1">
      <alignment horizontal="center" vertical="center" wrapText="1"/>
    </xf>
    <xf numFmtId="169" fontId="19" fillId="34" borderId="120" xfId="0" applyNumberFormat="1" applyFont="1" applyFill="1" applyBorder="1" applyAlignment="1" applyProtection="1">
      <alignment horizontal="center" vertical="center" wrapText="1"/>
    </xf>
    <xf numFmtId="169" fontId="19" fillId="34" borderId="115" xfId="0" applyNumberFormat="1" applyFont="1" applyFill="1" applyBorder="1" applyAlignment="1" applyProtection="1">
      <alignment horizontal="center" vertical="center" wrapText="1"/>
    </xf>
    <xf numFmtId="0" fontId="23" fillId="44" borderId="183" xfId="0" applyFont="1" applyFill="1" applyBorder="1" applyAlignment="1">
      <alignment horizontal="center" vertical="center" wrapText="1"/>
    </xf>
    <xf numFmtId="0" fontId="23" fillId="44" borderId="118" xfId="0" applyFont="1" applyFill="1" applyBorder="1" applyAlignment="1">
      <alignment horizontal="center" vertical="center" wrapText="1"/>
    </xf>
    <xf numFmtId="0" fontId="23" fillId="44" borderId="184" xfId="0" applyFont="1" applyFill="1" applyBorder="1" applyAlignment="1">
      <alignment horizontal="center" vertical="center" wrapText="1"/>
    </xf>
    <xf numFmtId="0" fontId="23" fillId="0" borderId="113" xfId="0" applyFont="1" applyFill="1" applyBorder="1" applyAlignment="1" applyProtection="1">
      <alignment horizontal="center" vertical="center" wrapText="1"/>
    </xf>
    <xf numFmtId="0" fontId="23" fillId="0" borderId="118" xfId="0" applyFont="1" applyFill="1" applyBorder="1" applyAlignment="1" applyProtection="1">
      <alignment horizontal="center" vertical="center" wrapText="1"/>
    </xf>
    <xf numFmtId="0" fontId="23" fillId="0" borderId="48" xfId="0" applyFont="1" applyFill="1" applyBorder="1" applyAlignment="1" applyProtection="1">
      <alignment horizontal="center" vertical="center" wrapText="1"/>
    </xf>
    <xf numFmtId="0" fontId="23" fillId="0" borderId="114" xfId="0" applyFont="1" applyFill="1" applyBorder="1" applyAlignment="1" applyProtection="1">
      <alignment horizontal="center" vertical="center" wrapText="1"/>
    </xf>
    <xf numFmtId="0" fontId="24" fillId="13" borderId="131" xfId="0" applyFont="1" applyFill="1" applyBorder="1" applyAlignment="1" applyProtection="1">
      <alignment horizontal="center" vertical="center"/>
      <protection locked="0"/>
    </xf>
    <xf numFmtId="0" fontId="24" fillId="13" borderId="132" xfId="0" applyFont="1" applyFill="1" applyBorder="1" applyAlignment="1" applyProtection="1">
      <alignment horizontal="center" vertical="center"/>
      <protection locked="0"/>
    </xf>
    <xf numFmtId="169" fontId="25" fillId="34" borderId="238" xfId="0" applyNumberFormat="1" applyFont="1" applyFill="1" applyBorder="1" applyAlignment="1" applyProtection="1">
      <alignment horizontal="center" vertical="center" wrapText="1"/>
    </xf>
    <xf numFmtId="169" fontId="25" fillId="34" borderId="239" xfId="0" applyNumberFormat="1" applyFont="1" applyFill="1" applyBorder="1" applyAlignment="1" applyProtection="1">
      <alignment horizontal="center" vertical="center" wrapText="1"/>
    </xf>
    <xf numFmtId="169" fontId="25" fillId="34" borderId="204" xfId="0" applyNumberFormat="1" applyFont="1" applyFill="1" applyBorder="1" applyAlignment="1" applyProtection="1">
      <alignment horizontal="center" vertical="center" wrapText="1"/>
    </xf>
    <xf numFmtId="0" fontId="24" fillId="16" borderId="36" xfId="0" applyFont="1" applyFill="1" applyBorder="1" applyAlignment="1" applyProtection="1">
      <alignment horizontal="center" vertical="center" wrapText="1"/>
    </xf>
    <xf numFmtId="0" fontId="24" fillId="16" borderId="53" xfId="0" applyFont="1" applyFill="1" applyBorder="1" applyAlignment="1" applyProtection="1">
      <alignment horizontal="center" vertical="center" wrapText="1"/>
    </xf>
    <xf numFmtId="169" fontId="25" fillId="34" borderId="196" xfId="0" applyNumberFormat="1" applyFont="1" applyFill="1" applyBorder="1" applyAlignment="1" applyProtection="1">
      <alignment horizontal="center" vertical="center" wrapText="1"/>
    </xf>
    <xf numFmtId="169" fontId="25" fillId="34" borderId="197" xfId="0" applyNumberFormat="1" applyFont="1" applyFill="1" applyBorder="1" applyAlignment="1" applyProtection="1">
      <alignment horizontal="center" vertical="center" wrapText="1"/>
    </xf>
    <xf numFmtId="169" fontId="25" fillId="34" borderId="167" xfId="0" applyNumberFormat="1" applyFont="1" applyFill="1" applyBorder="1" applyAlignment="1" applyProtection="1">
      <alignment horizontal="center" vertical="center" wrapText="1"/>
    </xf>
    <xf numFmtId="0" fontId="26" fillId="11" borderId="0" xfId="0" applyFont="1" applyFill="1" applyBorder="1" applyAlignment="1" applyProtection="1">
      <alignment horizontal="left" vertical="center" indent="2"/>
    </xf>
    <xf numFmtId="0" fontId="24" fillId="15" borderId="26" xfId="0" applyFont="1" applyFill="1" applyBorder="1" applyAlignment="1" applyProtection="1">
      <alignment horizontal="center" vertical="center" wrapText="1"/>
    </xf>
    <xf numFmtId="0" fontId="24" fillId="15" borderId="51" xfId="0" applyFont="1" applyFill="1" applyBorder="1" applyAlignment="1" applyProtection="1">
      <alignment horizontal="center" vertical="center" wrapText="1"/>
    </xf>
    <xf numFmtId="0" fontId="24" fillId="16" borderId="205" xfId="0" applyFont="1" applyFill="1" applyBorder="1" applyAlignment="1" applyProtection="1">
      <alignment horizontal="center" vertical="center" wrapText="1"/>
    </xf>
    <xf numFmtId="0" fontId="24" fillId="16" borderId="19" xfId="0" applyFont="1" applyFill="1" applyBorder="1" applyAlignment="1" applyProtection="1">
      <alignment horizontal="center" vertical="center" wrapText="1"/>
    </xf>
    <xf numFmtId="0" fontId="24" fillId="15" borderId="133" xfId="0" applyFont="1" applyFill="1" applyBorder="1" applyAlignment="1" applyProtection="1">
      <alignment horizontal="center" vertical="center" wrapText="1"/>
    </xf>
    <xf numFmtId="0" fontId="24" fillId="15" borderId="117" xfId="0" applyFont="1" applyFill="1" applyBorder="1" applyAlignment="1" applyProtection="1">
      <alignment horizontal="center" vertical="center" wrapText="1"/>
    </xf>
    <xf numFmtId="0" fontId="23" fillId="46" borderId="113" xfId="0" applyFont="1" applyFill="1" applyBorder="1" applyAlignment="1">
      <alignment horizontal="center" vertical="center" wrapText="1"/>
    </xf>
    <xf numFmtId="0" fontId="23" fillId="46" borderId="118" xfId="0" applyFont="1" applyFill="1" applyBorder="1" applyAlignment="1">
      <alignment horizontal="center" vertical="center" wrapText="1"/>
    </xf>
    <xf numFmtId="0" fontId="23" fillId="46" borderId="114" xfId="0" applyFont="1" applyFill="1" applyBorder="1" applyAlignment="1">
      <alignment horizontal="center" vertical="center" wrapText="1"/>
    </xf>
    <xf numFmtId="169" fontId="25" fillId="34" borderId="161" xfId="0" applyNumberFormat="1" applyFont="1" applyFill="1" applyBorder="1" applyAlignment="1" applyProtection="1">
      <alignment horizontal="center" vertical="center" wrapText="1"/>
    </xf>
    <xf numFmtId="169" fontId="25" fillId="34" borderId="168" xfId="0" applyNumberFormat="1" applyFont="1" applyFill="1" applyBorder="1" applyAlignment="1" applyProtection="1">
      <alignment horizontal="center" vertical="center" wrapText="1"/>
    </xf>
    <xf numFmtId="169" fontId="25" fillId="34" borderId="199" xfId="0" applyNumberFormat="1" applyFont="1" applyFill="1" applyBorder="1" applyAlignment="1" applyProtection="1">
      <alignment horizontal="center" vertical="center" wrapText="1"/>
    </xf>
    <xf numFmtId="169" fontId="14" fillId="15" borderId="183" xfId="0" applyNumberFormat="1" applyFont="1" applyFill="1" applyBorder="1" applyAlignment="1" applyProtection="1">
      <alignment horizontal="center" vertical="center" wrapText="1"/>
    </xf>
    <xf numFmtId="169" fontId="14" fillId="15" borderId="203" xfId="0" applyNumberFormat="1" applyFont="1" applyFill="1" applyBorder="1" applyAlignment="1" applyProtection="1">
      <alignment horizontal="center" vertical="center" wrapText="1"/>
    </xf>
    <xf numFmtId="169" fontId="14" fillId="15" borderId="204" xfId="0" applyNumberFormat="1" applyFont="1" applyFill="1" applyBorder="1" applyAlignment="1" applyProtection="1">
      <alignment horizontal="center" vertical="center" wrapText="1"/>
    </xf>
    <xf numFmtId="0" fontId="23" fillId="46" borderId="113" xfId="0" applyFont="1" applyFill="1" applyBorder="1" applyAlignment="1" applyProtection="1">
      <alignment horizontal="center" vertical="center" wrapText="1"/>
    </xf>
    <xf numFmtId="0" fontId="23" fillId="46" borderId="118" xfId="0" applyFont="1" applyFill="1" applyBorder="1" applyAlignment="1" applyProtection="1">
      <alignment horizontal="center" vertical="center" wrapText="1"/>
    </xf>
    <xf numFmtId="0" fontId="23" fillId="46" borderId="114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right" vertical="center"/>
    </xf>
    <xf numFmtId="0" fontId="43" fillId="53" borderId="195" xfId="0" applyFont="1" applyFill="1" applyBorder="1" applyAlignment="1" applyProtection="1">
      <alignment horizontal="center" vertical="center" wrapText="1"/>
    </xf>
    <xf numFmtId="0" fontId="43" fillId="53" borderId="215" xfId="0" applyFont="1" applyFill="1" applyBorder="1" applyAlignment="1" applyProtection="1">
      <alignment horizontal="center" vertical="center" wrapText="1"/>
    </xf>
    <xf numFmtId="0" fontId="44" fillId="37" borderId="179" xfId="0" applyFont="1" applyFill="1" applyBorder="1" applyAlignment="1" applyProtection="1">
      <alignment horizontal="center" vertical="center"/>
    </xf>
    <xf numFmtId="0" fontId="44" fillId="37" borderId="157" xfId="0" applyFont="1" applyFill="1" applyBorder="1" applyAlignment="1" applyProtection="1">
      <alignment horizontal="center" vertical="center"/>
    </xf>
    <xf numFmtId="175" fontId="25" fillId="30" borderId="19" xfId="12" applyNumberFormat="1" applyFont="1" applyFill="1" applyBorder="1" applyAlignment="1" applyProtection="1">
      <alignment horizontal="right" vertical="center" wrapText="1"/>
    </xf>
    <xf numFmtId="175" fontId="25" fillId="30" borderId="25" xfId="12" applyNumberFormat="1" applyFont="1" applyFill="1" applyBorder="1" applyAlignment="1" applyProtection="1">
      <alignment horizontal="right" vertical="center" wrapText="1"/>
    </xf>
    <xf numFmtId="167" fontId="14" fillId="18" borderId="190" xfId="13" applyFont="1" applyFill="1" applyBorder="1" applyAlignment="1" applyProtection="1">
      <alignment horizontal="center" vertical="center" wrapText="1"/>
    </xf>
    <xf numFmtId="167" fontId="14" fillId="18" borderId="63" xfId="13" applyFont="1" applyFill="1" applyBorder="1" applyAlignment="1" applyProtection="1">
      <alignment horizontal="center" vertical="center" wrapText="1"/>
    </xf>
    <xf numFmtId="0" fontId="12" fillId="17" borderId="16" xfId="0" applyFont="1" applyFill="1" applyBorder="1" applyAlignment="1" applyProtection="1">
      <alignment horizontal="left" vertical="center"/>
    </xf>
    <xf numFmtId="0" fontId="12" fillId="17" borderId="14" xfId="0" applyFont="1" applyFill="1" applyBorder="1" applyAlignment="1" applyProtection="1">
      <alignment horizontal="left" vertical="center"/>
    </xf>
    <xf numFmtId="0" fontId="24" fillId="0" borderId="200" xfId="0" applyFont="1" applyFill="1" applyBorder="1" applyAlignment="1" applyProtection="1">
      <alignment horizontal="center" vertical="center" wrapText="1"/>
    </xf>
    <xf numFmtId="0" fontId="12" fillId="16" borderId="60" xfId="0" applyFont="1" applyFill="1" applyBorder="1" applyAlignment="1" applyProtection="1">
      <alignment horizontal="center" vertical="center"/>
    </xf>
    <xf numFmtId="0" fontId="12" fillId="16" borderId="5" xfId="0" applyFont="1" applyFill="1" applyBorder="1" applyAlignment="1" applyProtection="1">
      <alignment horizontal="center" vertical="center"/>
    </xf>
    <xf numFmtId="0" fontId="14" fillId="17" borderId="186" xfId="0" applyFont="1" applyFill="1" applyBorder="1" applyAlignment="1" applyProtection="1">
      <alignment horizontal="center" vertical="center"/>
    </xf>
    <xf numFmtId="0" fontId="14" fillId="17" borderId="220" xfId="0" applyFont="1" applyFill="1" applyBorder="1" applyAlignment="1" applyProtection="1">
      <alignment horizontal="center" vertical="center"/>
    </xf>
    <xf numFmtId="0" fontId="12" fillId="15" borderId="189" xfId="0" applyFont="1" applyFill="1" applyBorder="1" applyAlignment="1" applyProtection="1">
      <alignment horizontal="center" vertical="center"/>
    </xf>
    <xf numFmtId="0" fontId="12" fillId="15" borderId="144" xfId="0" applyFont="1" applyFill="1" applyBorder="1" applyAlignment="1" applyProtection="1">
      <alignment horizontal="center" vertical="center"/>
    </xf>
    <xf numFmtId="0" fontId="12" fillId="16" borderId="200" xfId="0" applyFont="1" applyFill="1" applyBorder="1" applyAlignment="1" applyProtection="1">
      <alignment horizontal="center" vertical="center" wrapText="1"/>
    </xf>
    <xf numFmtId="0" fontId="12" fillId="17" borderId="200" xfId="0" applyFont="1" applyFill="1" applyBorder="1" applyAlignment="1" applyProtection="1">
      <alignment horizontal="center" vertical="center"/>
    </xf>
    <xf numFmtId="0" fontId="24" fillId="12" borderId="31" xfId="0" applyFont="1" applyFill="1" applyBorder="1" applyAlignment="1" applyProtection="1">
      <alignment horizontal="center" vertical="center"/>
    </xf>
    <xf numFmtId="0" fontId="24" fillId="12" borderId="21" xfId="0" applyFont="1" applyFill="1" applyBorder="1" applyAlignment="1" applyProtection="1">
      <alignment horizontal="center" vertical="center"/>
    </xf>
    <xf numFmtId="0" fontId="14" fillId="17" borderId="8" xfId="0" applyFont="1" applyFill="1" applyBorder="1" applyAlignment="1" applyProtection="1">
      <alignment horizontal="center" vertical="center"/>
    </xf>
    <xf numFmtId="0" fontId="14" fillId="17" borderId="13" xfId="0" applyFont="1" applyFill="1" applyBorder="1" applyAlignment="1" applyProtection="1">
      <alignment horizontal="center" vertical="center"/>
    </xf>
    <xf numFmtId="0" fontId="12" fillId="16" borderId="8" xfId="0" applyFont="1" applyFill="1" applyBorder="1" applyAlignment="1" applyProtection="1">
      <alignment horizontal="center" vertical="center"/>
    </xf>
    <xf numFmtId="0" fontId="12" fillId="17" borderId="106" xfId="0" applyFont="1" applyFill="1" applyBorder="1" applyAlignment="1" applyProtection="1">
      <alignment horizontal="center" vertical="center"/>
    </xf>
    <xf numFmtId="0" fontId="12" fillId="16" borderId="106" xfId="0" applyFont="1" applyFill="1" applyBorder="1" applyAlignment="1" applyProtection="1">
      <alignment horizontal="center" vertical="center" wrapText="1"/>
    </xf>
    <xf numFmtId="167" fontId="14" fillId="18" borderId="138" xfId="13" applyFont="1" applyFill="1" applyBorder="1" applyAlignment="1" applyProtection="1">
      <alignment horizontal="center" vertical="center" wrapText="1"/>
    </xf>
    <xf numFmtId="0" fontId="12" fillId="15" borderId="103" xfId="0" applyFont="1" applyFill="1" applyBorder="1" applyAlignment="1" applyProtection="1">
      <alignment horizontal="center" vertical="center"/>
    </xf>
    <xf numFmtId="178" fontId="0" fillId="26" borderId="113" xfId="0" applyNumberFormat="1" applyFont="1" applyFill="1" applyBorder="1" applyAlignment="1" applyProtection="1">
      <alignment horizontal="center" vertical="center"/>
    </xf>
    <xf numFmtId="178" fontId="0" fillId="26" borderId="84" xfId="0" applyNumberFormat="1" applyFont="1" applyFill="1" applyBorder="1" applyAlignment="1" applyProtection="1">
      <alignment horizontal="center" vertical="center"/>
    </xf>
    <xf numFmtId="0" fontId="11" fillId="48" borderId="114" xfId="0" applyFont="1" applyFill="1" applyBorder="1" applyAlignment="1" applyProtection="1">
      <alignment horizontal="center" vertical="center"/>
    </xf>
    <xf numFmtId="0" fontId="11" fillId="48" borderId="124" xfId="0" applyFont="1" applyFill="1" applyBorder="1" applyAlignment="1" applyProtection="1">
      <alignment horizontal="center" vertical="center"/>
    </xf>
    <xf numFmtId="0" fontId="11" fillId="47" borderId="114" xfId="0" applyFont="1" applyFill="1" applyBorder="1" applyAlignment="1" applyProtection="1">
      <alignment horizontal="center" vertical="center"/>
    </xf>
    <xf numFmtId="0" fontId="11" fillId="47" borderId="124" xfId="0" applyFont="1" applyFill="1" applyBorder="1" applyAlignment="1" applyProtection="1">
      <alignment horizontal="center" vertical="center"/>
    </xf>
    <xf numFmtId="178" fontId="0" fillId="26" borderId="85" xfId="0" applyNumberFormat="1" applyFont="1" applyFill="1" applyBorder="1" applyAlignment="1" applyProtection="1">
      <alignment horizontal="center" vertical="center"/>
    </xf>
    <xf numFmtId="0" fontId="14" fillId="16" borderId="182" xfId="0" applyFont="1" applyFill="1" applyBorder="1" applyAlignment="1" applyProtection="1">
      <alignment horizontal="center" vertical="center" wrapText="1"/>
    </xf>
    <xf numFmtId="0" fontId="14" fillId="16" borderId="52" xfId="0" applyFont="1" applyFill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center" vertical="center" wrapText="1"/>
    </xf>
    <xf numFmtId="0" fontId="12" fillId="16" borderId="69" xfId="0" applyFont="1" applyFill="1" applyBorder="1" applyAlignment="1" applyProtection="1">
      <alignment horizontal="center" vertical="center" wrapText="1"/>
    </xf>
    <xf numFmtId="0" fontId="19" fillId="48" borderId="113" xfId="0" applyFont="1" applyFill="1" applyBorder="1" applyAlignment="1" applyProtection="1">
      <alignment horizontal="center" vertical="center"/>
    </xf>
    <xf numFmtId="0" fontId="19" fillId="48" borderId="84" xfId="0" applyFont="1" applyFill="1" applyBorder="1" applyAlignment="1" applyProtection="1">
      <alignment horizontal="center" vertical="center"/>
    </xf>
    <xf numFmtId="0" fontId="19" fillId="47" borderId="113" xfId="0" applyFont="1" applyFill="1" applyBorder="1" applyAlignment="1" applyProtection="1">
      <alignment horizontal="center" vertical="center"/>
    </xf>
    <xf numFmtId="0" fontId="19" fillId="47" borderId="84" xfId="0" applyFont="1" applyFill="1" applyBorder="1" applyAlignment="1" applyProtection="1">
      <alignment horizontal="center" vertical="center"/>
    </xf>
    <xf numFmtId="0" fontId="11" fillId="14" borderId="114" xfId="0" applyFont="1" applyFill="1" applyBorder="1" applyAlignment="1" applyProtection="1">
      <alignment horizontal="center" vertical="center"/>
    </xf>
    <xf numFmtId="0" fontId="11" fillId="14" borderId="124" xfId="0" applyFont="1" applyFill="1" applyBorder="1" applyAlignment="1" applyProtection="1">
      <alignment horizontal="center" vertical="center"/>
    </xf>
    <xf numFmtId="0" fontId="19" fillId="14" borderId="83" xfId="0" applyFont="1" applyFill="1" applyBorder="1" applyAlignment="1" applyProtection="1">
      <alignment horizontal="center" vertical="center"/>
    </xf>
    <xf numFmtId="0" fontId="19" fillId="14" borderId="73" xfId="0" applyFont="1" applyFill="1" applyBorder="1" applyAlignment="1" applyProtection="1">
      <alignment horizontal="center" vertical="center"/>
    </xf>
    <xf numFmtId="0" fontId="19" fillId="48" borderId="83" xfId="0" applyFont="1" applyFill="1" applyBorder="1" applyAlignment="1" applyProtection="1">
      <alignment horizontal="center" vertical="center"/>
    </xf>
    <xf numFmtId="0" fontId="19" fillId="48" borderId="105" xfId="0" applyFont="1" applyFill="1" applyBorder="1" applyAlignment="1" applyProtection="1">
      <alignment horizontal="center" vertical="center"/>
    </xf>
    <xf numFmtId="0" fontId="19" fillId="47" borderId="85" xfId="0" applyFont="1" applyFill="1" applyBorder="1" applyAlignment="1" applyProtection="1">
      <alignment horizontal="center" vertical="center"/>
    </xf>
    <xf numFmtId="0" fontId="19" fillId="47" borderId="105" xfId="0" applyFont="1" applyFill="1" applyBorder="1" applyAlignment="1" applyProtection="1">
      <alignment horizontal="center" vertical="center"/>
    </xf>
    <xf numFmtId="0" fontId="19" fillId="14" borderId="113" xfId="0" applyFont="1" applyFill="1" applyBorder="1" applyAlignment="1" applyProtection="1">
      <alignment horizontal="center" vertical="center"/>
    </xf>
    <xf numFmtId="0" fontId="19" fillId="14" borderId="84" xfId="0" applyFont="1" applyFill="1" applyBorder="1" applyAlignment="1" applyProtection="1">
      <alignment horizontal="center" vertical="center"/>
    </xf>
    <xf numFmtId="0" fontId="24" fillId="47" borderId="72" xfId="0" applyFont="1" applyFill="1" applyBorder="1" applyAlignment="1" applyProtection="1">
      <alignment horizontal="center" vertical="center" textRotation="90" wrapText="1"/>
    </xf>
    <xf numFmtId="0" fontId="24" fillId="47" borderId="74" xfId="0" applyFont="1" applyFill="1" applyBorder="1" applyAlignment="1" applyProtection="1">
      <alignment horizontal="center" vertical="center" textRotation="90" wrapText="1"/>
    </xf>
    <xf numFmtId="0" fontId="24" fillId="47" borderId="52" xfId="0" applyFont="1" applyFill="1" applyBorder="1" applyAlignment="1" applyProtection="1">
      <alignment horizontal="center" vertical="center" textRotation="90" wrapText="1"/>
    </xf>
    <xf numFmtId="0" fontId="24" fillId="47" borderId="72" xfId="0" applyFont="1" applyFill="1" applyBorder="1" applyAlignment="1" applyProtection="1">
      <alignment horizontal="left" vertical="center" wrapText="1"/>
    </xf>
    <xf numFmtId="0" fontId="24" fillId="47" borderId="74" xfId="0" applyFont="1" applyFill="1" applyBorder="1" applyAlignment="1" applyProtection="1">
      <alignment horizontal="left" vertical="center" wrapText="1"/>
    </xf>
    <xf numFmtId="0" fontId="24" fillId="47" borderId="52" xfId="0" applyFont="1" applyFill="1" applyBorder="1" applyAlignment="1" applyProtection="1">
      <alignment horizontal="left" vertical="center" wrapText="1"/>
    </xf>
    <xf numFmtId="0" fontId="27" fillId="47" borderId="77" xfId="0" applyFont="1" applyFill="1" applyBorder="1" applyAlignment="1" applyProtection="1">
      <alignment horizontal="center" vertical="center" textRotation="90" wrapText="1"/>
    </xf>
    <xf numFmtId="0" fontId="27" fillId="47" borderId="65" xfId="0" applyFont="1" applyFill="1" applyBorder="1" applyAlignment="1" applyProtection="1">
      <alignment horizontal="center" vertical="center" textRotation="90" wrapText="1"/>
    </xf>
    <xf numFmtId="0" fontId="27" fillId="47" borderId="61" xfId="0" applyFont="1" applyFill="1" applyBorder="1" applyAlignment="1" applyProtection="1">
      <alignment horizontal="center" vertical="center" textRotation="90" wrapText="1"/>
    </xf>
    <xf numFmtId="0" fontId="24" fillId="12" borderId="78" xfId="0" applyFont="1" applyFill="1" applyBorder="1" applyAlignment="1" applyProtection="1">
      <alignment horizontal="left" vertical="center" wrapText="1"/>
      <protection locked="0"/>
    </xf>
    <xf numFmtId="0" fontId="24" fillId="12" borderId="79" xfId="0" applyFont="1" applyFill="1" applyBorder="1" applyAlignment="1" applyProtection="1">
      <alignment horizontal="left" vertical="center" wrapText="1"/>
      <protection locked="0"/>
    </xf>
    <xf numFmtId="0" fontId="24" fillId="12" borderId="76" xfId="0" applyFont="1" applyFill="1" applyBorder="1" applyAlignment="1" applyProtection="1">
      <alignment horizontal="left" vertical="center" wrapText="1"/>
      <protection locked="0"/>
    </xf>
    <xf numFmtId="0" fontId="24" fillId="12" borderId="72" xfId="0" applyFont="1" applyFill="1" applyBorder="1" applyAlignment="1" applyProtection="1">
      <alignment horizontal="left" vertical="center" wrapText="1"/>
      <protection locked="0"/>
    </xf>
    <xf numFmtId="0" fontId="24" fillId="12" borderId="115" xfId="0" applyFont="1" applyFill="1" applyBorder="1" applyAlignment="1" applyProtection="1">
      <alignment horizontal="left" vertical="center" wrapText="1"/>
      <protection locked="0"/>
    </xf>
    <xf numFmtId="0" fontId="24" fillId="12" borderId="74" xfId="0" applyFont="1" applyFill="1" applyBorder="1" applyAlignment="1" applyProtection="1">
      <alignment horizontal="left" vertical="center" wrapText="1"/>
      <protection locked="0"/>
    </xf>
    <xf numFmtId="0" fontId="24" fillId="12" borderId="52" xfId="0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 applyProtection="1">
      <alignment horizontal="center" vertical="center"/>
    </xf>
    <xf numFmtId="0" fontId="14" fillId="17" borderId="23" xfId="0" applyFont="1" applyFill="1" applyBorder="1" applyAlignment="1" applyProtection="1">
      <alignment horizontal="center" vertical="center" wrapText="1"/>
    </xf>
    <xf numFmtId="0" fontId="14" fillId="17" borderId="88" xfId="0" applyFont="1" applyFill="1" applyBorder="1" applyAlignment="1" applyProtection="1">
      <alignment horizontal="center" vertical="center" wrapText="1"/>
    </xf>
    <xf numFmtId="0" fontId="12" fillId="15" borderId="23" xfId="0" applyFont="1" applyFill="1" applyBorder="1" applyAlignment="1" applyProtection="1">
      <alignment horizontal="center" vertical="center" wrapText="1"/>
    </xf>
    <xf numFmtId="0" fontId="12" fillId="15" borderId="88" xfId="0" applyFont="1" applyFill="1" applyBorder="1" applyAlignment="1" applyProtection="1">
      <alignment horizontal="center" vertical="center" wrapText="1"/>
    </xf>
    <xf numFmtId="0" fontId="14" fillId="26" borderId="47" xfId="0" applyFont="1" applyFill="1" applyBorder="1" applyAlignment="1" applyProtection="1">
      <alignment horizontal="center" vertical="center" wrapText="1"/>
    </xf>
    <xf numFmtId="0" fontId="14" fillId="26" borderId="74" xfId="0" applyFont="1" applyFill="1" applyBorder="1" applyAlignment="1" applyProtection="1">
      <alignment horizontal="center" vertical="center" wrapText="1"/>
    </xf>
    <xf numFmtId="0" fontId="19" fillId="14" borderId="121" xfId="0" applyFont="1" applyFill="1" applyBorder="1" applyAlignment="1" applyProtection="1">
      <alignment horizontal="center" vertical="center"/>
    </xf>
    <xf numFmtId="0" fontId="19" fillId="47" borderId="121" xfId="0" applyFont="1" applyFill="1" applyBorder="1" applyAlignment="1" applyProtection="1">
      <alignment horizontal="center" vertical="center"/>
    </xf>
    <xf numFmtId="0" fontId="19" fillId="47" borderId="205" xfId="0" applyFont="1" applyFill="1" applyBorder="1" applyAlignment="1" applyProtection="1">
      <alignment horizontal="center" vertical="center"/>
    </xf>
    <xf numFmtId="0" fontId="14" fillId="16" borderId="40" xfId="0" applyFont="1" applyFill="1" applyBorder="1" applyAlignment="1" applyProtection="1">
      <alignment horizontal="center" vertical="center" wrapText="1"/>
    </xf>
    <xf numFmtId="0" fontId="14" fillId="16" borderId="44" xfId="0" applyFont="1" applyFill="1" applyBorder="1" applyAlignment="1" applyProtection="1">
      <alignment horizontal="center" vertical="center" wrapText="1"/>
    </xf>
    <xf numFmtId="0" fontId="14" fillId="16" borderId="48" xfId="0" applyFont="1" applyFill="1" applyBorder="1" applyAlignment="1" applyProtection="1">
      <alignment horizontal="center" vertical="center" wrapText="1"/>
    </xf>
    <xf numFmtId="0" fontId="14" fillId="16" borderId="49" xfId="0" applyFont="1" applyFill="1" applyBorder="1" applyAlignment="1" applyProtection="1">
      <alignment horizontal="center" vertical="center" wrapText="1"/>
    </xf>
    <xf numFmtId="0" fontId="14" fillId="16" borderId="37" xfId="0" applyFont="1" applyFill="1" applyBorder="1" applyAlignment="1" applyProtection="1">
      <alignment horizontal="center" vertical="center"/>
    </xf>
    <xf numFmtId="0" fontId="14" fillId="16" borderId="7" xfId="0" applyFont="1" applyFill="1" applyBorder="1" applyAlignment="1" applyProtection="1">
      <alignment horizontal="center" vertical="center"/>
    </xf>
    <xf numFmtId="0" fontId="14" fillId="16" borderId="37" xfId="0" applyFont="1" applyFill="1" applyBorder="1" applyAlignment="1" applyProtection="1">
      <alignment horizontal="center" vertical="center" wrapText="1"/>
    </xf>
    <xf numFmtId="0" fontId="14" fillId="16" borderId="7" xfId="0" applyFont="1" applyFill="1" applyBorder="1" applyAlignment="1" applyProtection="1">
      <alignment horizontal="center" vertical="center" wrapText="1"/>
    </xf>
    <xf numFmtId="0" fontId="23" fillId="16" borderId="38" xfId="0" applyFont="1" applyFill="1" applyBorder="1" applyAlignment="1" applyProtection="1">
      <alignment horizontal="center" vertical="center" wrapText="1"/>
    </xf>
    <xf numFmtId="0" fontId="23" fillId="16" borderId="45" xfId="0" applyFont="1" applyFill="1" applyBorder="1" applyAlignment="1" applyProtection="1">
      <alignment horizontal="center" vertical="center" wrapText="1"/>
    </xf>
    <xf numFmtId="0" fontId="23" fillId="16" borderId="46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/>
    </xf>
    <xf numFmtId="0" fontId="24" fillId="44" borderId="183" xfId="0" applyFont="1" applyFill="1" applyBorder="1" applyAlignment="1">
      <alignment horizontal="left" vertical="center" wrapText="1"/>
    </xf>
    <xf numFmtId="0" fontId="24" fillId="44" borderId="118" xfId="0" applyFont="1" applyFill="1" applyBorder="1" applyAlignment="1">
      <alignment horizontal="left" vertical="center" wrapText="1"/>
    </xf>
    <xf numFmtId="0" fontId="24" fillId="44" borderId="184" xfId="0" applyFont="1" applyFill="1" applyBorder="1" applyAlignment="1">
      <alignment horizontal="left" vertical="center" wrapText="1"/>
    </xf>
    <xf numFmtId="0" fontId="24" fillId="0" borderId="183" xfId="0" applyFont="1" applyFill="1" applyBorder="1" applyAlignment="1" applyProtection="1">
      <alignment horizontal="left" vertical="center" wrapText="1"/>
    </xf>
    <xf numFmtId="0" fontId="24" fillId="0" borderId="118" xfId="0" applyFont="1" applyFill="1" applyBorder="1" applyAlignment="1" applyProtection="1">
      <alignment horizontal="left" vertical="center" wrapText="1"/>
    </xf>
    <xf numFmtId="0" fontId="24" fillId="0" borderId="184" xfId="0" applyFont="1" applyFill="1" applyBorder="1" applyAlignment="1" applyProtection="1">
      <alignment horizontal="left" vertical="center" wrapText="1"/>
    </xf>
    <xf numFmtId="0" fontId="24" fillId="16" borderId="211" xfId="0" applyFont="1" applyFill="1" applyBorder="1" applyAlignment="1" applyProtection="1">
      <alignment horizontal="center" vertical="center"/>
    </xf>
    <xf numFmtId="0" fontId="24" fillId="16" borderId="212" xfId="0" applyFont="1" applyFill="1" applyBorder="1" applyAlignment="1" applyProtection="1">
      <alignment horizontal="center" vertical="center"/>
    </xf>
    <xf numFmtId="0" fontId="24" fillId="12" borderId="11" xfId="0" applyFont="1" applyFill="1" applyBorder="1" applyAlignment="1" applyProtection="1">
      <alignment horizontal="center" vertical="center"/>
      <protection locked="0"/>
    </xf>
    <xf numFmtId="0" fontId="24" fillId="12" borderId="12" xfId="0" applyFont="1" applyFill="1" applyBorder="1" applyAlignment="1" applyProtection="1">
      <alignment horizontal="center" vertical="center"/>
      <protection locked="0"/>
    </xf>
    <xf numFmtId="169" fontId="24" fillId="17" borderId="209" xfId="0" applyNumberFormat="1" applyFont="1" applyFill="1" applyBorder="1" applyAlignment="1" applyProtection="1">
      <alignment horizontal="center" vertical="center" wrapText="1"/>
    </xf>
    <xf numFmtId="169" fontId="24" fillId="17" borderId="197" xfId="0" applyNumberFormat="1" applyFont="1" applyFill="1" applyBorder="1" applyAlignment="1" applyProtection="1">
      <alignment horizontal="center" vertical="center" wrapText="1"/>
    </xf>
    <xf numFmtId="169" fontId="24" fillId="17" borderId="210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left" vertical="center" indent="2"/>
    </xf>
    <xf numFmtId="0" fontId="14" fillId="15" borderId="78" xfId="0" applyFont="1" applyFill="1" applyBorder="1" applyAlignment="1" applyProtection="1">
      <alignment horizontal="center" vertical="center" wrapText="1"/>
    </xf>
    <xf numFmtId="0" fontId="14" fillId="15" borderId="80" xfId="0" applyFont="1" applyFill="1" applyBorder="1" applyAlignment="1" applyProtection="1">
      <alignment horizontal="center" vertical="center" wrapText="1"/>
    </xf>
    <xf numFmtId="0" fontId="14" fillId="15" borderId="84" xfId="0" applyFont="1" applyFill="1" applyBorder="1" applyAlignment="1" applyProtection="1">
      <alignment horizontal="center" vertical="center" wrapText="1"/>
    </xf>
    <xf numFmtId="0" fontId="14" fillId="15" borderId="43" xfId="0" applyFont="1" applyFill="1" applyBorder="1" applyAlignment="1" applyProtection="1">
      <alignment horizontal="center" vertical="center" wrapText="1"/>
    </xf>
    <xf numFmtId="0" fontId="24" fillId="11" borderId="133" xfId="0" applyFont="1" applyFill="1" applyBorder="1" applyAlignment="1" applyProtection="1">
      <alignment horizontal="center" vertical="center" wrapText="1"/>
    </xf>
    <xf numFmtId="0" fontId="24" fillId="11" borderId="134" xfId="0" applyFont="1" applyFill="1" applyBorder="1" applyAlignment="1" applyProtection="1">
      <alignment horizontal="center" vertical="center" wrapText="1"/>
    </xf>
    <xf numFmtId="0" fontId="24" fillId="11" borderId="135" xfId="0" applyFont="1" applyFill="1" applyBorder="1" applyAlignment="1" applyProtection="1">
      <alignment horizontal="center" vertical="center" wrapText="1"/>
    </xf>
    <xf numFmtId="178" fontId="24" fillId="29" borderId="133" xfId="0" applyNumberFormat="1" applyFont="1" applyFill="1" applyBorder="1" applyAlignment="1" applyProtection="1">
      <alignment horizontal="right" vertical="center"/>
    </xf>
    <xf numFmtId="178" fontId="24" fillId="29" borderId="134" xfId="0" applyNumberFormat="1" applyFont="1" applyFill="1" applyBorder="1" applyAlignment="1" applyProtection="1">
      <alignment horizontal="right" vertical="center"/>
    </xf>
    <xf numFmtId="178" fontId="24" fillId="29" borderId="135" xfId="0" applyNumberFormat="1" applyFont="1" applyFill="1" applyBorder="1" applyAlignment="1" applyProtection="1">
      <alignment horizontal="right" vertical="center"/>
    </xf>
    <xf numFmtId="0" fontId="14" fillId="27" borderId="133" xfId="0" applyFont="1" applyFill="1" applyBorder="1" applyAlignment="1" applyProtection="1">
      <alignment horizontal="center" vertical="center" wrapText="1"/>
    </xf>
    <xf numFmtId="0" fontId="14" fillId="27" borderId="135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/>
    </xf>
    <xf numFmtId="0" fontId="24" fillId="11" borderId="113" xfId="0" applyFont="1" applyFill="1" applyBorder="1" applyAlignment="1" applyProtection="1">
      <alignment horizontal="center" vertical="center" wrapText="1"/>
    </xf>
    <xf numFmtId="0" fontId="24" fillId="11" borderId="208" xfId="0" applyFont="1" applyFill="1" applyBorder="1" applyAlignment="1" applyProtection="1">
      <alignment horizontal="center" vertical="center" wrapText="1"/>
    </xf>
    <xf numFmtId="0" fontId="24" fillId="11" borderId="114" xfId="0" applyFont="1" applyFill="1" applyBorder="1" applyAlignment="1" applyProtection="1">
      <alignment horizontal="center" vertical="center" wrapText="1"/>
    </xf>
    <xf numFmtId="0" fontId="14" fillId="16" borderId="217" xfId="0" applyFont="1" applyFill="1" applyBorder="1" applyAlignment="1" applyProtection="1">
      <alignment horizontal="center" vertical="center" wrapText="1"/>
    </xf>
    <xf numFmtId="0" fontId="14" fillId="16" borderId="235" xfId="0" applyFont="1" applyFill="1" applyBorder="1" applyAlignment="1" applyProtection="1">
      <alignment horizontal="center" vertical="center" wrapText="1"/>
    </xf>
    <xf numFmtId="0" fontId="14" fillId="16" borderId="218" xfId="0" applyFont="1" applyFill="1" applyBorder="1" applyAlignment="1" applyProtection="1">
      <alignment horizontal="center" vertical="center" wrapText="1"/>
    </xf>
    <xf numFmtId="0" fontId="14" fillId="16" borderId="242" xfId="0" applyFont="1" applyFill="1" applyBorder="1" applyAlignment="1" applyProtection="1">
      <alignment horizontal="center" vertical="center" wrapText="1"/>
    </xf>
    <xf numFmtId="0" fontId="14" fillId="16" borderId="216" xfId="0" applyFont="1" applyFill="1" applyBorder="1" applyAlignment="1" applyProtection="1">
      <alignment horizontal="center" vertical="center" wrapText="1"/>
    </xf>
    <xf numFmtId="0" fontId="14" fillId="16" borderId="122" xfId="0" applyFont="1" applyFill="1" applyBorder="1" applyAlignment="1" applyProtection="1">
      <alignment horizontal="center" vertical="center" wrapText="1"/>
    </xf>
    <xf numFmtId="0" fontId="14" fillId="16" borderId="102" xfId="0" applyFont="1" applyFill="1" applyBorder="1" applyAlignment="1" applyProtection="1">
      <alignment horizontal="center" vertical="center" wrapText="1"/>
    </xf>
    <xf numFmtId="0" fontId="14" fillId="16" borderId="133" xfId="0" applyFont="1" applyFill="1" applyBorder="1" applyAlignment="1" applyProtection="1">
      <alignment horizontal="center" vertical="center" wrapText="1"/>
    </xf>
    <xf numFmtId="0" fontId="14" fillId="16" borderId="135" xfId="0" applyFont="1" applyFill="1" applyBorder="1" applyAlignment="1" applyProtection="1">
      <alignment horizontal="center" vertical="center" wrapText="1"/>
    </xf>
    <xf numFmtId="178" fontId="29" fillId="11" borderId="48" xfId="0" applyNumberFormat="1" applyFont="1" applyFill="1" applyBorder="1" applyAlignment="1" applyProtection="1">
      <alignment horizontal="center" vertical="center"/>
    </xf>
    <xf numFmtId="178" fontId="29" fillId="11" borderId="0" xfId="0" applyNumberFormat="1" applyFont="1" applyFill="1" applyBorder="1" applyAlignment="1" applyProtection="1">
      <alignment horizontal="center" vertical="center"/>
    </xf>
    <xf numFmtId="0" fontId="14" fillId="16" borderId="216" xfId="0" applyFont="1" applyFill="1" applyBorder="1" applyAlignment="1" applyProtection="1">
      <alignment horizontal="center" vertical="center"/>
    </xf>
    <xf numFmtId="0" fontId="14" fillId="16" borderId="34" xfId="0" applyFont="1" applyFill="1" applyBorder="1" applyAlignment="1" applyProtection="1">
      <alignment horizontal="center" vertical="center"/>
    </xf>
    <xf numFmtId="0" fontId="14" fillId="16" borderId="217" xfId="0" applyFont="1" applyFill="1" applyBorder="1" applyAlignment="1" applyProtection="1">
      <alignment horizontal="center" vertical="center"/>
    </xf>
    <xf numFmtId="0" fontId="14" fillId="16" borderId="235" xfId="0" applyFont="1" applyFill="1" applyBorder="1" applyAlignment="1" applyProtection="1">
      <alignment horizontal="center" vertical="center"/>
    </xf>
    <xf numFmtId="0" fontId="23" fillId="0" borderId="40" xfId="0" applyFont="1" applyFill="1" applyBorder="1" applyAlignment="1" applyProtection="1">
      <alignment horizontal="center" vertical="center" wrapText="1"/>
    </xf>
    <xf numFmtId="0" fontId="0" fillId="0" borderId="118" xfId="0" applyBorder="1" applyAlignment="1">
      <alignment vertical="center"/>
    </xf>
    <xf numFmtId="0" fontId="0" fillId="0" borderId="184" xfId="0" applyBorder="1" applyAlignment="1">
      <alignment vertical="center"/>
    </xf>
    <xf numFmtId="0" fontId="14" fillId="16" borderId="100" xfId="0" applyFont="1" applyFill="1" applyBorder="1" applyAlignment="1" applyProtection="1">
      <alignment horizontal="center" vertical="center" wrapText="1"/>
    </xf>
    <xf numFmtId="0" fontId="14" fillId="16" borderId="101" xfId="0" applyFont="1" applyFill="1" applyBorder="1" applyAlignment="1" applyProtection="1">
      <alignment horizontal="center" vertical="center" wrapText="1"/>
    </xf>
    <xf numFmtId="0" fontId="24" fillId="12" borderId="9" xfId="0" applyFont="1" applyFill="1" applyBorder="1" applyAlignment="1" applyProtection="1">
      <alignment horizontal="center" vertical="center"/>
      <protection locked="0"/>
    </xf>
    <xf numFmtId="0" fontId="24" fillId="12" borderId="10" xfId="0" applyFont="1" applyFill="1" applyBorder="1" applyAlignment="1" applyProtection="1">
      <alignment horizontal="center" vertical="center"/>
      <protection locked="0"/>
    </xf>
    <xf numFmtId="0" fontId="14" fillId="16" borderId="137" xfId="0" applyFont="1" applyFill="1" applyBorder="1" applyAlignment="1" applyProtection="1">
      <alignment horizontal="center" vertical="center"/>
    </xf>
    <xf numFmtId="0" fontId="14" fillId="16" borderId="99" xfId="0" applyFont="1" applyFill="1" applyBorder="1" applyAlignment="1" applyProtection="1">
      <alignment horizontal="center" vertical="center"/>
    </xf>
    <xf numFmtId="0" fontId="24" fillId="15" borderId="92" xfId="0" applyFont="1" applyFill="1" applyBorder="1" applyAlignment="1" applyProtection="1">
      <alignment horizontal="center" vertical="center" wrapText="1"/>
    </xf>
    <xf numFmtId="0" fontId="24" fillId="15" borderId="185" xfId="0" applyFont="1" applyFill="1" applyBorder="1" applyAlignment="1" applyProtection="1">
      <alignment horizontal="center" vertical="center" wrapText="1"/>
    </xf>
    <xf numFmtId="0" fontId="24" fillId="15" borderId="96" xfId="0" applyFont="1" applyFill="1" applyBorder="1" applyAlignment="1" applyProtection="1">
      <alignment horizontal="center" vertical="center" wrapText="1"/>
    </xf>
    <xf numFmtId="0" fontId="24" fillId="15" borderId="191" xfId="0" applyFont="1" applyFill="1" applyBorder="1" applyAlignment="1" applyProtection="1">
      <alignment horizontal="center" vertical="center" wrapText="1"/>
    </xf>
    <xf numFmtId="0" fontId="14" fillId="16" borderId="139" xfId="0" applyFont="1" applyFill="1" applyBorder="1" applyAlignment="1" applyProtection="1">
      <alignment horizontal="center" vertical="center"/>
    </xf>
    <xf numFmtId="0" fontId="14" fillId="16" borderId="95" xfId="0" applyFont="1" applyFill="1" applyBorder="1" applyAlignment="1" applyProtection="1">
      <alignment horizontal="center" vertical="center"/>
    </xf>
    <xf numFmtId="169" fontId="14" fillId="17" borderId="98" xfId="0" applyNumberFormat="1" applyFont="1" applyFill="1" applyBorder="1" applyAlignment="1" applyProtection="1">
      <alignment horizontal="center" vertical="center" wrapText="1"/>
    </xf>
    <xf numFmtId="169" fontId="14" fillId="17" borderId="94" xfId="0" applyNumberFormat="1" applyFont="1" applyFill="1" applyBorder="1" applyAlignment="1" applyProtection="1">
      <alignment horizontal="center" vertical="center" wrapText="1"/>
    </xf>
    <xf numFmtId="169" fontId="14" fillId="17" borderId="93" xfId="0" applyNumberFormat="1" applyFont="1" applyFill="1" applyBorder="1" applyAlignment="1" applyProtection="1">
      <alignment horizontal="center" vertical="center" wrapText="1"/>
    </xf>
    <xf numFmtId="0" fontId="0" fillId="38" borderId="28" xfId="0" applyFont="1" applyFill="1" applyBorder="1" applyAlignment="1" applyProtection="1">
      <alignment horizontal="left" vertical="center" wrapText="1"/>
    </xf>
    <xf numFmtId="0" fontId="0" fillId="38" borderId="19" xfId="0" applyFont="1" applyFill="1" applyBorder="1" applyAlignment="1" applyProtection="1">
      <alignment horizontal="left" vertical="center" wrapText="1"/>
    </xf>
    <xf numFmtId="0" fontId="0" fillId="38" borderId="34" xfId="0" applyFont="1" applyFill="1" applyBorder="1" applyAlignment="1" applyProtection="1">
      <alignment horizontal="left" vertical="center" wrapText="1"/>
    </xf>
    <xf numFmtId="0" fontId="0" fillId="38" borderId="29" xfId="0" applyFont="1" applyFill="1" applyBorder="1" applyAlignment="1" applyProtection="1">
      <alignment horizontal="left" vertical="center" wrapText="1"/>
    </xf>
    <xf numFmtId="0" fontId="0" fillId="38" borderId="0" xfId="0" applyFont="1" applyFill="1" applyBorder="1" applyAlignment="1" applyProtection="1">
      <alignment horizontal="left" vertical="center" wrapText="1"/>
    </xf>
    <xf numFmtId="0" fontId="0" fillId="38" borderId="35" xfId="0" applyFont="1" applyFill="1" applyBorder="1" applyAlignment="1" applyProtection="1">
      <alignment horizontal="left" vertical="center" wrapText="1"/>
    </xf>
    <xf numFmtId="0" fontId="0" fillId="38" borderId="20" xfId="0" applyFont="1" applyFill="1" applyBorder="1" applyAlignment="1" applyProtection="1">
      <alignment horizontal="left" vertical="center" wrapText="1"/>
    </xf>
    <xf numFmtId="0" fontId="0" fillId="38" borderId="15" xfId="0" applyFont="1" applyFill="1" applyBorder="1" applyAlignment="1" applyProtection="1">
      <alignment horizontal="left" vertical="center" wrapText="1"/>
    </xf>
    <xf numFmtId="0" fontId="0" fillId="38" borderId="17" xfId="0" applyFont="1" applyFill="1" applyBorder="1" applyAlignment="1" applyProtection="1">
      <alignment horizontal="left" vertical="center" wrapText="1"/>
    </xf>
    <xf numFmtId="0" fontId="21" fillId="61" borderId="53" xfId="0" applyFont="1" applyFill="1" applyBorder="1" applyAlignment="1" applyProtection="1">
      <alignment horizontal="center" vertical="center"/>
      <protection locked="0"/>
    </xf>
    <xf numFmtId="0" fontId="21" fillId="61" borderId="19" xfId="0" applyFont="1" applyFill="1" applyBorder="1" applyAlignment="1" applyProtection="1">
      <alignment horizontal="center" vertical="center"/>
      <protection locked="0"/>
    </xf>
    <xf numFmtId="0" fontId="21" fillId="61" borderId="246" xfId="0" applyFont="1" applyFill="1" applyBorder="1" applyAlignment="1" applyProtection="1">
      <alignment horizontal="center" vertical="center"/>
      <protection locked="0"/>
    </xf>
    <xf numFmtId="0" fontId="21" fillId="61" borderId="258" xfId="0" applyFont="1" applyFill="1" applyBorder="1" applyAlignment="1" applyProtection="1">
      <alignment horizontal="center" vertical="center"/>
      <protection locked="0"/>
    </xf>
    <xf numFmtId="0" fontId="21" fillId="61" borderId="34" xfId="0" applyFont="1" applyFill="1" applyBorder="1" applyAlignment="1" applyProtection="1">
      <alignment horizontal="center" vertical="center"/>
      <protection locked="0"/>
    </xf>
    <xf numFmtId="0" fontId="21" fillId="61" borderId="215" xfId="0" applyFont="1" applyFill="1" applyBorder="1" applyAlignment="1" applyProtection="1">
      <alignment horizontal="center" vertical="center"/>
      <protection locked="0"/>
    </xf>
    <xf numFmtId="0" fontId="21" fillId="61" borderId="146" xfId="0" applyFont="1" applyFill="1" applyBorder="1" applyAlignment="1" applyProtection="1">
      <alignment horizontal="center" vertical="center"/>
      <protection locked="0"/>
    </xf>
    <xf numFmtId="0" fontId="21" fillId="61" borderId="157" xfId="0" applyFont="1" applyFill="1" applyBorder="1" applyAlignment="1" applyProtection="1">
      <alignment horizontal="center" vertical="center"/>
      <protection locked="0"/>
    </xf>
    <xf numFmtId="0" fontId="46" fillId="12" borderId="11" xfId="0" applyFont="1" applyFill="1" applyBorder="1" applyAlignment="1" applyProtection="1">
      <alignment horizontal="center" vertical="center"/>
      <protection locked="0"/>
    </xf>
    <xf numFmtId="0" fontId="46" fillId="12" borderId="1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41" fillId="0" borderId="226" xfId="0" applyFont="1" applyBorder="1" applyAlignment="1" applyProtection="1">
      <alignment horizontal="center" vertical="center" wrapText="1"/>
      <protection locked="0"/>
    </xf>
    <xf numFmtId="0" fontId="41" fillId="0" borderId="256" xfId="0" applyFont="1" applyBorder="1" applyAlignment="1" applyProtection="1">
      <alignment horizontal="center" vertical="center" wrapText="1"/>
      <protection locked="0"/>
    </xf>
    <xf numFmtId="0" fontId="41" fillId="0" borderId="34" xfId="0" applyFont="1" applyBorder="1" applyAlignment="1" applyProtection="1">
      <alignment horizontal="center" vertical="center" wrapText="1"/>
      <protection locked="0"/>
    </xf>
    <xf numFmtId="0" fontId="0" fillId="61" borderId="53" xfId="0" applyFill="1" applyBorder="1" applyAlignment="1" applyProtection="1">
      <alignment horizontal="center" vertical="center" wrapText="1"/>
      <protection locked="0"/>
    </xf>
    <xf numFmtId="0" fontId="0" fillId="61" borderId="19" xfId="0" applyFill="1" applyBorder="1" applyAlignment="1" applyProtection="1">
      <alignment horizontal="center" vertical="center" wrapText="1"/>
      <protection locked="0"/>
    </xf>
    <xf numFmtId="0" fontId="0" fillId="61" borderId="34" xfId="0" applyFill="1" applyBorder="1" applyAlignment="1" applyProtection="1">
      <alignment horizontal="center" vertical="center" wrapText="1"/>
      <protection locked="0"/>
    </xf>
    <xf numFmtId="0" fontId="0" fillId="61" borderId="149" xfId="0" applyFill="1" applyBorder="1" applyAlignment="1" applyProtection="1">
      <alignment horizontal="center" vertical="center" wrapText="1"/>
      <protection locked="0"/>
    </xf>
    <xf numFmtId="0" fontId="0" fillId="61" borderId="0" xfId="0" applyFill="1" applyBorder="1" applyAlignment="1" applyProtection="1">
      <alignment horizontal="center" vertical="center" wrapText="1"/>
      <protection locked="0"/>
    </xf>
    <xf numFmtId="0" fontId="0" fillId="61" borderId="257" xfId="0" applyFill="1" applyBorder="1" applyAlignment="1" applyProtection="1">
      <alignment horizontal="center" vertical="center" wrapText="1"/>
      <protection locked="0"/>
    </xf>
    <xf numFmtId="0" fontId="0" fillId="61" borderId="246" xfId="0" applyFill="1" applyBorder="1" applyAlignment="1" applyProtection="1">
      <alignment horizontal="center" vertical="center" wrapText="1"/>
      <protection locked="0"/>
    </xf>
    <xf numFmtId="0" fontId="0" fillId="61" borderId="258" xfId="0" applyFill="1" applyBorder="1" applyAlignment="1" applyProtection="1">
      <alignment horizontal="center" vertical="center" wrapText="1"/>
      <protection locked="0"/>
    </xf>
    <xf numFmtId="0" fontId="0" fillId="61" borderId="215" xfId="0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Fill="1" applyBorder="1" applyAlignment="1" applyProtection="1">
      <alignment horizontal="left" vertical="center" wrapText="1"/>
      <protection locked="0"/>
    </xf>
    <xf numFmtId="0" fontId="41" fillId="0" borderId="0" xfId="0" applyFont="1" applyFill="1" applyBorder="1" applyAlignment="1" applyProtection="1">
      <alignment horizontal="center" vertical="center" wrapText="1"/>
      <protection locked="0"/>
    </xf>
    <xf numFmtId="0" fontId="0" fillId="61" borderId="23" xfId="0" applyFill="1" applyBorder="1" applyAlignment="1" applyProtection="1">
      <alignment horizontal="center" vertical="center"/>
      <protection locked="0"/>
    </xf>
    <xf numFmtId="0" fontId="0" fillId="61" borderId="146" xfId="0" applyFill="1" applyBorder="1" applyAlignment="1" applyProtection="1">
      <alignment horizontal="center" vertical="center"/>
      <protection locked="0"/>
    </xf>
    <xf numFmtId="0" fontId="0" fillId="61" borderId="157" xfId="0" applyFill="1" applyBorder="1" applyAlignment="1" applyProtection="1">
      <alignment horizontal="center" vertical="center"/>
      <protection locked="0"/>
    </xf>
    <xf numFmtId="0" fontId="0" fillId="61" borderId="53" xfId="0" applyFill="1" applyBorder="1" applyAlignment="1" applyProtection="1">
      <alignment horizontal="center"/>
      <protection locked="0"/>
    </xf>
    <xf numFmtId="0" fontId="0" fillId="61" borderId="19" xfId="0" applyFill="1" applyBorder="1" applyAlignment="1" applyProtection="1">
      <alignment horizontal="center"/>
      <protection locked="0"/>
    </xf>
    <xf numFmtId="0" fontId="0" fillId="61" borderId="34" xfId="0" applyFill="1" applyBorder="1" applyAlignment="1" applyProtection="1">
      <alignment horizontal="center"/>
      <protection locked="0"/>
    </xf>
    <xf numFmtId="0" fontId="0" fillId="61" borderId="246" xfId="0" applyFill="1" applyBorder="1" applyAlignment="1" applyProtection="1">
      <alignment horizontal="center"/>
      <protection locked="0"/>
    </xf>
    <xf numFmtId="0" fontId="0" fillId="61" borderId="258" xfId="0" applyFill="1" applyBorder="1" applyAlignment="1" applyProtection="1">
      <alignment horizontal="center"/>
      <protection locked="0"/>
    </xf>
    <xf numFmtId="0" fontId="0" fillId="61" borderId="215" xfId="0" applyFill="1" applyBorder="1" applyAlignment="1" applyProtection="1">
      <alignment horizontal="center"/>
      <protection locked="0"/>
    </xf>
    <xf numFmtId="0" fontId="0" fillId="61" borderId="53" xfId="0" applyFont="1" applyFill="1" applyBorder="1" applyAlignment="1" applyProtection="1">
      <alignment horizontal="center" vertical="center"/>
      <protection locked="0"/>
    </xf>
    <xf numFmtId="0" fontId="0" fillId="61" borderId="19" xfId="0" applyFont="1" applyFill="1" applyBorder="1" applyAlignment="1" applyProtection="1">
      <alignment horizontal="center" vertical="center"/>
      <protection locked="0"/>
    </xf>
    <xf numFmtId="0" fontId="0" fillId="61" borderId="34" xfId="0" applyFont="1" applyFill="1" applyBorder="1" applyAlignment="1" applyProtection="1">
      <alignment horizontal="center" vertical="center"/>
      <protection locked="0"/>
    </xf>
    <xf numFmtId="0" fontId="0" fillId="61" borderId="149" xfId="0" applyFont="1" applyFill="1" applyBorder="1" applyAlignment="1" applyProtection="1">
      <alignment horizontal="center" vertical="center"/>
      <protection locked="0"/>
    </xf>
    <xf numFmtId="0" fontId="0" fillId="61" borderId="0" xfId="0" applyFont="1" applyFill="1" applyBorder="1" applyAlignment="1" applyProtection="1">
      <alignment horizontal="center" vertical="center"/>
      <protection locked="0"/>
    </xf>
    <xf numFmtId="0" fontId="0" fillId="61" borderId="257" xfId="0" applyFont="1" applyFill="1" applyBorder="1" applyAlignment="1" applyProtection="1">
      <alignment horizontal="center" vertical="center"/>
      <protection locked="0"/>
    </xf>
    <xf numFmtId="0" fontId="0" fillId="61" borderId="246" xfId="0" applyFont="1" applyFill="1" applyBorder="1" applyAlignment="1" applyProtection="1">
      <alignment horizontal="center" vertical="center"/>
      <protection locked="0"/>
    </xf>
    <xf numFmtId="0" fontId="0" fillId="61" borderId="258" xfId="0" applyFont="1" applyFill="1" applyBorder="1" applyAlignment="1" applyProtection="1">
      <alignment horizontal="center" vertical="center"/>
      <protection locked="0"/>
    </xf>
    <xf numFmtId="0" fontId="0" fillId="61" borderId="215" xfId="0" applyFont="1" applyFill="1" applyBorder="1" applyAlignment="1" applyProtection="1">
      <alignment horizontal="center" vertical="center"/>
      <protection locked="0"/>
    </xf>
    <xf numFmtId="0" fontId="0" fillId="61" borderId="23" xfId="0" applyFont="1" applyFill="1" applyBorder="1" applyAlignment="1" applyProtection="1">
      <alignment horizontal="center" vertical="center"/>
      <protection locked="0"/>
    </xf>
    <xf numFmtId="0" fontId="0" fillId="61" borderId="146" xfId="0" applyFont="1" applyFill="1" applyBorder="1" applyAlignment="1" applyProtection="1">
      <alignment horizontal="center" vertical="center"/>
      <protection locked="0"/>
    </xf>
    <xf numFmtId="0" fontId="0" fillId="61" borderId="157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left" wrapText="1"/>
      <protection locked="0"/>
    </xf>
    <xf numFmtId="0" fontId="0" fillId="61" borderId="149" xfId="0" applyFill="1" applyBorder="1" applyAlignment="1" applyProtection="1">
      <alignment horizontal="center"/>
      <protection locked="0"/>
    </xf>
    <xf numFmtId="0" fontId="0" fillId="61" borderId="0" xfId="0" applyFill="1" applyBorder="1" applyAlignment="1" applyProtection="1">
      <alignment horizontal="center"/>
      <protection locked="0"/>
    </xf>
    <xf numFmtId="0" fontId="0" fillId="61" borderId="257" xfId="0" applyFill="1" applyBorder="1" applyAlignment="1" applyProtection="1">
      <alignment horizontal="center"/>
      <protection locked="0"/>
    </xf>
    <xf numFmtId="0" fontId="37" fillId="61" borderId="23" xfId="0" applyFont="1" applyFill="1" applyBorder="1" applyAlignment="1" applyProtection="1">
      <alignment horizontal="center" vertical="center"/>
      <protection locked="0"/>
    </xf>
    <xf numFmtId="0" fontId="37" fillId="61" borderId="146" xfId="0" applyFont="1" applyFill="1" applyBorder="1" applyAlignment="1" applyProtection="1">
      <alignment horizontal="center" vertical="center"/>
      <protection locked="0"/>
    </xf>
    <xf numFmtId="0" fontId="37" fillId="61" borderId="157" xfId="0" applyFont="1" applyFill="1" applyBorder="1" applyAlignment="1" applyProtection="1">
      <alignment horizontal="center" vertical="center"/>
      <protection locked="0"/>
    </xf>
    <xf numFmtId="0" fontId="0" fillId="61" borderId="53" xfId="0" applyFill="1" applyBorder="1" applyAlignment="1" applyProtection="1">
      <alignment horizontal="center" vertical="center"/>
      <protection locked="0"/>
    </xf>
    <xf numFmtId="0" fontId="0" fillId="61" borderId="34" xfId="0" applyFill="1" applyBorder="1" applyAlignment="1" applyProtection="1">
      <alignment horizontal="center" vertical="center"/>
      <protection locked="0"/>
    </xf>
    <xf numFmtId="0" fontId="0" fillId="61" borderId="149" xfId="0" applyFill="1" applyBorder="1" applyAlignment="1" applyProtection="1">
      <alignment horizontal="center" vertical="center"/>
      <protection locked="0"/>
    </xf>
    <xf numFmtId="0" fontId="0" fillId="61" borderId="257" xfId="0" applyFill="1" applyBorder="1" applyAlignment="1" applyProtection="1">
      <alignment horizontal="center" vertical="center"/>
      <protection locked="0"/>
    </xf>
    <xf numFmtId="0" fontId="0" fillId="61" borderId="246" xfId="0" applyFill="1" applyBorder="1" applyAlignment="1" applyProtection="1">
      <alignment horizontal="center" vertical="center"/>
      <protection locked="0"/>
    </xf>
    <xf numFmtId="0" fontId="0" fillId="61" borderId="215" xfId="0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 vertical="center" indent="2"/>
    </xf>
  </cellXfs>
  <cellStyles count="42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2" xfId="24" xr:uid="{00000000-0005-0000-0000-000010000000}"/>
    <cellStyle name="Millares 3" xfId="33" xr:uid="{00000000-0005-0000-0000-000011000000}"/>
    <cellStyle name="Millares 3 2" xfId="40" xr:uid="{D657736C-765F-403F-B9AA-997B39B6C01C}"/>
    <cellStyle name="Millares 3 3" xfId="37" xr:uid="{735AD2CD-9AE9-4539-ACA5-1B6FFC725FEA}"/>
    <cellStyle name="Moneda" xfId="13" builtinId="4"/>
    <cellStyle name="Moneda [0]" xfId="31" builtinId="7"/>
    <cellStyle name="Moneda 2" xfId="26" xr:uid="{00000000-0005-0000-0000-000014000000}"/>
    <cellStyle name="Moneda 3" xfId="25" xr:uid="{00000000-0005-0000-0000-000015000000}"/>
    <cellStyle name="Moneda 7" xfId="34" xr:uid="{00000000-0005-0000-0000-000016000000}"/>
    <cellStyle name="Neutral" xfId="14" builtinId="28" customBuiltin="1"/>
    <cellStyle name="Normal" xfId="0" builtinId="0"/>
    <cellStyle name="Normal 2" xfId="27" xr:uid="{00000000-0005-0000-0000-000019000000}"/>
    <cellStyle name="Normal 3" xfId="28" xr:uid="{00000000-0005-0000-0000-00001A000000}"/>
    <cellStyle name="Normal 4" xfId="29" xr:uid="{00000000-0005-0000-0000-00001B000000}"/>
    <cellStyle name="Normal 5" xfId="32" xr:uid="{00000000-0005-0000-0000-00001C000000}"/>
    <cellStyle name="Normal 5 2" xfId="39" xr:uid="{EFF424E1-5299-4E83-9782-E8DE4852F13F}"/>
    <cellStyle name="Normal 5 3" xfId="36" xr:uid="{77105743-553B-4B23-A142-4BCB965D0E37}"/>
    <cellStyle name="Note" xfId="15" xr:uid="{00000000-0005-0000-0000-00001D000000}"/>
    <cellStyle name="Note 2" xfId="38" xr:uid="{9CAEC026-4A87-4434-945C-2E9AAF3EC659}"/>
    <cellStyle name="Note 2 2" xfId="41" xr:uid="{2003737C-BA98-49C1-AC8C-F1B262BC1547}"/>
    <cellStyle name="Note 3" xfId="35" xr:uid="{90F97859-6627-49CC-AFDA-462A95B3A65E}"/>
    <cellStyle name="Porcentaje" xfId="16" builtinId="5"/>
    <cellStyle name="Porcentaje 2" xfId="30" xr:uid="{00000000-0005-0000-0000-00001F000000}"/>
    <cellStyle name="Status" xfId="17" xr:uid="{00000000-0005-0000-0000-000020000000}"/>
    <cellStyle name="Text" xfId="18" xr:uid="{00000000-0005-0000-0000-000021000000}"/>
    <cellStyle name="Warning" xfId="19" xr:uid="{00000000-0005-0000-0000-000022000000}"/>
  </cellStyles>
  <dxfs count="9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FF"/>
      <color rgb="FF000099"/>
      <color rgb="FFCCFFCC"/>
      <color rgb="FF0000CC"/>
      <color rgb="FFFF0909"/>
      <color rgb="FF69D8FF"/>
      <color rgb="FFFFFF66"/>
      <color rgb="FF00A249"/>
      <color rgb="FFCC0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17</xdr:col>
      <xdr:colOff>373229</xdr:colOff>
      <xdr:row>58</xdr:row>
      <xdr:rowOff>26511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5D93E1A-4660-42B8-883E-0CCB303B7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270000"/>
          <a:ext cx="12565229" cy="796401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17</xdr:col>
      <xdr:colOff>381000</xdr:colOff>
      <xdr:row>160</xdr:row>
      <xdr:rowOff>7459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8F91943-F833-4A93-B9B4-FCD27493B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17462500"/>
          <a:ext cx="12573000" cy="79449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9</xdr:col>
      <xdr:colOff>95250</xdr:colOff>
      <xdr:row>210</xdr:row>
      <xdr:rowOff>99524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8A34CAB-05A9-4497-AB4C-2E69D74CD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25558750"/>
          <a:ext cx="6191250" cy="78782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17</xdr:col>
      <xdr:colOff>391583</xdr:colOff>
      <xdr:row>108</xdr:row>
      <xdr:rowOff>118577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6C5FB3A-DE34-499A-8926-FDC09802C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9366250"/>
          <a:ext cx="12583583" cy="78973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2020/TARIFAS%202021/SIMULACION%20TARIFAS%20SC/DELBIENSAN%200%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Índice Tablas"/>
      <sheetName val="20201001Tarifas 2021 Stgo 09 21"/>
      <sheetName val="B) Reajuste Tarifas y Ocupación"/>
      <sheetName val="C) Costos Directos"/>
      <sheetName val="D) Costos Indirectos"/>
      <sheetName val="E) Resumen Tarifado "/>
      <sheetName val="F) Remuneraciones"/>
      <sheetName val="G) Comparación Mercado"/>
      <sheetName val="H) Detalle Datos"/>
    </sheetNames>
    <sheetDataSet>
      <sheetData sheetId="0"/>
      <sheetData sheetId="1"/>
      <sheetData sheetId="2">
        <row r="9">
          <cell r="B9">
            <v>4321700</v>
          </cell>
        </row>
      </sheetData>
      <sheetData sheetId="3">
        <row r="15">
          <cell r="B15" t="str">
            <v>Diurna</v>
          </cell>
        </row>
        <row r="16">
          <cell r="B16" t="str">
            <v>Nocturna</v>
          </cell>
        </row>
        <row r="17">
          <cell r="B17" t="str">
            <v>Media Jornada</v>
          </cell>
        </row>
      </sheetData>
      <sheetData sheetId="4">
        <row r="13">
          <cell r="H13">
            <v>19521895.19444048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99"/>
  </sheetPr>
  <dimension ref="C1:J52"/>
  <sheetViews>
    <sheetView showGridLines="0" tabSelected="1" zoomScale="90" zoomScaleNormal="90" workbookViewId="0">
      <selection activeCell="X38" sqref="X38"/>
    </sheetView>
  </sheetViews>
  <sheetFormatPr baseColWidth="10" defaultColWidth="11.42578125" defaultRowHeight="12.75" x14ac:dyDescent="0.2"/>
  <cols>
    <col min="1" max="16384" width="11.42578125" style="60"/>
  </cols>
  <sheetData>
    <row r="1" spans="3:10" x14ac:dyDescent="0.2">
      <c r="J1" s="59"/>
    </row>
    <row r="2" spans="3:10" x14ac:dyDescent="0.2">
      <c r="J2" s="59" t="s">
        <v>84</v>
      </c>
    </row>
    <row r="3" spans="3:10" x14ac:dyDescent="0.2">
      <c r="J3" s="59"/>
    </row>
    <row r="5" spans="3:10" x14ac:dyDescent="0.2">
      <c r="C5" s="61"/>
      <c r="D5" s="61"/>
      <c r="E5" s="61"/>
      <c r="F5" s="61"/>
      <c r="G5" s="61"/>
      <c r="H5" s="61"/>
      <c r="I5" s="61"/>
      <c r="J5" s="61"/>
    </row>
    <row r="6" spans="3:10" x14ac:dyDescent="0.2">
      <c r="C6" s="61"/>
      <c r="D6" s="61"/>
      <c r="E6" s="61"/>
      <c r="F6" s="61"/>
      <c r="G6" s="61"/>
      <c r="H6" s="61"/>
      <c r="I6" s="61"/>
      <c r="J6" s="61"/>
    </row>
    <row r="7" spans="3:10" x14ac:dyDescent="0.2">
      <c r="C7" s="61"/>
      <c r="D7" s="61"/>
      <c r="E7" s="61"/>
      <c r="F7" s="61"/>
      <c r="G7" s="61"/>
      <c r="H7" s="61"/>
      <c r="I7" s="61"/>
      <c r="J7" s="61"/>
    </row>
    <row r="8" spans="3:10" x14ac:dyDescent="0.2">
      <c r="C8" s="61"/>
      <c r="D8" s="61"/>
      <c r="E8" s="61"/>
      <c r="F8" s="61"/>
      <c r="G8" s="61"/>
      <c r="H8" s="61"/>
      <c r="I8" s="61"/>
      <c r="J8" s="61"/>
    </row>
    <row r="9" spans="3:10" x14ac:dyDescent="0.2">
      <c r="C9" s="61"/>
      <c r="D9" s="61"/>
      <c r="E9" s="61"/>
      <c r="F9" s="61"/>
      <c r="G9" s="61"/>
      <c r="H9" s="61"/>
      <c r="I9" s="61"/>
      <c r="J9" s="61"/>
    </row>
    <row r="10" spans="3:10" x14ac:dyDescent="0.2">
      <c r="C10" s="61"/>
      <c r="D10" s="61"/>
      <c r="E10" s="61"/>
      <c r="F10" s="61"/>
      <c r="G10" s="61"/>
      <c r="H10" s="61"/>
      <c r="I10" s="61"/>
      <c r="J10" s="61"/>
    </row>
    <row r="11" spans="3:10" x14ac:dyDescent="0.2">
      <c r="C11" s="61"/>
      <c r="D11" s="61"/>
      <c r="E11" s="61"/>
      <c r="F11" s="61"/>
      <c r="G11" s="61"/>
      <c r="H11" s="61"/>
      <c r="I11" s="61"/>
      <c r="J11" s="61"/>
    </row>
    <row r="12" spans="3:10" x14ac:dyDescent="0.2">
      <c r="C12" s="61"/>
      <c r="D12" s="61"/>
      <c r="E12" s="61"/>
      <c r="F12" s="61"/>
      <c r="G12" s="61"/>
      <c r="H12" s="61"/>
      <c r="I12" s="61"/>
      <c r="J12" s="61"/>
    </row>
    <row r="13" spans="3:10" x14ac:dyDescent="0.2">
      <c r="C13" s="61"/>
      <c r="D13" s="61"/>
      <c r="E13" s="61"/>
      <c r="F13" s="61"/>
      <c r="G13" s="61"/>
      <c r="H13" s="61"/>
      <c r="I13" s="61"/>
      <c r="J13" s="61"/>
    </row>
    <row r="14" spans="3:10" x14ac:dyDescent="0.2">
      <c r="C14" s="61"/>
      <c r="D14" s="61"/>
      <c r="E14" s="61"/>
      <c r="F14" s="61"/>
      <c r="G14" s="61"/>
      <c r="H14" s="61"/>
      <c r="I14" s="61"/>
      <c r="J14" s="61"/>
    </row>
    <row r="15" spans="3:10" x14ac:dyDescent="0.2">
      <c r="C15" s="61"/>
      <c r="D15" s="61"/>
      <c r="E15" s="61"/>
      <c r="F15" s="61"/>
      <c r="G15" s="61"/>
      <c r="H15" s="61"/>
      <c r="I15" s="61"/>
      <c r="J15" s="61"/>
    </row>
    <row r="16" spans="3:10" x14ac:dyDescent="0.2">
      <c r="C16" s="61"/>
      <c r="D16" s="61"/>
      <c r="E16" s="61"/>
      <c r="F16" s="61"/>
      <c r="G16" s="61"/>
      <c r="H16" s="61"/>
      <c r="I16" s="61"/>
      <c r="J16" s="61"/>
    </row>
    <row r="17" spans="3:10" x14ac:dyDescent="0.2">
      <c r="C17" s="61"/>
      <c r="D17" s="61"/>
      <c r="E17" s="61"/>
      <c r="F17" s="61"/>
      <c r="G17" s="61"/>
      <c r="H17" s="61"/>
      <c r="I17" s="61"/>
      <c r="J17" s="61"/>
    </row>
    <row r="18" spans="3:10" x14ac:dyDescent="0.2">
      <c r="C18" s="61"/>
      <c r="D18" s="61"/>
      <c r="E18" s="61"/>
      <c r="F18" s="61"/>
      <c r="G18" s="61"/>
      <c r="H18" s="61"/>
      <c r="I18" s="61"/>
      <c r="J18" s="61"/>
    </row>
    <row r="19" spans="3:10" x14ac:dyDescent="0.2">
      <c r="C19" s="61"/>
      <c r="D19" s="61"/>
      <c r="E19" s="61"/>
      <c r="F19" s="61"/>
      <c r="G19" s="61"/>
      <c r="H19" s="61"/>
      <c r="I19" s="61"/>
      <c r="J19" s="61"/>
    </row>
    <row r="20" spans="3:10" x14ac:dyDescent="0.2">
      <c r="C20" s="61"/>
      <c r="D20" s="61"/>
      <c r="E20" s="61"/>
      <c r="F20" s="61"/>
      <c r="G20" s="61"/>
      <c r="H20" s="61"/>
      <c r="I20" s="61"/>
      <c r="J20" s="61"/>
    </row>
    <row r="21" spans="3:10" x14ac:dyDescent="0.2">
      <c r="C21" s="61"/>
      <c r="D21" s="61"/>
      <c r="E21" s="61"/>
      <c r="F21" s="61"/>
      <c r="G21" s="61"/>
      <c r="H21" s="61"/>
      <c r="I21" s="61"/>
      <c r="J21" s="61"/>
    </row>
    <row r="22" spans="3:10" x14ac:dyDescent="0.2">
      <c r="C22" s="61"/>
      <c r="D22" s="61"/>
      <c r="E22" s="61"/>
      <c r="F22" s="61"/>
      <c r="G22" s="61"/>
      <c r="H22" s="61"/>
      <c r="I22" s="61"/>
      <c r="J22" s="61"/>
    </row>
    <row r="23" spans="3:10" x14ac:dyDescent="0.2">
      <c r="C23" s="61"/>
      <c r="D23" s="61"/>
      <c r="E23" s="61"/>
      <c r="F23" s="61"/>
      <c r="G23" s="61"/>
      <c r="H23" s="61"/>
      <c r="I23" s="61"/>
      <c r="J23" s="61"/>
    </row>
    <row r="24" spans="3:10" x14ac:dyDescent="0.2">
      <c r="C24" s="61"/>
      <c r="D24" s="61"/>
      <c r="E24" s="61"/>
      <c r="F24" s="61"/>
      <c r="G24" s="61"/>
      <c r="H24" s="61"/>
      <c r="I24" s="61"/>
      <c r="J24" s="61"/>
    </row>
    <row r="25" spans="3:10" x14ac:dyDescent="0.2">
      <c r="C25" s="61"/>
      <c r="D25" s="61"/>
      <c r="E25" s="61"/>
      <c r="F25" s="61"/>
      <c r="G25" s="61"/>
      <c r="H25" s="61"/>
      <c r="I25" s="61"/>
      <c r="J25" s="61"/>
    </row>
    <row r="26" spans="3:10" x14ac:dyDescent="0.2">
      <c r="C26" s="61"/>
      <c r="D26" s="61"/>
      <c r="E26" s="61"/>
      <c r="F26" s="61"/>
      <c r="G26" s="61"/>
      <c r="H26" s="61"/>
      <c r="I26" s="61"/>
      <c r="J26" s="61"/>
    </row>
    <row r="27" spans="3:10" x14ac:dyDescent="0.2">
      <c r="C27" s="61"/>
      <c r="D27" s="61"/>
      <c r="E27" s="61"/>
      <c r="F27" s="61"/>
      <c r="G27" s="61"/>
      <c r="H27" s="61"/>
      <c r="I27" s="61"/>
      <c r="J27" s="61"/>
    </row>
    <row r="28" spans="3:10" x14ac:dyDescent="0.2">
      <c r="C28" s="61"/>
      <c r="D28" s="61"/>
      <c r="E28" s="61"/>
      <c r="F28" s="61"/>
      <c r="G28" s="61"/>
      <c r="H28" s="61"/>
      <c r="I28" s="61"/>
      <c r="J28" s="61"/>
    </row>
    <row r="29" spans="3:10" x14ac:dyDescent="0.2">
      <c r="C29" s="61"/>
      <c r="D29" s="61"/>
      <c r="E29" s="61"/>
      <c r="F29" s="61"/>
      <c r="G29" s="61"/>
      <c r="H29" s="61"/>
      <c r="I29" s="61"/>
      <c r="J29" s="61"/>
    </row>
    <row r="30" spans="3:10" x14ac:dyDescent="0.2">
      <c r="C30" s="61"/>
      <c r="D30" s="61"/>
      <c r="E30" s="61"/>
      <c r="F30" s="61"/>
      <c r="G30" s="61"/>
      <c r="H30" s="61"/>
      <c r="I30" s="61"/>
      <c r="J30" s="61"/>
    </row>
    <row r="31" spans="3:10" x14ac:dyDescent="0.2">
      <c r="C31" s="61"/>
      <c r="D31" s="61"/>
      <c r="E31" s="61"/>
      <c r="F31" s="61"/>
      <c r="G31" s="61"/>
      <c r="H31" s="61"/>
      <c r="I31" s="61"/>
      <c r="J31" s="61"/>
    </row>
    <row r="32" spans="3:10" x14ac:dyDescent="0.2">
      <c r="C32" s="61"/>
      <c r="D32" s="61"/>
      <c r="E32" s="61"/>
      <c r="F32" s="61"/>
      <c r="G32" s="61"/>
      <c r="H32" s="61"/>
      <c r="I32" s="61"/>
      <c r="J32" s="61"/>
    </row>
    <row r="33" spans="3:10" x14ac:dyDescent="0.2">
      <c r="C33" s="61"/>
      <c r="D33" s="61"/>
      <c r="E33" s="61"/>
      <c r="F33" s="61"/>
      <c r="G33" s="61"/>
      <c r="H33" s="61"/>
      <c r="I33" s="61"/>
      <c r="J33" s="61"/>
    </row>
    <row r="34" spans="3:10" x14ac:dyDescent="0.2">
      <c r="C34" s="61"/>
      <c r="D34" s="61"/>
      <c r="E34" s="61"/>
      <c r="F34" s="61"/>
      <c r="G34" s="61"/>
      <c r="H34" s="61"/>
      <c r="I34" s="61"/>
      <c r="J34" s="61"/>
    </row>
    <row r="35" spans="3:10" x14ac:dyDescent="0.2">
      <c r="C35" s="61"/>
      <c r="D35" s="61"/>
      <c r="E35" s="61"/>
      <c r="F35" s="61"/>
      <c r="G35" s="61"/>
      <c r="H35" s="61"/>
      <c r="I35" s="61"/>
      <c r="J35" s="61"/>
    </row>
    <row r="36" spans="3:10" x14ac:dyDescent="0.2">
      <c r="C36" s="61"/>
      <c r="D36" s="61"/>
      <c r="E36" s="61"/>
      <c r="F36" s="61"/>
      <c r="G36" s="61"/>
      <c r="H36" s="61"/>
      <c r="I36" s="61"/>
      <c r="J36" s="61"/>
    </row>
    <row r="37" spans="3:10" x14ac:dyDescent="0.2">
      <c r="C37" s="61"/>
      <c r="D37" s="61"/>
      <c r="E37" s="61"/>
      <c r="F37" s="61"/>
      <c r="G37" s="61"/>
      <c r="H37" s="61"/>
      <c r="I37" s="61"/>
      <c r="J37" s="61"/>
    </row>
    <row r="38" spans="3:10" x14ac:dyDescent="0.2">
      <c r="C38" s="61"/>
      <c r="D38" s="61"/>
      <c r="E38" s="61"/>
      <c r="F38" s="61"/>
      <c r="G38" s="61"/>
      <c r="H38" s="61"/>
      <c r="I38" s="61"/>
      <c r="J38" s="61"/>
    </row>
    <row r="39" spans="3:10" x14ac:dyDescent="0.2">
      <c r="C39" s="61"/>
      <c r="D39" s="61"/>
      <c r="E39" s="61"/>
      <c r="F39" s="61"/>
      <c r="G39" s="61"/>
      <c r="H39" s="61"/>
      <c r="I39" s="61"/>
      <c r="J39" s="61"/>
    </row>
    <row r="40" spans="3:10" x14ac:dyDescent="0.2">
      <c r="C40" s="61"/>
      <c r="D40" s="61"/>
      <c r="E40" s="61"/>
      <c r="F40" s="61"/>
      <c r="G40" s="61"/>
      <c r="H40" s="61"/>
      <c r="I40" s="61"/>
      <c r="J40" s="61"/>
    </row>
    <row r="41" spans="3:10" x14ac:dyDescent="0.2">
      <c r="C41" s="61"/>
      <c r="D41" s="61"/>
      <c r="E41" s="61"/>
      <c r="F41" s="61"/>
      <c r="G41" s="61"/>
      <c r="H41" s="61"/>
      <c r="I41" s="61"/>
      <c r="J41" s="61"/>
    </row>
    <row r="42" spans="3:10" x14ac:dyDescent="0.2">
      <c r="C42" s="61"/>
      <c r="D42" s="61"/>
      <c r="E42" s="61"/>
      <c r="F42" s="61"/>
      <c r="G42" s="61"/>
      <c r="H42" s="61"/>
      <c r="I42" s="61"/>
      <c r="J42" s="61"/>
    </row>
    <row r="43" spans="3:10" x14ac:dyDescent="0.2">
      <c r="C43" s="61"/>
      <c r="D43" s="61"/>
      <c r="E43" s="61"/>
      <c r="F43" s="61"/>
      <c r="G43" s="61"/>
      <c r="H43" s="61"/>
      <c r="I43" s="61"/>
      <c r="J43" s="61"/>
    </row>
    <row r="44" spans="3:10" x14ac:dyDescent="0.2">
      <c r="C44" s="61"/>
      <c r="D44" s="61"/>
      <c r="E44" s="61"/>
      <c r="F44" s="61"/>
      <c r="G44" s="61"/>
      <c r="H44" s="61"/>
      <c r="I44" s="61"/>
      <c r="J44" s="61"/>
    </row>
    <row r="45" spans="3:10" x14ac:dyDescent="0.2">
      <c r="C45" s="61"/>
      <c r="D45" s="61"/>
      <c r="E45" s="61"/>
      <c r="F45" s="61"/>
      <c r="G45" s="61"/>
      <c r="H45" s="61"/>
      <c r="I45" s="61"/>
      <c r="J45" s="61"/>
    </row>
    <row r="46" spans="3:10" x14ac:dyDescent="0.2">
      <c r="C46" s="61"/>
      <c r="D46" s="61"/>
      <c r="E46" s="61"/>
      <c r="F46" s="61"/>
      <c r="G46" s="61"/>
      <c r="H46" s="61"/>
      <c r="I46" s="61"/>
      <c r="J46" s="61"/>
    </row>
    <row r="47" spans="3:10" x14ac:dyDescent="0.2">
      <c r="C47" s="61"/>
      <c r="D47" s="61"/>
      <c r="E47" s="61"/>
      <c r="F47" s="61"/>
      <c r="G47" s="61"/>
      <c r="H47" s="61"/>
      <c r="I47" s="61"/>
      <c r="J47" s="61"/>
    </row>
    <row r="48" spans="3:10" x14ac:dyDescent="0.2">
      <c r="C48" s="61"/>
      <c r="D48" s="61"/>
      <c r="E48" s="61"/>
      <c r="F48" s="61"/>
      <c r="G48" s="61"/>
      <c r="H48" s="61"/>
      <c r="I48" s="61"/>
      <c r="J48" s="61"/>
    </row>
    <row r="49" spans="3:10" x14ac:dyDescent="0.2">
      <c r="C49" s="61"/>
      <c r="D49" s="61"/>
      <c r="E49" s="61"/>
      <c r="F49" s="61"/>
      <c r="G49" s="61"/>
      <c r="H49" s="61"/>
      <c r="I49" s="61"/>
      <c r="J49" s="61"/>
    </row>
    <row r="50" spans="3:10" x14ac:dyDescent="0.2">
      <c r="C50" s="61"/>
      <c r="D50" s="61"/>
      <c r="E50" s="61"/>
      <c r="F50" s="61"/>
      <c r="G50" s="61"/>
      <c r="H50" s="61"/>
      <c r="I50" s="61"/>
      <c r="J50" s="61"/>
    </row>
    <row r="51" spans="3:10" x14ac:dyDescent="0.2">
      <c r="C51" s="61"/>
      <c r="D51" s="61"/>
      <c r="E51" s="61"/>
      <c r="F51" s="61"/>
      <c r="G51" s="61"/>
      <c r="H51" s="61"/>
      <c r="I51" s="61"/>
      <c r="J51" s="61"/>
    </row>
    <row r="52" spans="3:10" x14ac:dyDescent="0.2">
      <c r="C52" s="61"/>
      <c r="D52" s="61"/>
      <c r="E52" s="61"/>
      <c r="F52" s="61"/>
      <c r="G52" s="61"/>
      <c r="H52" s="61"/>
      <c r="I52" s="61"/>
      <c r="J52" s="61"/>
    </row>
  </sheetData>
  <sheetProtection algorithmName="SHA-512" hashValue="8U8DueBUcA5uPjPRZfNjnS3G6wZhfHDVaSiAlPjt03J7G6d840XlzQ0ENPsLavD4/29eAZANuLgW91P2R6hOIA==" saltValue="OlD/FSMfg7zj2SORzwFIJ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V71"/>
  <sheetViews>
    <sheetView showGridLines="0" topLeftCell="A36" zoomScaleNormal="100" workbookViewId="0">
      <selection activeCell="B60" sqref="B60:N61"/>
    </sheetView>
  </sheetViews>
  <sheetFormatPr baseColWidth="10" defaultColWidth="11.42578125" defaultRowHeight="12.75" x14ac:dyDescent="0.2"/>
  <cols>
    <col min="1" max="6" width="11.42578125" style="71"/>
    <col min="7" max="7" width="13.85546875" style="71" customWidth="1"/>
    <col min="8" max="8" width="11.42578125" style="71"/>
    <col min="9" max="9" width="13.85546875" style="71" customWidth="1"/>
    <col min="10" max="11" width="13.28515625" style="71" customWidth="1"/>
    <col min="12" max="16384" width="11.42578125" style="71"/>
  </cols>
  <sheetData>
    <row r="1" spans="1:17" x14ac:dyDescent="0.2">
      <c r="J1" s="227"/>
      <c r="K1" s="230"/>
    </row>
    <row r="2" spans="1:17" x14ac:dyDescent="0.2">
      <c r="A2" s="465"/>
      <c r="B2" s="465"/>
      <c r="C2" s="465"/>
      <c r="D2" s="465"/>
      <c r="E2" s="465"/>
      <c r="F2" s="465"/>
      <c r="G2" s="465"/>
      <c r="H2" s="465"/>
      <c r="I2" s="465"/>
      <c r="J2" s="466" t="s">
        <v>194</v>
      </c>
      <c r="K2" s="467"/>
      <c r="L2" s="465"/>
      <c r="M2" s="465"/>
      <c r="N2" s="465"/>
      <c r="O2" s="465"/>
      <c r="P2" s="465"/>
      <c r="Q2" s="465"/>
    </row>
    <row r="3" spans="1:17" x14ac:dyDescent="0.2">
      <c r="A3" s="465"/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</row>
    <row r="4" spans="1:17" ht="19.5" customHeight="1" x14ac:dyDescent="0.2">
      <c r="A4" s="465"/>
      <c r="B4" s="465"/>
      <c r="C4" s="465"/>
      <c r="D4" s="465"/>
      <c r="E4" s="465"/>
      <c r="F4" s="465"/>
      <c r="G4" s="465"/>
      <c r="H4" s="465"/>
      <c r="I4" s="468" t="s">
        <v>0</v>
      </c>
      <c r="J4" s="1016" t="str">
        <f>+'B) Reajuste Tarifas y Ocupación'!F5</f>
        <v xml:space="preserve">BIENMAG </v>
      </c>
      <c r="K4" s="1017"/>
      <c r="L4" s="465"/>
      <c r="M4" s="465"/>
      <c r="N4" s="465"/>
      <c r="O4" s="465"/>
      <c r="P4" s="465"/>
      <c r="Q4" s="465"/>
    </row>
    <row r="5" spans="1:17" x14ac:dyDescent="0.2">
      <c r="A5" s="465"/>
      <c r="B5" s="465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</row>
    <row r="6" spans="1:17" ht="12.75" customHeight="1" x14ac:dyDescent="0.2">
      <c r="A6" s="469" t="s">
        <v>121</v>
      </c>
      <c r="B6" s="470"/>
      <c r="C6" s="470"/>
      <c r="D6" s="470"/>
      <c r="E6" s="470"/>
      <c r="F6" s="470"/>
      <c r="G6" s="470"/>
      <c r="H6" s="470"/>
      <c r="I6" s="470"/>
      <c r="J6" s="470"/>
      <c r="K6" s="470"/>
      <c r="L6" s="470"/>
      <c r="M6" s="470"/>
      <c r="N6" s="470"/>
      <c r="O6" s="470"/>
      <c r="P6" s="470"/>
      <c r="Q6" s="465"/>
    </row>
    <row r="7" spans="1:17" x14ac:dyDescent="0.2">
      <c r="A7" s="470"/>
      <c r="B7" s="470"/>
      <c r="C7" s="470"/>
      <c r="D7" s="470"/>
      <c r="E7" s="470"/>
      <c r="F7" s="470"/>
      <c r="G7" s="470"/>
      <c r="H7" s="470"/>
      <c r="I7" s="470"/>
      <c r="J7" s="470"/>
      <c r="K7" s="470"/>
      <c r="L7" s="470"/>
      <c r="M7" s="470"/>
      <c r="N7" s="470"/>
      <c r="O7" s="470"/>
      <c r="P7" s="470"/>
      <c r="Q7" s="465"/>
    </row>
    <row r="8" spans="1:17" x14ac:dyDescent="0.2">
      <c r="B8" s="347"/>
      <c r="C8" s="347"/>
    </row>
    <row r="9" spans="1:17" ht="15.75" x14ac:dyDescent="0.25">
      <c r="B9" s="685" t="s">
        <v>310</v>
      </c>
      <c r="C9" s="357"/>
      <c r="D9" s="357"/>
      <c r="E9" s="357"/>
      <c r="F9" s="357"/>
      <c r="G9" s="357"/>
      <c r="H9" s="358"/>
      <c r="I9" s="359"/>
      <c r="J9" s="359"/>
    </row>
    <row r="10" spans="1:17" ht="15.75" x14ac:dyDescent="0.25">
      <c r="B10" s="685"/>
      <c r="C10" s="357"/>
      <c r="D10" s="357"/>
      <c r="E10" s="357"/>
      <c r="F10" s="686" t="s">
        <v>311</v>
      </c>
      <c r="G10" s="686"/>
      <c r="H10" s="687" t="s">
        <v>312</v>
      </c>
      <c r="I10" s="688" t="s">
        <v>313</v>
      </c>
      <c r="J10" s="359"/>
    </row>
    <row r="11" spans="1:17" x14ac:dyDescent="0.2">
      <c r="B11" s="689" t="s">
        <v>317</v>
      </c>
      <c r="C11" s="357"/>
      <c r="D11" s="357"/>
      <c r="F11" s="690">
        <v>114</v>
      </c>
      <c r="G11" s="691"/>
      <c r="H11" s="687">
        <v>0.8</v>
      </c>
      <c r="I11" s="692">
        <v>0.86</v>
      </c>
      <c r="J11" s="359"/>
      <c r="K11" s="72"/>
      <c r="L11" s="72"/>
      <c r="M11" s="72"/>
      <c r="N11" s="72"/>
      <c r="O11" s="72"/>
      <c r="P11" s="72"/>
      <c r="Q11" s="72"/>
    </row>
    <row r="12" spans="1:17" x14ac:dyDescent="0.2">
      <c r="A12" s="348"/>
      <c r="B12" s="357"/>
      <c r="C12" s="357"/>
      <c r="D12" s="357"/>
      <c r="E12" s="357"/>
      <c r="F12" s="357"/>
      <c r="G12" s="357"/>
      <c r="H12" s="358"/>
      <c r="I12" s="359"/>
      <c r="J12" s="359"/>
      <c r="K12" s="349"/>
      <c r="L12" s="349"/>
      <c r="M12" s="349"/>
      <c r="N12" s="350"/>
      <c r="O12" s="351"/>
      <c r="P12" s="351"/>
      <c r="Q12" s="351"/>
    </row>
    <row r="13" spans="1:17" ht="60" x14ac:dyDescent="0.2">
      <c r="B13" s="693" t="s">
        <v>314</v>
      </c>
      <c r="E13" s="694" t="s">
        <v>87</v>
      </c>
      <c r="F13" s="695" t="s">
        <v>133</v>
      </c>
      <c r="G13" s="695" t="s">
        <v>134</v>
      </c>
      <c r="H13" s="695" t="s">
        <v>88</v>
      </c>
      <c r="I13" s="695" t="s">
        <v>89</v>
      </c>
      <c r="J13" s="696" t="s">
        <v>131</v>
      </c>
    </row>
    <row r="14" spans="1:17" x14ac:dyDescent="0.2">
      <c r="A14" s="352"/>
      <c r="C14" s="697" t="s">
        <v>315</v>
      </c>
      <c r="E14" s="608">
        <v>20</v>
      </c>
      <c r="F14" s="608">
        <v>0</v>
      </c>
      <c r="G14" s="608">
        <v>0</v>
      </c>
      <c r="H14" s="608">
        <v>0</v>
      </c>
      <c r="I14" s="608">
        <v>0</v>
      </c>
      <c r="J14" s="698">
        <f>SUM(E14:I14)</f>
        <v>20</v>
      </c>
      <c r="K14" s="354"/>
      <c r="L14" s="355"/>
    </row>
    <row r="15" spans="1:17" x14ac:dyDescent="0.2">
      <c r="A15" s="352"/>
      <c r="C15" s="697" t="s">
        <v>318</v>
      </c>
      <c r="E15" s="608">
        <v>2</v>
      </c>
      <c r="F15" s="608">
        <v>0</v>
      </c>
      <c r="G15" s="608">
        <v>0</v>
      </c>
      <c r="H15" s="608">
        <v>0</v>
      </c>
      <c r="I15" s="608">
        <v>0</v>
      </c>
      <c r="J15" s="698">
        <f>SUM(E15:I15)</f>
        <v>2</v>
      </c>
      <c r="K15" s="354"/>
      <c r="L15" s="355"/>
    </row>
    <row r="16" spans="1:17" x14ac:dyDescent="0.2">
      <c r="A16" s="356"/>
      <c r="C16" s="697" t="s">
        <v>316</v>
      </c>
      <c r="E16" s="608">
        <v>1</v>
      </c>
      <c r="F16" s="608">
        <v>0</v>
      </c>
      <c r="G16" s="608">
        <v>0</v>
      </c>
      <c r="H16" s="608">
        <v>0</v>
      </c>
      <c r="I16" s="608">
        <v>0</v>
      </c>
      <c r="J16" s="698">
        <f>SUM(E16:I16)</f>
        <v>1</v>
      </c>
      <c r="K16" s="359"/>
      <c r="L16" s="360"/>
      <c r="M16" s="357"/>
      <c r="N16" s="357"/>
      <c r="O16" s="357"/>
      <c r="P16" s="357"/>
      <c r="Q16" s="357"/>
    </row>
    <row r="17" spans="1:17" x14ac:dyDescent="0.2">
      <c r="A17" s="356"/>
      <c r="C17" s="697" t="s">
        <v>319</v>
      </c>
      <c r="E17" s="608">
        <v>56</v>
      </c>
      <c r="F17" s="608">
        <v>0</v>
      </c>
      <c r="G17" s="608">
        <v>1</v>
      </c>
      <c r="H17" s="608">
        <v>0</v>
      </c>
      <c r="I17" s="608">
        <v>0</v>
      </c>
      <c r="J17" s="698">
        <f>SUM(E17:I17)</f>
        <v>57</v>
      </c>
      <c r="K17" s="359"/>
      <c r="L17" s="360"/>
      <c r="M17" s="357"/>
      <c r="N17" s="357"/>
      <c r="O17" s="357"/>
      <c r="P17" s="357"/>
      <c r="Q17" s="357"/>
    </row>
    <row r="18" spans="1:17" ht="15.75" x14ac:dyDescent="0.25">
      <c r="A18" s="361"/>
      <c r="E18" s="362"/>
      <c r="F18" s="354"/>
      <c r="G18" s="354"/>
      <c r="H18" s="354"/>
      <c r="J18" s="699">
        <f>SUM(J14:J17)</f>
        <v>80</v>
      </c>
      <c r="K18" s="359"/>
      <c r="L18" s="360"/>
      <c r="M18" s="357"/>
      <c r="N18" s="357"/>
      <c r="O18" s="357"/>
      <c r="P18" s="357"/>
      <c r="Q18" s="357"/>
    </row>
    <row r="19" spans="1:17" x14ac:dyDescent="0.2">
      <c r="A19" s="361"/>
      <c r="B19" s="359"/>
      <c r="C19" s="359"/>
      <c r="D19" s="359"/>
      <c r="E19" s="359"/>
      <c r="F19" s="359"/>
      <c r="G19" s="359"/>
      <c r="H19" s="358"/>
      <c r="I19" s="359"/>
      <c r="J19" s="359"/>
      <c r="K19" s="359"/>
      <c r="L19" s="360"/>
      <c r="M19" s="357"/>
      <c r="N19" s="357"/>
      <c r="O19" s="357"/>
      <c r="P19" s="357"/>
      <c r="Q19" s="357"/>
    </row>
    <row r="20" spans="1:17" x14ac:dyDescent="0.2">
      <c r="B20" s="1018" t="s">
        <v>342</v>
      </c>
      <c r="C20" s="1018"/>
      <c r="D20" s="1018"/>
      <c r="E20" s="1018"/>
      <c r="F20" s="1018"/>
      <c r="G20" s="1018"/>
      <c r="H20" s="1018"/>
      <c r="I20" s="1018"/>
      <c r="J20" s="1018"/>
      <c r="K20" s="1018"/>
      <c r="L20" s="1018"/>
      <c r="M20" s="1018"/>
      <c r="N20" s="1018"/>
    </row>
    <row r="21" spans="1:17" x14ac:dyDescent="0.2">
      <c r="B21" s="1018"/>
      <c r="C21" s="1018"/>
      <c r="D21" s="1018"/>
      <c r="E21" s="1018"/>
      <c r="F21" s="1018"/>
      <c r="G21" s="1018"/>
      <c r="H21" s="1018"/>
      <c r="I21" s="1018"/>
      <c r="J21" s="1018"/>
      <c r="K21" s="1018"/>
      <c r="L21" s="1018"/>
      <c r="M21" s="1018"/>
      <c r="N21" s="1018"/>
    </row>
    <row r="22" spans="1:17" x14ac:dyDescent="0.2">
      <c r="B22" s="1018"/>
      <c r="C22" s="1018"/>
      <c r="D22" s="1018"/>
      <c r="E22" s="1018"/>
      <c r="F22" s="1018"/>
      <c r="G22" s="1018"/>
      <c r="H22" s="1018"/>
      <c r="I22" s="1018"/>
      <c r="J22" s="1018"/>
      <c r="K22" s="1018"/>
      <c r="L22" s="1018"/>
      <c r="M22" s="1018"/>
      <c r="N22" s="1018"/>
    </row>
    <row r="23" spans="1:17" ht="12.75" customHeight="1" x14ac:dyDescent="0.2">
      <c r="B23" s="1019" t="s">
        <v>343</v>
      </c>
      <c r="C23" s="1019"/>
      <c r="D23" s="1019"/>
      <c r="E23" s="1019"/>
      <c r="F23" s="1019"/>
      <c r="G23" s="1019"/>
      <c r="H23" s="1019"/>
      <c r="I23" s="1019"/>
      <c r="J23" s="1019"/>
      <c r="K23" s="719"/>
      <c r="L23" s="719"/>
      <c r="M23" s="719"/>
      <c r="N23" s="719"/>
    </row>
    <row r="24" spans="1:17" x14ac:dyDescent="0.2">
      <c r="B24" s="1019"/>
      <c r="C24" s="1019"/>
      <c r="D24" s="1019"/>
      <c r="E24" s="1019"/>
      <c r="F24" s="1019"/>
      <c r="G24" s="1019"/>
      <c r="H24" s="1019"/>
      <c r="I24" s="1019"/>
      <c r="J24" s="1019"/>
      <c r="K24" s="719"/>
      <c r="L24" s="719"/>
      <c r="M24" s="719"/>
      <c r="N24" s="719"/>
    </row>
    <row r="25" spans="1:17" x14ac:dyDescent="0.2">
      <c r="B25" s="1019"/>
      <c r="C25" s="1019"/>
      <c r="D25" s="1019"/>
      <c r="E25" s="1019"/>
      <c r="F25" s="1019"/>
      <c r="G25" s="1019"/>
      <c r="H25" s="1019"/>
      <c r="I25" s="1019"/>
      <c r="J25" s="1019"/>
      <c r="K25" s="719"/>
      <c r="L25" s="719"/>
      <c r="M25" s="719"/>
      <c r="N25" s="719"/>
    </row>
    <row r="26" spans="1:17" x14ac:dyDescent="0.2">
      <c r="B26" s="719"/>
      <c r="C26" s="719"/>
      <c r="D26" s="719"/>
      <c r="E26" s="719"/>
      <c r="F26" s="719"/>
      <c r="G26" s="719"/>
      <c r="H26" s="719"/>
      <c r="I26" s="719"/>
      <c r="J26" s="719"/>
      <c r="K26" s="719"/>
      <c r="L26" s="719"/>
      <c r="M26" s="719"/>
      <c r="N26" s="719"/>
    </row>
    <row r="27" spans="1:17" x14ac:dyDescent="0.2">
      <c r="B27" s="719"/>
      <c r="C27" s="719"/>
      <c r="D27" s="719"/>
      <c r="E27" s="719"/>
      <c r="F27" s="719"/>
      <c r="G27" s="719"/>
      <c r="H27" s="719"/>
      <c r="I27" s="719"/>
      <c r="J27" s="719"/>
      <c r="K27" s="719"/>
      <c r="L27" s="719"/>
      <c r="M27" s="719"/>
      <c r="N27" s="719"/>
    </row>
    <row r="28" spans="1:17" ht="60" x14ac:dyDescent="0.2">
      <c r="B28" s="693" t="s">
        <v>344</v>
      </c>
      <c r="E28" s="694" t="s">
        <v>87</v>
      </c>
      <c r="F28" s="695" t="s">
        <v>133</v>
      </c>
      <c r="G28" s="695" t="s">
        <v>134</v>
      </c>
      <c r="H28" s="695" t="s">
        <v>88</v>
      </c>
      <c r="I28" s="695" t="s">
        <v>89</v>
      </c>
      <c r="J28" s="696" t="s">
        <v>131</v>
      </c>
    </row>
    <row r="29" spans="1:17" x14ac:dyDescent="0.2">
      <c r="A29" s="363"/>
      <c r="B29" s="697" t="s">
        <v>345</v>
      </c>
      <c r="E29" s="608">
        <v>12</v>
      </c>
      <c r="F29" s="608">
        <v>0</v>
      </c>
      <c r="G29" s="608">
        <v>0</v>
      </c>
      <c r="H29" s="608">
        <v>0</v>
      </c>
      <c r="I29" s="608">
        <v>0</v>
      </c>
      <c r="J29" s="698">
        <f>SUM(E29:I29)</f>
        <v>12</v>
      </c>
    </row>
    <row r="30" spans="1:17" x14ac:dyDescent="0.2">
      <c r="A30" s="363"/>
      <c r="B30" s="697" t="s">
        <v>315</v>
      </c>
      <c r="E30" s="608">
        <v>0</v>
      </c>
      <c r="F30" s="608">
        <v>0</v>
      </c>
      <c r="G30" s="608">
        <v>0</v>
      </c>
      <c r="H30" s="608">
        <v>0</v>
      </c>
      <c r="I30" s="608">
        <v>0</v>
      </c>
      <c r="J30" s="698">
        <v>0</v>
      </c>
    </row>
    <row r="31" spans="1:17" ht="15.75" x14ac:dyDescent="0.25">
      <c r="A31" s="363"/>
      <c r="E31" s="362"/>
      <c r="F31" s="354"/>
      <c r="G31" s="354"/>
      <c r="H31" s="354"/>
      <c r="J31" s="699">
        <v>12</v>
      </c>
    </row>
    <row r="32" spans="1:17" x14ac:dyDescent="0.2">
      <c r="B32" s="1019" t="s">
        <v>346</v>
      </c>
      <c r="C32" s="1019"/>
      <c r="D32" s="1019"/>
      <c r="E32" s="1019"/>
      <c r="F32" s="1019"/>
      <c r="G32" s="1019"/>
      <c r="H32" s="1019"/>
      <c r="I32" s="1019"/>
      <c r="J32" s="1019"/>
      <c r="K32" s="1019"/>
      <c r="L32" s="1019"/>
      <c r="M32" s="1019"/>
      <c r="N32" s="1019"/>
      <c r="O32" s="364"/>
      <c r="P32" s="364"/>
      <c r="Q32" s="364"/>
    </row>
    <row r="33" spans="1:17" x14ac:dyDescent="0.2">
      <c r="A33" s="361"/>
      <c r="B33" s="1019"/>
      <c r="C33" s="1019"/>
      <c r="D33" s="1019"/>
      <c r="E33" s="1019"/>
      <c r="F33" s="1019"/>
      <c r="G33" s="1019"/>
      <c r="H33" s="1019"/>
      <c r="I33" s="1019"/>
      <c r="J33" s="1019"/>
      <c r="K33" s="1019"/>
      <c r="L33" s="1019"/>
      <c r="M33" s="1019"/>
      <c r="N33" s="1019"/>
      <c r="O33" s="365"/>
      <c r="P33" s="365"/>
      <c r="Q33" s="365"/>
    </row>
    <row r="34" spans="1:17" x14ac:dyDescent="0.2">
      <c r="A34" s="356"/>
      <c r="B34" s="381"/>
      <c r="C34" s="381"/>
      <c r="D34" s="381"/>
      <c r="E34" s="381"/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381"/>
    </row>
    <row r="35" spans="1:17" ht="15.75" x14ac:dyDescent="0.2">
      <c r="A35" s="356"/>
      <c r="C35" s="1020">
        <v>2023</v>
      </c>
      <c r="D35" s="1021"/>
      <c r="E35" s="1021"/>
      <c r="F35" s="1021"/>
      <c r="G35" s="1021"/>
      <c r="H35" s="1021"/>
      <c r="I35" s="1022"/>
      <c r="O35" s="381"/>
      <c r="P35" s="381"/>
      <c r="Q35" s="381"/>
    </row>
    <row r="36" spans="1:17" ht="12.75" customHeight="1" x14ac:dyDescent="0.2">
      <c r="C36" s="1023" t="s">
        <v>365</v>
      </c>
      <c r="D36" s="1024"/>
      <c r="E36" s="1024"/>
      <c r="F36" s="1024"/>
      <c r="G36" s="1024"/>
      <c r="H36" s="1024"/>
      <c r="I36" s="1025"/>
    </row>
    <row r="37" spans="1:17" x14ac:dyDescent="0.2">
      <c r="C37" s="1026"/>
      <c r="D37" s="1027"/>
      <c r="E37" s="1027"/>
      <c r="F37" s="1027"/>
      <c r="G37" s="1027"/>
      <c r="H37" s="1027"/>
      <c r="I37" s="1028"/>
    </row>
    <row r="38" spans="1:17" x14ac:dyDescent="0.2">
      <c r="C38" s="1029"/>
      <c r="D38" s="1030"/>
      <c r="E38" s="1030"/>
      <c r="F38" s="1030"/>
      <c r="G38" s="1030"/>
      <c r="H38" s="1030"/>
      <c r="I38" s="1031"/>
    </row>
    <row r="39" spans="1:17" ht="15.75" customHeight="1" x14ac:dyDescent="0.2">
      <c r="C39" s="1008" t="s">
        <v>347</v>
      </c>
      <c r="D39" s="1009"/>
      <c r="E39" s="1009"/>
      <c r="F39" s="1008" t="s">
        <v>348</v>
      </c>
      <c r="G39" s="1012"/>
      <c r="H39" s="1012" t="s">
        <v>349</v>
      </c>
      <c r="I39" s="1014" t="s">
        <v>350</v>
      </c>
    </row>
    <row r="40" spans="1:17" x14ac:dyDescent="0.2">
      <c r="C40" s="1010"/>
      <c r="D40" s="1011"/>
      <c r="E40" s="1011"/>
      <c r="F40" s="1010"/>
      <c r="G40" s="1013"/>
      <c r="H40" s="1013"/>
      <c r="I40" s="1015"/>
    </row>
    <row r="41" spans="1:17" x14ac:dyDescent="0.2">
      <c r="C41" s="1044" t="s">
        <v>351</v>
      </c>
      <c r="D41" s="1045"/>
      <c r="E41" s="1046"/>
      <c r="F41" s="1044" t="s">
        <v>355</v>
      </c>
      <c r="G41" s="1046"/>
      <c r="H41" s="1053" t="s">
        <v>353</v>
      </c>
      <c r="I41" s="1035" t="s">
        <v>354</v>
      </c>
    </row>
    <row r="42" spans="1:17" ht="12" customHeight="1" x14ac:dyDescent="0.2">
      <c r="C42" s="1047"/>
      <c r="D42" s="1048"/>
      <c r="E42" s="1049"/>
      <c r="F42" s="1047"/>
      <c r="G42" s="1049"/>
      <c r="H42" s="1054"/>
      <c r="I42" s="1036"/>
    </row>
    <row r="43" spans="1:17" ht="12" customHeight="1" x14ac:dyDescent="0.2">
      <c r="C43" s="1050"/>
      <c r="D43" s="1051"/>
      <c r="E43" s="1052"/>
      <c r="F43" s="1050"/>
      <c r="G43" s="1052"/>
      <c r="H43" s="1055"/>
      <c r="I43" s="1037"/>
    </row>
    <row r="44" spans="1:17" ht="12" customHeight="1" x14ac:dyDescent="0.2">
      <c r="C44" s="1044" t="s">
        <v>360</v>
      </c>
      <c r="D44" s="1045"/>
      <c r="E44" s="1046"/>
      <c r="F44" s="1044" t="s">
        <v>362</v>
      </c>
      <c r="G44" s="1046"/>
      <c r="H44" s="1035" t="s">
        <v>353</v>
      </c>
      <c r="I44" s="1035" t="s">
        <v>356</v>
      </c>
    </row>
    <row r="45" spans="1:17" ht="12" customHeight="1" x14ac:dyDescent="0.2">
      <c r="C45" s="1047"/>
      <c r="D45" s="1048"/>
      <c r="E45" s="1049"/>
      <c r="F45" s="1047"/>
      <c r="G45" s="1049"/>
      <c r="H45" s="1036"/>
      <c r="I45" s="1036"/>
    </row>
    <row r="46" spans="1:17" ht="12" customHeight="1" x14ac:dyDescent="0.2">
      <c r="C46" s="1047"/>
      <c r="D46" s="1048"/>
      <c r="E46" s="1049"/>
      <c r="F46" s="1047"/>
      <c r="G46" s="1049"/>
      <c r="H46" s="1036"/>
      <c r="I46" s="1036"/>
    </row>
    <row r="47" spans="1:17" x14ac:dyDescent="0.2">
      <c r="C47" s="1050"/>
      <c r="D47" s="1051"/>
      <c r="E47" s="1052"/>
      <c r="F47" s="1050"/>
      <c r="G47" s="1052"/>
      <c r="H47" s="1037"/>
      <c r="I47" s="1037"/>
    </row>
    <row r="48" spans="1:17" x14ac:dyDescent="0.2">
      <c r="C48" s="1038" t="s">
        <v>361</v>
      </c>
      <c r="D48" s="1039"/>
      <c r="E48" s="1040"/>
      <c r="F48" s="1038" t="s">
        <v>352</v>
      </c>
      <c r="G48" s="1040"/>
      <c r="H48" s="721" t="s">
        <v>353</v>
      </c>
      <c r="I48" s="1035" t="s">
        <v>356</v>
      </c>
      <c r="L48" s="682"/>
      <c r="M48" s="682"/>
      <c r="N48" s="682"/>
    </row>
    <row r="49" spans="1:22" ht="15.75" x14ac:dyDescent="0.2">
      <c r="C49" s="1041"/>
      <c r="D49" s="1042"/>
      <c r="E49" s="1043"/>
      <c r="F49" s="1041"/>
      <c r="G49" s="1043"/>
      <c r="H49" s="722"/>
      <c r="I49" s="1037"/>
      <c r="L49" s="682"/>
      <c r="M49" s="682"/>
      <c r="N49" s="682"/>
      <c r="S49" s="1034"/>
      <c r="T49" s="1034"/>
      <c r="U49" s="1034"/>
      <c r="V49" s="1034"/>
    </row>
    <row r="50" spans="1:22" x14ac:dyDescent="0.2">
      <c r="C50" s="1038" t="s">
        <v>357</v>
      </c>
      <c r="D50" s="1039"/>
      <c r="E50" s="1040"/>
      <c r="F50" s="1023" t="s">
        <v>369</v>
      </c>
      <c r="G50" s="1025"/>
      <c r="H50" s="720"/>
      <c r="I50" s="1035" t="s">
        <v>356</v>
      </c>
      <c r="L50" s="357"/>
      <c r="M50" s="357"/>
      <c r="N50" s="357"/>
      <c r="S50" s="354"/>
      <c r="T50" s="354"/>
      <c r="U50" s="354"/>
      <c r="V50" s="354"/>
    </row>
    <row r="51" spans="1:22" x14ac:dyDescent="0.2">
      <c r="C51" s="1057"/>
      <c r="D51" s="1058"/>
      <c r="E51" s="1059"/>
      <c r="F51" s="1026"/>
      <c r="G51" s="1028"/>
      <c r="H51" s="723" t="s">
        <v>358</v>
      </c>
      <c r="I51" s="1036"/>
      <c r="L51" s="382"/>
      <c r="M51" s="382"/>
      <c r="N51" s="357"/>
      <c r="S51" s="459"/>
      <c r="T51" s="1033"/>
      <c r="U51" s="1033"/>
      <c r="V51" s="1033"/>
    </row>
    <row r="52" spans="1:22" ht="12.75" customHeight="1" x14ac:dyDescent="0.2">
      <c r="C52" s="1041"/>
      <c r="D52" s="1042"/>
      <c r="E52" s="1043"/>
      <c r="F52" s="1029"/>
      <c r="G52" s="1031"/>
      <c r="H52" s="724"/>
      <c r="I52" s="1037"/>
      <c r="L52" s="682"/>
      <c r="M52" s="682"/>
      <c r="N52" s="382"/>
      <c r="S52" s="462"/>
      <c r="T52" s="1033"/>
      <c r="U52" s="1033"/>
      <c r="V52" s="1033"/>
    </row>
    <row r="53" spans="1:22" x14ac:dyDescent="0.2">
      <c r="B53" s="356"/>
      <c r="C53" s="1038" t="s">
        <v>359</v>
      </c>
      <c r="D53" s="1039"/>
      <c r="E53" s="1040"/>
      <c r="F53" s="1063" t="s">
        <v>363</v>
      </c>
      <c r="G53" s="1064"/>
      <c r="H53" s="1035" t="s">
        <v>364</v>
      </c>
      <c r="I53" s="1060" t="s">
        <v>356</v>
      </c>
      <c r="J53" s="682"/>
      <c r="K53" s="682"/>
      <c r="L53" s="682"/>
      <c r="M53" s="682"/>
      <c r="N53" s="682"/>
      <c r="S53" s="462"/>
      <c r="T53" s="1033"/>
      <c r="U53" s="1033"/>
      <c r="V53" s="1033"/>
    </row>
    <row r="54" spans="1:22" x14ac:dyDescent="0.2">
      <c r="B54" s="356"/>
      <c r="C54" s="1057"/>
      <c r="D54" s="1058"/>
      <c r="E54" s="1059"/>
      <c r="F54" s="1065"/>
      <c r="G54" s="1066"/>
      <c r="H54" s="1036"/>
      <c r="I54" s="1061"/>
      <c r="J54" s="357"/>
      <c r="K54" s="357"/>
      <c r="L54" s="682"/>
      <c r="M54" s="682"/>
      <c r="N54" s="682"/>
      <c r="S54" s="462"/>
      <c r="T54" s="1033"/>
      <c r="U54" s="1033"/>
      <c r="V54" s="1033"/>
    </row>
    <row r="55" spans="1:22" x14ac:dyDescent="0.2">
      <c r="B55" s="356"/>
      <c r="C55" s="1041"/>
      <c r="D55" s="1042"/>
      <c r="E55" s="1043"/>
      <c r="F55" s="1067"/>
      <c r="G55" s="1068"/>
      <c r="H55" s="1037"/>
      <c r="I55" s="1062"/>
      <c r="J55" s="357"/>
      <c r="K55" s="357"/>
      <c r="L55" s="357"/>
      <c r="M55" s="357"/>
      <c r="N55" s="682"/>
      <c r="S55" s="459"/>
      <c r="T55" s="460"/>
      <c r="U55" s="460"/>
      <c r="V55" s="460"/>
    </row>
    <row r="56" spans="1:22" x14ac:dyDescent="0.2">
      <c r="B56" s="356"/>
      <c r="G56" s="71">
        <v>5</v>
      </c>
      <c r="H56" s="71">
        <v>8</v>
      </c>
      <c r="I56" s="357">
        <v>114</v>
      </c>
      <c r="J56" s="357"/>
      <c r="K56" s="357"/>
      <c r="L56" s="357"/>
      <c r="M56" s="357"/>
      <c r="N56" s="357"/>
      <c r="S56" s="463"/>
      <c r="T56" s="1032"/>
      <c r="U56" s="1032"/>
      <c r="V56" s="1032"/>
    </row>
    <row r="57" spans="1:22" x14ac:dyDescent="0.2">
      <c r="A57" s="361"/>
      <c r="B57" s="1056" t="s">
        <v>366</v>
      </c>
      <c r="C57" s="1056"/>
      <c r="D57" s="1056"/>
      <c r="E57" s="1056"/>
      <c r="F57" s="1056"/>
      <c r="G57" s="1056"/>
      <c r="H57" s="1056"/>
      <c r="I57" s="1056"/>
      <c r="J57" s="1056"/>
      <c r="K57" s="1056"/>
      <c r="L57" s="1056"/>
      <c r="M57" s="1056"/>
      <c r="N57" s="1056"/>
      <c r="O57" s="382"/>
      <c r="S57" s="464"/>
      <c r="T57" s="1032"/>
      <c r="U57" s="1032"/>
      <c r="V57" s="1032"/>
    </row>
    <row r="58" spans="1:22" x14ac:dyDescent="0.2">
      <c r="A58" s="356"/>
      <c r="B58" s="1056"/>
      <c r="C58" s="1056"/>
      <c r="D58" s="1056"/>
      <c r="E58" s="1056"/>
      <c r="F58" s="1056"/>
      <c r="G58" s="1056"/>
      <c r="H58" s="1056"/>
      <c r="I58" s="1056"/>
      <c r="J58" s="1056"/>
      <c r="K58" s="1056"/>
      <c r="L58" s="1056"/>
      <c r="M58" s="1056"/>
      <c r="N58" s="1056"/>
      <c r="O58" s="381"/>
      <c r="S58" s="354"/>
      <c r="T58" s="354"/>
      <c r="U58" s="354"/>
      <c r="V58" s="354"/>
    </row>
    <row r="59" spans="1:22" x14ac:dyDescent="0.2">
      <c r="A59" s="356"/>
      <c r="B59" s="381"/>
      <c r="C59" s="381"/>
      <c r="D59" s="381"/>
      <c r="E59" s="381"/>
      <c r="F59" s="381"/>
      <c r="G59" s="381"/>
      <c r="H59" s="381"/>
      <c r="I59" s="381"/>
      <c r="J59" s="381"/>
      <c r="K59" s="381"/>
      <c r="L59" s="381"/>
      <c r="M59" s="381"/>
      <c r="N59" s="381"/>
      <c r="O59" s="381"/>
      <c r="S59" s="353"/>
      <c r="T59" s="1032"/>
      <c r="U59" s="1032"/>
      <c r="V59" s="1032"/>
    </row>
    <row r="60" spans="1:22" x14ac:dyDescent="0.2">
      <c r="A60" s="356"/>
      <c r="B60" s="1056" t="s">
        <v>367</v>
      </c>
      <c r="C60" s="1056"/>
      <c r="D60" s="1056"/>
      <c r="E60" s="1056"/>
      <c r="F60" s="1056"/>
      <c r="G60" s="1056"/>
      <c r="H60" s="1056"/>
      <c r="I60" s="1056"/>
      <c r="J60" s="1056"/>
      <c r="K60" s="1056"/>
      <c r="L60" s="1056"/>
      <c r="M60" s="1056"/>
      <c r="N60" s="1056"/>
      <c r="O60" s="381"/>
      <c r="S60" s="354"/>
      <c r="T60" s="1032"/>
      <c r="U60" s="1032"/>
      <c r="V60" s="1032"/>
    </row>
    <row r="61" spans="1:22" x14ac:dyDescent="0.2">
      <c r="A61" s="356"/>
      <c r="B61" s="1056"/>
      <c r="C61" s="1056"/>
      <c r="D61" s="1056"/>
      <c r="E61" s="1056"/>
      <c r="F61" s="1056"/>
      <c r="G61" s="1056"/>
      <c r="H61" s="1056"/>
      <c r="I61" s="1056"/>
      <c r="J61" s="1056"/>
      <c r="K61" s="1056"/>
      <c r="L61" s="1056"/>
      <c r="M61" s="1056"/>
      <c r="N61" s="1056"/>
      <c r="O61" s="357"/>
      <c r="S61" s="354"/>
      <c r="T61" s="461"/>
      <c r="U61" s="461"/>
      <c r="V61" s="461"/>
    </row>
    <row r="62" spans="1:22" x14ac:dyDescent="0.2">
      <c r="A62" s="356"/>
      <c r="B62" s="357"/>
      <c r="C62" s="357"/>
      <c r="D62" s="357"/>
      <c r="E62" s="357"/>
      <c r="F62" s="357"/>
      <c r="G62" s="357"/>
      <c r="H62" s="357"/>
      <c r="I62" s="357"/>
      <c r="J62" s="357"/>
      <c r="K62" s="357"/>
      <c r="L62" s="357"/>
      <c r="M62" s="357"/>
      <c r="N62" s="357"/>
      <c r="O62" s="357"/>
      <c r="S62" s="353"/>
      <c r="T62" s="1032"/>
      <c r="U62" s="1032"/>
      <c r="V62" s="1032"/>
    </row>
    <row r="63" spans="1:22" x14ac:dyDescent="0.2">
      <c r="A63" s="356"/>
      <c r="B63" s="357"/>
      <c r="C63" s="357"/>
      <c r="D63" s="357"/>
      <c r="E63" s="357"/>
      <c r="F63" s="357"/>
      <c r="G63" s="357"/>
      <c r="H63" s="357"/>
      <c r="I63" s="357"/>
      <c r="J63" s="357"/>
      <c r="K63" s="357"/>
      <c r="L63" s="357"/>
      <c r="M63" s="357"/>
      <c r="N63" s="357"/>
      <c r="O63" s="357"/>
      <c r="S63" s="354"/>
      <c r="T63" s="1032"/>
      <c r="U63" s="1032"/>
      <c r="V63" s="1032"/>
    </row>
    <row r="64" spans="1:22" x14ac:dyDescent="0.2">
      <c r="A64" s="356"/>
      <c r="B64" s="357"/>
      <c r="C64" s="357"/>
      <c r="D64" s="357"/>
      <c r="E64" s="357"/>
      <c r="F64" s="357"/>
      <c r="G64" s="357"/>
      <c r="H64" s="357"/>
      <c r="I64" s="357"/>
      <c r="J64" s="357"/>
      <c r="M64" s="357"/>
      <c r="N64" s="357"/>
      <c r="O64" s="357"/>
    </row>
    <row r="65" spans="1:22" x14ac:dyDescent="0.2">
      <c r="A65" s="356"/>
      <c r="B65" s="357"/>
      <c r="C65" s="357"/>
      <c r="D65" s="357"/>
      <c r="E65" s="357"/>
      <c r="F65" s="357"/>
      <c r="G65" s="357"/>
      <c r="H65" s="357"/>
      <c r="I65" s="357"/>
      <c r="J65" s="357"/>
      <c r="K65" s="357"/>
      <c r="L65" s="357"/>
      <c r="M65" s="357"/>
      <c r="N65" s="357"/>
      <c r="O65" s="357"/>
    </row>
    <row r="66" spans="1:22" x14ac:dyDescent="0.2">
      <c r="A66" s="356"/>
      <c r="B66" s="388"/>
      <c r="C66" s="383"/>
      <c r="D66" s="357"/>
      <c r="E66" s="357"/>
      <c r="F66" s="357"/>
      <c r="G66" s="357"/>
      <c r="H66" s="357"/>
      <c r="I66" s="357"/>
      <c r="J66" s="357"/>
      <c r="K66" s="357"/>
      <c r="L66" s="357"/>
      <c r="M66" s="357"/>
      <c r="N66" s="357"/>
      <c r="O66" s="357"/>
    </row>
    <row r="67" spans="1:22" x14ac:dyDescent="0.2">
      <c r="A67" s="356"/>
      <c r="B67" s="360"/>
      <c r="C67" s="384"/>
      <c r="D67" s="357"/>
      <c r="E67" s="357"/>
      <c r="F67" s="357"/>
      <c r="G67" s="357"/>
      <c r="H67" s="357"/>
      <c r="I67" s="357"/>
      <c r="J67" s="357"/>
      <c r="K67" s="357"/>
      <c r="L67" s="357"/>
      <c r="M67" s="357"/>
      <c r="N67" s="357"/>
      <c r="O67" s="357"/>
    </row>
    <row r="68" spans="1:22" ht="15" x14ac:dyDescent="0.25">
      <c r="A68" s="356"/>
      <c r="B68" s="357"/>
      <c r="C68" s="357"/>
      <c r="D68" s="357"/>
      <c r="E68" s="357"/>
      <c r="F68" s="357"/>
      <c r="G68" s="357"/>
      <c r="H68" s="357"/>
      <c r="I68" s="357"/>
      <c r="J68" s="357"/>
      <c r="K68" s="357"/>
      <c r="L68" s="357"/>
      <c r="M68" s="357"/>
      <c r="N68" s="357"/>
      <c r="O68" s="357"/>
      <c r="P68" s="357"/>
      <c r="Q68" s="357"/>
      <c r="R68" s="385"/>
      <c r="S68" s="385"/>
      <c r="T68" s="385"/>
      <c r="U68" s="385"/>
      <c r="V68" s="385"/>
    </row>
    <row r="69" spans="1:22" x14ac:dyDescent="0.2">
      <c r="A69" s="356"/>
      <c r="B69" s="388"/>
      <c r="C69" s="383"/>
      <c r="D69" s="357"/>
      <c r="E69" s="357"/>
      <c r="F69" s="357"/>
      <c r="G69" s="357"/>
      <c r="H69" s="357"/>
      <c r="I69" s="357"/>
      <c r="J69" s="357"/>
      <c r="K69" s="357"/>
      <c r="L69" s="357"/>
      <c r="M69" s="357"/>
    </row>
    <row r="70" spans="1:22" x14ac:dyDescent="0.2">
      <c r="A70" s="356"/>
      <c r="B70" s="389"/>
      <c r="C70" s="383"/>
      <c r="D70" s="357"/>
      <c r="E70" s="357"/>
      <c r="F70" s="357"/>
      <c r="G70" s="357"/>
      <c r="H70" s="357"/>
      <c r="I70" s="357"/>
      <c r="J70" s="357"/>
      <c r="K70" s="357"/>
      <c r="L70" s="357"/>
      <c r="M70" s="357"/>
    </row>
    <row r="71" spans="1:22" x14ac:dyDescent="0.2">
      <c r="A71" s="356"/>
      <c r="B71" s="381"/>
      <c r="C71" s="383"/>
      <c r="D71" s="357"/>
      <c r="E71" s="357"/>
      <c r="F71" s="357"/>
      <c r="G71" s="357"/>
      <c r="H71" s="357"/>
      <c r="I71" s="357"/>
      <c r="J71" s="357"/>
      <c r="K71" s="357"/>
      <c r="L71" s="357"/>
      <c r="M71" s="357"/>
    </row>
  </sheetData>
  <mergeCells count="36">
    <mergeCell ref="C41:E43"/>
    <mergeCell ref="F41:G43"/>
    <mergeCell ref="H41:H43"/>
    <mergeCell ref="I41:I43"/>
    <mergeCell ref="B60:N61"/>
    <mergeCell ref="B57:N58"/>
    <mergeCell ref="C53:E55"/>
    <mergeCell ref="H53:H55"/>
    <mergeCell ref="I53:I55"/>
    <mergeCell ref="F53:G55"/>
    <mergeCell ref="C44:E47"/>
    <mergeCell ref="F44:G47"/>
    <mergeCell ref="F48:G49"/>
    <mergeCell ref="F50:G52"/>
    <mergeCell ref="C50:E52"/>
    <mergeCell ref="I50:I52"/>
    <mergeCell ref="S49:V49"/>
    <mergeCell ref="H44:H47"/>
    <mergeCell ref="I44:I47"/>
    <mergeCell ref="C48:E49"/>
    <mergeCell ref="I48:I49"/>
    <mergeCell ref="T59:V60"/>
    <mergeCell ref="T62:V63"/>
    <mergeCell ref="T56:V56"/>
    <mergeCell ref="T57:V57"/>
    <mergeCell ref="T51:V54"/>
    <mergeCell ref="C39:E40"/>
    <mergeCell ref="F39:G40"/>
    <mergeCell ref="H39:H40"/>
    <mergeCell ref="I39:I40"/>
    <mergeCell ref="J4:K4"/>
    <mergeCell ref="B20:N22"/>
    <mergeCell ref="B23:J25"/>
    <mergeCell ref="B32:N33"/>
    <mergeCell ref="C35:I35"/>
    <mergeCell ref="C36:I38"/>
  </mergeCells>
  <pageMargins left="0.7" right="0.7" top="0.75" bottom="0.75" header="0.3" footer="0.3"/>
  <pageSetup orientation="portrait" r:id="rId1"/>
  <ignoredErrors>
    <ignoredError sqref="J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  <pageSetUpPr fitToPage="1"/>
  </sheetPr>
  <dimension ref="A2:O25"/>
  <sheetViews>
    <sheetView zoomScale="90" zoomScaleNormal="90" workbookViewId="0">
      <selection activeCell="L34" sqref="L34"/>
    </sheetView>
  </sheetViews>
  <sheetFormatPr baseColWidth="10" defaultColWidth="11.42578125" defaultRowHeight="15" x14ac:dyDescent="0.25"/>
  <cols>
    <col min="1" max="1" width="38.140625" style="488" bestFit="1" customWidth="1"/>
    <col min="2" max="2" width="12.7109375" style="488" bestFit="1" customWidth="1"/>
    <col min="3" max="13" width="13.85546875" style="488" bestFit="1" customWidth="1"/>
    <col min="14" max="14" width="14.85546875" style="488" bestFit="1" customWidth="1"/>
    <col min="15" max="15" width="13.85546875" style="488" bestFit="1" customWidth="1"/>
    <col min="16" max="16384" width="11.42578125" style="488"/>
  </cols>
  <sheetData>
    <row r="2" spans="1:15" ht="15.75" x14ac:dyDescent="0.25">
      <c r="A2" s="1069" t="s">
        <v>244</v>
      </c>
      <c r="B2" s="1069"/>
      <c r="C2" s="1069"/>
      <c r="D2" s="1069"/>
    </row>
    <row r="4" spans="1:15" x14ac:dyDescent="0.25">
      <c r="A4" s="489" t="s">
        <v>251</v>
      </c>
      <c r="B4" s="490" t="s">
        <v>227</v>
      </c>
      <c r="C4" s="490" t="s">
        <v>228</v>
      </c>
      <c r="D4" s="490" t="s">
        <v>229</v>
      </c>
      <c r="E4" s="490" t="s">
        <v>230</v>
      </c>
      <c r="F4" s="490" t="s">
        <v>231</v>
      </c>
      <c r="G4" s="490" t="s">
        <v>232</v>
      </c>
      <c r="H4" s="490" t="s">
        <v>233</v>
      </c>
      <c r="I4" s="490" t="s">
        <v>234</v>
      </c>
      <c r="J4" s="490" t="s">
        <v>235</v>
      </c>
      <c r="K4" s="490" t="s">
        <v>236</v>
      </c>
      <c r="L4" s="490" t="s">
        <v>237</v>
      </c>
      <c r="M4" s="490" t="s">
        <v>238</v>
      </c>
    </row>
    <row r="5" spans="1:15" x14ac:dyDescent="0.25">
      <c r="A5" s="491" t="s">
        <v>245</v>
      </c>
      <c r="B5" s="492"/>
      <c r="C5" s="492"/>
      <c r="D5" s="492">
        <f>+'B) Reajuste Tarifas y Ocupación'!$I$30</f>
        <v>70</v>
      </c>
      <c r="E5" s="492">
        <f>+'B) Reajuste Tarifas y Ocupación'!$I$30</f>
        <v>70</v>
      </c>
      <c r="F5" s="492">
        <f>+'B) Reajuste Tarifas y Ocupación'!$I$30</f>
        <v>70</v>
      </c>
      <c r="G5" s="492">
        <f>+'B) Reajuste Tarifas y Ocupación'!$I$30</f>
        <v>70</v>
      </c>
      <c r="H5" s="492">
        <f>+'B) Reajuste Tarifas y Ocupación'!$I$30</f>
        <v>70</v>
      </c>
      <c r="I5" s="492">
        <f>+'B) Reajuste Tarifas y Ocupación'!$I$30</f>
        <v>70</v>
      </c>
      <c r="J5" s="492">
        <f>+'B) Reajuste Tarifas y Ocupación'!$I$30</f>
        <v>70</v>
      </c>
      <c r="K5" s="492">
        <f>+'B) Reajuste Tarifas y Ocupación'!$I$30</f>
        <v>70</v>
      </c>
      <c r="L5" s="492">
        <f>+'B) Reajuste Tarifas y Ocupación'!$I$30</f>
        <v>70</v>
      </c>
      <c r="M5" s="492">
        <f>+'B) Reajuste Tarifas y Ocupación'!$I$30</f>
        <v>70</v>
      </c>
    </row>
    <row r="6" spans="1:15" x14ac:dyDescent="0.25">
      <c r="A6" s="491" t="s">
        <v>246</v>
      </c>
      <c r="B6" s="492">
        <f>+COUNTA('F) Remuneraciones'!$C$11:$C$25)</f>
        <v>13</v>
      </c>
      <c r="C6" s="492">
        <f>+COUNTA('F) Remuneraciones'!$C$11:$C$25)</f>
        <v>13</v>
      </c>
      <c r="D6" s="492">
        <f>+COUNTA('F) Remuneraciones'!$C$11:$C$25)</f>
        <v>13</v>
      </c>
      <c r="E6" s="492">
        <f>+COUNTA('F) Remuneraciones'!$C$11:$C$25)</f>
        <v>13</v>
      </c>
      <c r="F6" s="492">
        <f>+COUNTA('F) Remuneraciones'!$C$11:$C$25)</f>
        <v>13</v>
      </c>
      <c r="G6" s="492">
        <f>+COUNTA('F) Remuneraciones'!$C$11:$C$25)</f>
        <v>13</v>
      </c>
      <c r="H6" s="492">
        <f>+COUNTA('F) Remuneraciones'!$C$11:$C$25)</f>
        <v>13</v>
      </c>
      <c r="I6" s="492">
        <f>+COUNTA('F) Remuneraciones'!$C$11:$C$25)</f>
        <v>13</v>
      </c>
      <c r="J6" s="492">
        <f>+COUNTA('F) Remuneraciones'!$C$11:$C$25)</f>
        <v>13</v>
      </c>
      <c r="K6" s="492">
        <f>+COUNTA('F) Remuneraciones'!$C$11:$C$25)</f>
        <v>13</v>
      </c>
      <c r="L6" s="492">
        <f>+COUNTA('F) Remuneraciones'!$C$11:$C$25)</f>
        <v>13</v>
      </c>
      <c r="M6" s="492">
        <f>+COUNTA('F) Remuneraciones'!$C$11:$C$25)</f>
        <v>13</v>
      </c>
    </row>
    <row r="7" spans="1:15" x14ac:dyDescent="0.25">
      <c r="A7" s="491"/>
      <c r="B7" s="493"/>
      <c r="C7" s="493"/>
      <c r="D7" s="493"/>
      <c r="E7" s="493"/>
      <c r="F7" s="493"/>
      <c r="G7" s="493"/>
      <c r="H7" s="493"/>
      <c r="I7" s="493"/>
      <c r="J7" s="493"/>
      <c r="K7" s="493"/>
      <c r="L7" s="493"/>
      <c r="M7" s="493"/>
    </row>
    <row r="8" spans="1:15" ht="30" x14ac:dyDescent="0.25">
      <c r="A8" s="494" t="str">
        <f>+'A) Resumen Ingresos y Egresos'!A20</f>
        <v>Jardín Infantil Mar y Cielo</v>
      </c>
      <c r="B8" s="490" t="s">
        <v>227</v>
      </c>
      <c r="C8" s="490" t="s">
        <v>228</v>
      </c>
      <c r="D8" s="490" t="s">
        <v>229</v>
      </c>
      <c r="E8" s="490" t="s">
        <v>230</v>
      </c>
      <c r="F8" s="490" t="s">
        <v>231</v>
      </c>
      <c r="G8" s="490" t="s">
        <v>232</v>
      </c>
      <c r="H8" s="490" t="s">
        <v>233</v>
      </c>
      <c r="I8" s="490" t="s">
        <v>234</v>
      </c>
      <c r="J8" s="490" t="s">
        <v>235</v>
      </c>
      <c r="K8" s="490" t="s">
        <v>236</v>
      </c>
      <c r="L8" s="490" t="s">
        <v>237</v>
      </c>
      <c r="M8" s="490" t="s">
        <v>238</v>
      </c>
      <c r="N8" s="490" t="s">
        <v>247</v>
      </c>
    </row>
    <row r="9" spans="1:15" x14ac:dyDescent="0.25">
      <c r="A9" s="495" t="s">
        <v>239</v>
      </c>
      <c r="B9" s="496">
        <f>+'A) Resumen Ingresos y Egresos'!P32</f>
        <v>0</v>
      </c>
      <c r="C9" s="496">
        <f>+'A) Resumen Ingresos y Egresos'!N32*0.7</f>
        <v>7295890</v>
      </c>
      <c r="D9" s="496">
        <f>+'A) Resumen Ingresos y Egresos'!N32*0.3+'A) Resumen Ingresos y Egresos'!O32*0.1</f>
        <v>13549510</v>
      </c>
      <c r="E9" s="496">
        <f>+'A) Resumen Ingresos y Egresos'!$O$32*0.1</f>
        <v>10422700</v>
      </c>
      <c r="F9" s="496">
        <f>+'A) Resumen Ingresos y Egresos'!$O$32*0.1</f>
        <v>10422700</v>
      </c>
      <c r="G9" s="496">
        <f>+'A) Resumen Ingresos y Egresos'!$O$32*0.1</f>
        <v>10422700</v>
      </c>
      <c r="H9" s="496">
        <f>+'A) Resumen Ingresos y Egresos'!$O$32*0.1</f>
        <v>10422700</v>
      </c>
      <c r="I9" s="496">
        <f>+'A) Resumen Ingresos y Egresos'!$O$32*0.1</f>
        <v>10422700</v>
      </c>
      <c r="J9" s="496">
        <f>+'A) Resumen Ingresos y Egresos'!$O$32*0.1</f>
        <v>10422700</v>
      </c>
      <c r="K9" s="496">
        <f>+'A) Resumen Ingresos y Egresos'!$O$32*0.1</f>
        <v>10422700</v>
      </c>
      <c r="L9" s="496">
        <f>+'A) Resumen Ingresos y Egresos'!$O$32*0.1</f>
        <v>10422700</v>
      </c>
      <c r="M9" s="496">
        <f>+'A) Resumen Ingresos y Egresos'!$O$32*0.1</f>
        <v>10422700</v>
      </c>
      <c r="N9" s="497">
        <f>SUM(B9:M9)</f>
        <v>114649700</v>
      </c>
    </row>
    <row r="10" spans="1:15" x14ac:dyDescent="0.25">
      <c r="A10" s="495" t="s">
        <v>240</v>
      </c>
      <c r="B10" s="496">
        <f>SUM('F) Remuneraciones'!$H$11:$H$25)/12</f>
        <v>6232387.7450000001</v>
      </c>
      <c r="C10" s="496">
        <f>SUM('F) Remuneraciones'!$H$11:$H$25)/12</f>
        <v>6232387.7450000001</v>
      </c>
      <c r="D10" s="496">
        <f>SUM('F) Remuneraciones'!$H$11:$H$25)/12</f>
        <v>6232387.7450000001</v>
      </c>
      <c r="E10" s="496">
        <f>SUM('F) Remuneraciones'!$H$11:$H$25)/12</f>
        <v>6232387.7450000001</v>
      </c>
      <c r="F10" s="496">
        <f>SUM('F) Remuneraciones'!$H$11:$H$25)/12</f>
        <v>6232387.7450000001</v>
      </c>
      <c r="G10" s="496">
        <f>SUM('F) Remuneraciones'!$H$11:$H$25)/12</f>
        <v>6232387.7450000001</v>
      </c>
      <c r="H10" s="496">
        <f>SUM('F) Remuneraciones'!$H$11:$H$25)/12</f>
        <v>6232387.7450000001</v>
      </c>
      <c r="I10" s="496">
        <f>SUM('F) Remuneraciones'!$H$11:$H$25)/12</f>
        <v>6232387.7450000001</v>
      </c>
      <c r="J10" s="496">
        <f>SUM('F) Remuneraciones'!$H$11:$H$25)/12</f>
        <v>6232387.7450000001</v>
      </c>
      <c r="K10" s="496">
        <f>SUM('F) Remuneraciones'!$H$11:$H$25)/12</f>
        <v>6232387.7450000001</v>
      </c>
      <c r="L10" s="496">
        <f>SUM('F) Remuneraciones'!$H$11:$H$25)/12</f>
        <v>6232387.7450000001</v>
      </c>
      <c r="M10" s="496">
        <f>SUM('F) Remuneraciones'!$H$11:$H$25)/12</f>
        <v>6232387.7450000001</v>
      </c>
      <c r="N10" s="497">
        <f t="shared" ref="N10:N12" si="0">SUM(B10:M10)</f>
        <v>74788652.939999998</v>
      </c>
    </row>
    <row r="11" spans="1:15" x14ac:dyDescent="0.25">
      <c r="A11" s="495" t="s">
        <v>242</v>
      </c>
      <c r="B11" s="496">
        <f>SUM('F) Remuneraciones'!I11:I25)*0.5</f>
        <v>901052.5</v>
      </c>
      <c r="C11" s="496">
        <v>0</v>
      </c>
      <c r="D11" s="496">
        <v>0</v>
      </c>
      <c r="E11" s="496">
        <v>0</v>
      </c>
      <c r="F11" s="496">
        <v>0</v>
      </c>
      <c r="G11" s="496">
        <v>0</v>
      </c>
      <c r="H11" s="496">
        <v>0</v>
      </c>
      <c r="I11" s="496">
        <v>0</v>
      </c>
      <c r="J11" s="496">
        <f>SUM('F) Remuneraciones'!J11:J25)*0.5</f>
        <v>555008.5</v>
      </c>
      <c r="K11" s="496">
        <v>0</v>
      </c>
      <c r="L11" s="496">
        <v>0</v>
      </c>
      <c r="M11" s="496">
        <f>+B11+J11</f>
        <v>1456061</v>
      </c>
      <c r="N11" s="497">
        <f t="shared" si="0"/>
        <v>2912122</v>
      </c>
    </row>
    <row r="12" spans="1:15" x14ac:dyDescent="0.25">
      <c r="A12" s="495" t="s">
        <v>241</v>
      </c>
      <c r="B12" s="496">
        <f>(+'C) Costos Directos'!$H$75-'C) Costos Directos'!$D$14)/12</f>
        <v>3503703.9791166671</v>
      </c>
      <c r="C12" s="496">
        <f>(+'C) Costos Directos'!$H$75-'C) Costos Directos'!$D$14)/12</f>
        <v>3503703.9791166671</v>
      </c>
      <c r="D12" s="496">
        <f>(+'C) Costos Directos'!$H$75-'C) Costos Directos'!$D$14)/12</f>
        <v>3503703.9791166671</v>
      </c>
      <c r="E12" s="496">
        <f>(+'C) Costos Directos'!$H$75-'C) Costos Directos'!$D$14)/12</f>
        <v>3503703.9791166671</v>
      </c>
      <c r="F12" s="496">
        <f>(+'C) Costos Directos'!$H$75-'C) Costos Directos'!$D$14)/12</f>
        <v>3503703.9791166671</v>
      </c>
      <c r="G12" s="496">
        <f>(+'C) Costos Directos'!$H$75-'C) Costos Directos'!$D$14)/12</f>
        <v>3503703.9791166671</v>
      </c>
      <c r="H12" s="496">
        <f>(+'C) Costos Directos'!$H$75-'C) Costos Directos'!$D$14)/12</f>
        <v>3503703.9791166671</v>
      </c>
      <c r="I12" s="496">
        <f>(+'C) Costos Directos'!$H$75-'C) Costos Directos'!$D$14)/12</f>
        <v>3503703.9791166671</v>
      </c>
      <c r="J12" s="496">
        <f>(+'C) Costos Directos'!$H$75-'C) Costos Directos'!$D$14)/12</f>
        <v>3503703.9791166671</v>
      </c>
      <c r="K12" s="496">
        <f>(+'C) Costos Directos'!$H$75-'C) Costos Directos'!$D$14)/12</f>
        <v>3503703.9791166671</v>
      </c>
      <c r="L12" s="496">
        <f>(+'C) Costos Directos'!$H$75-'C) Costos Directos'!$D$14)/12</f>
        <v>3503703.9791166671</v>
      </c>
      <c r="M12" s="496">
        <f>(+'C) Costos Directos'!$H$75-'C) Costos Directos'!$D$14)/12</f>
        <v>3503703.9791166671</v>
      </c>
      <c r="N12" s="497">
        <f t="shared" si="0"/>
        <v>42044447.749400005</v>
      </c>
      <c r="O12" s="496"/>
    </row>
    <row r="13" spans="1:15" x14ac:dyDescent="0.25">
      <c r="A13" s="498" t="s">
        <v>248</v>
      </c>
      <c r="B13" s="499">
        <f t="shared" ref="B13:M13" si="1">+B9-B10-B11-B12</f>
        <v>-10637144.224116668</v>
      </c>
      <c r="C13" s="499">
        <f t="shared" si="1"/>
        <v>-2440201.7241166672</v>
      </c>
      <c r="D13" s="499">
        <f t="shared" si="1"/>
        <v>3813418.2758833328</v>
      </c>
      <c r="E13" s="499">
        <f t="shared" si="1"/>
        <v>686608.27588333283</v>
      </c>
      <c r="F13" s="499">
        <f t="shared" si="1"/>
        <v>686608.27588333283</v>
      </c>
      <c r="G13" s="499">
        <f t="shared" si="1"/>
        <v>686608.27588333283</v>
      </c>
      <c r="H13" s="499">
        <f t="shared" si="1"/>
        <v>686608.27588333283</v>
      </c>
      <c r="I13" s="499">
        <f t="shared" si="1"/>
        <v>686608.27588333283</v>
      </c>
      <c r="J13" s="499">
        <f t="shared" si="1"/>
        <v>131599.77588333283</v>
      </c>
      <c r="K13" s="499">
        <f t="shared" si="1"/>
        <v>686608.27588333283</v>
      </c>
      <c r="L13" s="499">
        <f t="shared" si="1"/>
        <v>686608.27588333283</v>
      </c>
      <c r="M13" s="499">
        <f t="shared" si="1"/>
        <v>-769452.72411666717</v>
      </c>
      <c r="N13" s="499">
        <f>+N9-N10-N11-N12</f>
        <v>-5095522.6894000024</v>
      </c>
      <c r="O13" s="496"/>
    </row>
    <row r="16" spans="1:15" x14ac:dyDescent="0.25">
      <c r="A16" s="489" t="s">
        <v>251</v>
      </c>
      <c r="B16" s="490" t="s">
        <v>227</v>
      </c>
      <c r="C16" s="490" t="s">
        <v>228</v>
      </c>
      <c r="D16" s="490" t="s">
        <v>229</v>
      </c>
      <c r="E16" s="490" t="s">
        <v>230</v>
      </c>
      <c r="F16" s="490" t="s">
        <v>231</v>
      </c>
      <c r="G16" s="490" t="s">
        <v>232</v>
      </c>
      <c r="H16" s="490" t="s">
        <v>233</v>
      </c>
      <c r="I16" s="490" t="s">
        <v>234</v>
      </c>
      <c r="J16" s="490" t="s">
        <v>235</v>
      </c>
      <c r="K16" s="490" t="s">
        <v>236</v>
      </c>
      <c r="L16" s="490" t="s">
        <v>237</v>
      </c>
      <c r="M16" s="490" t="s">
        <v>238</v>
      </c>
    </row>
    <row r="17" spans="1:14" x14ac:dyDescent="0.25">
      <c r="A17" s="491" t="s">
        <v>245</v>
      </c>
      <c r="B17" s="492"/>
      <c r="C17" s="492"/>
      <c r="D17" s="492">
        <f>+'B) Reajuste Tarifas y Ocupación'!$I$33</f>
        <v>12</v>
      </c>
      <c r="E17" s="492">
        <f>+'B) Reajuste Tarifas y Ocupación'!$I$33</f>
        <v>12</v>
      </c>
      <c r="F17" s="492">
        <f>+'B) Reajuste Tarifas y Ocupación'!$I$33</f>
        <v>12</v>
      </c>
      <c r="G17" s="492">
        <f>+'B) Reajuste Tarifas y Ocupación'!$I$33</f>
        <v>12</v>
      </c>
      <c r="H17" s="492">
        <f>+'B) Reajuste Tarifas y Ocupación'!$I$33</f>
        <v>12</v>
      </c>
      <c r="I17" s="492">
        <f>+'B) Reajuste Tarifas y Ocupación'!$I$33</f>
        <v>12</v>
      </c>
      <c r="J17" s="492">
        <f>+'B) Reajuste Tarifas y Ocupación'!$I$33</f>
        <v>12</v>
      </c>
      <c r="K17" s="492">
        <f>+'B) Reajuste Tarifas y Ocupación'!$I$33</f>
        <v>12</v>
      </c>
      <c r="L17" s="492">
        <f>+'B) Reajuste Tarifas y Ocupación'!$I$33</f>
        <v>12</v>
      </c>
      <c r="M17" s="492">
        <f>+'B) Reajuste Tarifas y Ocupación'!$I$33</f>
        <v>12</v>
      </c>
    </row>
    <row r="18" spans="1:14" x14ac:dyDescent="0.25">
      <c r="A18" s="491" t="s">
        <v>246</v>
      </c>
      <c r="B18" s="492">
        <f>+COUNTA('F) Remuneraciones'!$C$26:$C$40)</f>
        <v>5</v>
      </c>
      <c r="C18" s="492">
        <f>+COUNTA('F) Remuneraciones'!$C$26:$C$40)</f>
        <v>5</v>
      </c>
      <c r="D18" s="492">
        <f>+COUNTA('F) Remuneraciones'!$C$26:$C$40)</f>
        <v>5</v>
      </c>
      <c r="E18" s="492">
        <f>+COUNTA('F) Remuneraciones'!$C$26:$C$40)</f>
        <v>5</v>
      </c>
      <c r="F18" s="492">
        <f>+COUNTA('F) Remuneraciones'!$C$26:$C$40)</f>
        <v>5</v>
      </c>
      <c r="G18" s="492">
        <f>+COUNTA('F) Remuneraciones'!$C$26:$C$40)</f>
        <v>5</v>
      </c>
      <c r="H18" s="492">
        <f>+COUNTA('F) Remuneraciones'!$C$26:$C$40)</f>
        <v>5</v>
      </c>
      <c r="I18" s="492">
        <f>+COUNTA('F) Remuneraciones'!$C$26:$C$40)</f>
        <v>5</v>
      </c>
      <c r="J18" s="492">
        <f>+COUNTA('F) Remuneraciones'!$C$26:$C$40)</f>
        <v>5</v>
      </c>
      <c r="K18" s="492">
        <f>+COUNTA('F) Remuneraciones'!$C$26:$C$40)</f>
        <v>5</v>
      </c>
      <c r="L18" s="492">
        <f>+COUNTA('F) Remuneraciones'!$C$26:$C$40)</f>
        <v>5</v>
      </c>
      <c r="M18" s="492">
        <f>+COUNTA('F) Remuneraciones'!$C$26:$C$40)</f>
        <v>5</v>
      </c>
    </row>
    <row r="19" spans="1:14" x14ac:dyDescent="0.25">
      <c r="A19" s="491"/>
      <c r="B19" s="493"/>
      <c r="C19" s="493"/>
      <c r="D19" s="493"/>
      <c r="E19" s="493"/>
      <c r="F19" s="493"/>
      <c r="G19" s="493"/>
      <c r="H19" s="493"/>
      <c r="I19" s="493"/>
      <c r="J19" s="493"/>
      <c r="K19" s="493"/>
      <c r="L19" s="493"/>
      <c r="M19" s="493"/>
    </row>
    <row r="20" spans="1:14" ht="30" x14ac:dyDescent="0.25">
      <c r="A20" s="494" t="str">
        <f>+'A) Resumen Ingresos y Egresos'!A33</f>
        <v>Sala Cuna Mar y Cielo Diurna</v>
      </c>
      <c r="B20" s="490" t="s">
        <v>227</v>
      </c>
      <c r="C20" s="490" t="s">
        <v>228</v>
      </c>
      <c r="D20" s="490" t="s">
        <v>229</v>
      </c>
      <c r="E20" s="490" t="s">
        <v>230</v>
      </c>
      <c r="F20" s="490" t="s">
        <v>231</v>
      </c>
      <c r="G20" s="490" t="s">
        <v>232</v>
      </c>
      <c r="H20" s="490" t="s">
        <v>233</v>
      </c>
      <c r="I20" s="490" t="s">
        <v>234</v>
      </c>
      <c r="J20" s="490" t="s">
        <v>235</v>
      </c>
      <c r="K20" s="490" t="s">
        <v>236</v>
      </c>
      <c r="L20" s="490" t="s">
        <v>237</v>
      </c>
      <c r="M20" s="490" t="s">
        <v>238</v>
      </c>
      <c r="N20" s="490" t="s">
        <v>247</v>
      </c>
    </row>
    <row r="21" spans="1:14" x14ac:dyDescent="0.25">
      <c r="A21" s="495" t="s">
        <v>239</v>
      </c>
      <c r="B21" s="496">
        <f>(+'A) Resumen Ingresos y Egresos'!$N$42+'A) Resumen Ingresos y Egresos'!$O$42)/12</f>
        <v>4168800</v>
      </c>
      <c r="C21" s="496">
        <f>(+'A) Resumen Ingresos y Egresos'!$N$42+'A) Resumen Ingresos y Egresos'!$O$42)/12</f>
        <v>4168800</v>
      </c>
      <c r="D21" s="496">
        <f>(+'A) Resumen Ingresos y Egresos'!$N$42+'A) Resumen Ingresos y Egresos'!$O$42)/12</f>
        <v>4168800</v>
      </c>
      <c r="E21" s="496">
        <f>(+'A) Resumen Ingresos y Egresos'!$N$42+'A) Resumen Ingresos y Egresos'!$O$42)/12</f>
        <v>4168800</v>
      </c>
      <c r="F21" s="496">
        <f>(+'A) Resumen Ingresos y Egresos'!$N$42+'A) Resumen Ingresos y Egresos'!$O$42)/12</f>
        <v>4168800</v>
      </c>
      <c r="G21" s="496">
        <f>(+'A) Resumen Ingresos y Egresos'!$N$42+'A) Resumen Ingresos y Egresos'!$O$42)/12</f>
        <v>4168800</v>
      </c>
      <c r="H21" s="496">
        <f>(+'A) Resumen Ingresos y Egresos'!$N$42+'A) Resumen Ingresos y Egresos'!$O$42)/12</f>
        <v>4168800</v>
      </c>
      <c r="I21" s="496">
        <f>(+'A) Resumen Ingresos y Egresos'!$N$42+'A) Resumen Ingresos y Egresos'!$O$42)/12</f>
        <v>4168800</v>
      </c>
      <c r="J21" s="496">
        <f>(+'A) Resumen Ingresos y Egresos'!$N$42+'A) Resumen Ingresos y Egresos'!$O$42)/12</f>
        <v>4168800</v>
      </c>
      <c r="K21" s="496">
        <f>(+'A) Resumen Ingresos y Egresos'!$N$42+'A) Resumen Ingresos y Egresos'!$O$42)/12</f>
        <v>4168800</v>
      </c>
      <c r="L21" s="496">
        <f>(+'A) Resumen Ingresos y Egresos'!$N$42+'A) Resumen Ingresos y Egresos'!$O$42)/12</f>
        <v>4168800</v>
      </c>
      <c r="M21" s="496">
        <f>(+'A) Resumen Ingresos y Egresos'!$N$42+'A) Resumen Ingresos y Egresos'!$O$42)/12</f>
        <v>4168800</v>
      </c>
      <c r="N21" s="497">
        <f>SUM(B21:M21)</f>
        <v>50025600</v>
      </c>
    </row>
    <row r="22" spans="1:14" x14ac:dyDescent="0.25">
      <c r="A22" s="495" t="s">
        <v>240</v>
      </c>
      <c r="B22" s="496">
        <f>SUM('F) Remuneraciones'!$H$26:$H$40)/12</f>
        <v>2064199.2499999998</v>
      </c>
      <c r="C22" s="496">
        <f>SUM('F) Remuneraciones'!$H$26:$H$40)/12</f>
        <v>2064199.2499999998</v>
      </c>
      <c r="D22" s="496">
        <f>SUM('F) Remuneraciones'!$H$26:$H$40)/12</f>
        <v>2064199.2499999998</v>
      </c>
      <c r="E22" s="496">
        <f>SUM('F) Remuneraciones'!$H$26:$H$40)/12</f>
        <v>2064199.2499999998</v>
      </c>
      <c r="F22" s="496">
        <f>SUM('F) Remuneraciones'!$H$26:$H$40)/12</f>
        <v>2064199.2499999998</v>
      </c>
      <c r="G22" s="496">
        <f>SUM('F) Remuneraciones'!$H$26:$H$40)/12</f>
        <v>2064199.2499999998</v>
      </c>
      <c r="H22" s="496">
        <f>SUM('F) Remuneraciones'!$H$26:$H$40)/12</f>
        <v>2064199.2499999998</v>
      </c>
      <c r="I22" s="496">
        <f>SUM('F) Remuneraciones'!$H$26:$H$40)/12</f>
        <v>2064199.2499999998</v>
      </c>
      <c r="J22" s="496">
        <f>SUM('F) Remuneraciones'!$H$26:$H$40)/12</f>
        <v>2064199.2499999998</v>
      </c>
      <c r="K22" s="496">
        <f>SUM('F) Remuneraciones'!$H$26:$H$40)/12</f>
        <v>2064199.2499999998</v>
      </c>
      <c r="L22" s="496">
        <f>SUM('F) Remuneraciones'!$H$26:$H$40)/12</f>
        <v>2064199.2499999998</v>
      </c>
      <c r="M22" s="496">
        <f>SUM('F) Remuneraciones'!$H$26:$H$40)/12</f>
        <v>2064199.2499999998</v>
      </c>
      <c r="N22" s="497">
        <f t="shared" ref="N22:N24" si="2">SUM(B22:M22)</f>
        <v>24770390.999999996</v>
      </c>
    </row>
    <row r="23" spans="1:14" x14ac:dyDescent="0.25">
      <c r="A23" s="495" t="s">
        <v>242</v>
      </c>
      <c r="B23" s="496">
        <f>SUM('F) Remuneraciones'!I26:I40)*0.5</f>
        <v>477305.5</v>
      </c>
      <c r="C23" s="496">
        <v>0</v>
      </c>
      <c r="D23" s="496">
        <v>0</v>
      </c>
      <c r="E23" s="496">
        <v>0</v>
      </c>
      <c r="F23" s="496">
        <v>0</v>
      </c>
      <c r="G23" s="496">
        <v>0</v>
      </c>
      <c r="H23" s="496">
        <v>0</v>
      </c>
      <c r="I23" s="496">
        <v>0</v>
      </c>
      <c r="J23" s="496">
        <f>SUM('F) Remuneraciones'!J26:J40)*0.5</f>
        <v>260340.5</v>
      </c>
      <c r="K23" s="496">
        <v>0</v>
      </c>
      <c r="L23" s="496">
        <v>0</v>
      </c>
      <c r="M23" s="496">
        <f>+B23+J23</f>
        <v>737646</v>
      </c>
      <c r="N23" s="497">
        <f t="shared" si="2"/>
        <v>1475292</v>
      </c>
    </row>
    <row r="24" spans="1:14" x14ac:dyDescent="0.25">
      <c r="A24" s="495" t="s">
        <v>241</v>
      </c>
      <c r="B24" s="496">
        <f>(+'C) Costos Directos'!$H$141-'C) Costos Directos'!$D$80)/12</f>
        <v>954397.65249999985</v>
      </c>
      <c r="C24" s="496">
        <f>(+'C) Costos Directos'!$H$141-'C) Costos Directos'!$D$80)/12</f>
        <v>954397.65249999985</v>
      </c>
      <c r="D24" s="496">
        <f>(+'C) Costos Directos'!$H$141-'C) Costos Directos'!$D$80)/12</f>
        <v>954397.65249999985</v>
      </c>
      <c r="E24" s="496">
        <f>(+'C) Costos Directos'!$H$141-'C) Costos Directos'!$D$80)/12</f>
        <v>954397.65249999985</v>
      </c>
      <c r="F24" s="496">
        <f>(+'C) Costos Directos'!$H$141-'C) Costos Directos'!$D$80)/12</f>
        <v>954397.65249999985</v>
      </c>
      <c r="G24" s="496">
        <f>(+'C) Costos Directos'!$H$141-'C) Costos Directos'!$D$80)/12</f>
        <v>954397.65249999985</v>
      </c>
      <c r="H24" s="496">
        <f>(+'C) Costos Directos'!$H$141-'C) Costos Directos'!$D$80)/12</f>
        <v>954397.65249999985</v>
      </c>
      <c r="I24" s="496">
        <f>(+'C) Costos Directos'!$H$141-'C) Costos Directos'!$D$80)/12</f>
        <v>954397.65249999985</v>
      </c>
      <c r="J24" s="496">
        <f>(+'C) Costos Directos'!$H$141-'C) Costos Directos'!$D$80)/12</f>
        <v>954397.65249999985</v>
      </c>
      <c r="K24" s="496">
        <f>(+'C) Costos Directos'!$H$141-'C) Costos Directos'!$D$80)/12</f>
        <v>954397.65249999985</v>
      </c>
      <c r="L24" s="496">
        <f>(+'C) Costos Directos'!$H$141-'C) Costos Directos'!$D$80)/12</f>
        <v>954397.65249999985</v>
      </c>
      <c r="M24" s="496">
        <f>(+'C) Costos Directos'!$H$141-'C) Costos Directos'!$D$80)/12</f>
        <v>954397.65249999985</v>
      </c>
      <c r="N24" s="497">
        <f t="shared" si="2"/>
        <v>11452771.829999998</v>
      </c>
    </row>
    <row r="25" spans="1:14" x14ac:dyDescent="0.25">
      <c r="A25" s="498" t="s">
        <v>248</v>
      </c>
      <c r="B25" s="499">
        <f t="shared" ref="B25:M25" si="3">+B21-B22-B23-B24</f>
        <v>672897.59750000015</v>
      </c>
      <c r="C25" s="499">
        <f t="shared" si="3"/>
        <v>1150203.0975000001</v>
      </c>
      <c r="D25" s="499">
        <f t="shared" si="3"/>
        <v>1150203.0975000001</v>
      </c>
      <c r="E25" s="499">
        <f t="shared" si="3"/>
        <v>1150203.0975000001</v>
      </c>
      <c r="F25" s="499">
        <f t="shared" si="3"/>
        <v>1150203.0975000001</v>
      </c>
      <c r="G25" s="499">
        <f t="shared" si="3"/>
        <v>1150203.0975000001</v>
      </c>
      <c r="H25" s="499">
        <f t="shared" si="3"/>
        <v>1150203.0975000001</v>
      </c>
      <c r="I25" s="499">
        <f t="shared" si="3"/>
        <v>1150203.0975000001</v>
      </c>
      <c r="J25" s="499">
        <f t="shared" si="3"/>
        <v>889862.59750000015</v>
      </c>
      <c r="K25" s="499">
        <f t="shared" si="3"/>
        <v>1150203.0975000001</v>
      </c>
      <c r="L25" s="499">
        <f t="shared" si="3"/>
        <v>1150203.0975000001</v>
      </c>
      <c r="M25" s="499">
        <f t="shared" si="3"/>
        <v>412557.09750000015</v>
      </c>
      <c r="N25" s="499">
        <f>+N21-N22-N23-N24</f>
        <v>12327145.170000006</v>
      </c>
    </row>
  </sheetData>
  <sheetProtection algorithmName="SHA-512" hashValue="BjUjDpUQZ/T7gM0LlLPZtWT8zQyVOpEdmKOLy0Fb/4le3PRhSOxZ8mTsl1LogPRw/1BosVH07TB9MtzYiibKNg==" saltValue="lpQUnfHZy2HyVh08uFGGhg==" spinCount="100000" sheet="1" objects="1" scenarios="1"/>
  <mergeCells count="1">
    <mergeCell ref="A2:D2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00FF"/>
  </sheetPr>
  <dimension ref="B1:S56"/>
  <sheetViews>
    <sheetView showGridLines="0" zoomScale="80" zoomScaleNormal="80" workbookViewId="0">
      <selection activeCell="N45" sqref="N45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0"/>
    </row>
    <row r="2" spans="2:11" x14ac:dyDescent="0.2">
      <c r="H2" s="40" t="s">
        <v>85</v>
      </c>
    </row>
    <row r="5" spans="2:11" x14ac:dyDescent="0.2">
      <c r="B5" s="761" t="s">
        <v>156</v>
      </c>
      <c r="C5" s="761"/>
      <c r="D5" s="761"/>
      <c r="E5" s="761"/>
      <c r="F5" s="761"/>
    </row>
    <row r="7" spans="2:11" x14ac:dyDescent="0.2">
      <c r="C7" s="184" t="s">
        <v>141</v>
      </c>
      <c r="D7" s="184"/>
      <c r="E7" s="184"/>
      <c r="F7" s="184"/>
      <c r="G7" s="184"/>
      <c r="H7" s="184"/>
      <c r="I7" s="184"/>
      <c r="J7" s="184"/>
      <c r="K7" s="184"/>
    </row>
    <row r="9" spans="2:11" x14ac:dyDescent="0.2">
      <c r="C9" s="184" t="s">
        <v>142</v>
      </c>
      <c r="D9" s="184"/>
      <c r="E9" s="184"/>
      <c r="F9" s="184"/>
      <c r="G9" s="184"/>
      <c r="H9" s="184"/>
      <c r="I9" s="183"/>
      <c r="J9" s="183"/>
      <c r="K9" s="183"/>
    </row>
    <row r="11" spans="2:11" x14ac:dyDescent="0.2">
      <c r="B11" s="756" t="s">
        <v>157</v>
      </c>
      <c r="C11" s="756"/>
      <c r="D11" s="756"/>
      <c r="E11" s="756"/>
      <c r="F11" s="756"/>
    </row>
    <row r="13" spans="2:11" x14ac:dyDescent="0.2">
      <c r="C13" s="185" t="s">
        <v>143</v>
      </c>
      <c r="D13" s="185"/>
      <c r="E13" s="185"/>
      <c r="F13" s="185"/>
      <c r="G13" s="185"/>
      <c r="H13" s="185"/>
    </row>
    <row r="15" spans="2:11" x14ac:dyDescent="0.2">
      <c r="C15" s="185" t="s">
        <v>144</v>
      </c>
      <c r="D15" s="185"/>
      <c r="E15" s="185"/>
      <c r="F15" s="185"/>
      <c r="G15" s="185"/>
      <c r="H15" s="185"/>
      <c r="I15" s="183"/>
      <c r="J15" s="183"/>
      <c r="K15" s="183"/>
    </row>
    <row r="19" spans="2:16" x14ac:dyDescent="0.2">
      <c r="B19" s="756" t="s">
        <v>158</v>
      </c>
      <c r="C19" s="756"/>
      <c r="D19" s="756"/>
      <c r="E19" s="756"/>
      <c r="F19" s="756"/>
    </row>
    <row r="21" spans="2:16" x14ac:dyDescent="0.2">
      <c r="C21" s="185" t="s">
        <v>146</v>
      </c>
      <c r="D21" s="185"/>
      <c r="E21" s="185"/>
      <c r="F21" s="186"/>
      <c r="G21" s="186"/>
      <c r="H21" s="186"/>
    </row>
    <row r="22" spans="2:16" x14ac:dyDescent="0.2">
      <c r="C22" s="757"/>
      <c r="D22" s="757"/>
      <c r="E22" s="757"/>
      <c r="F22" s="757"/>
      <c r="G22" s="757"/>
      <c r="H22" s="757"/>
      <c r="I22" s="757"/>
      <c r="J22" s="757"/>
      <c r="K22" s="757"/>
    </row>
    <row r="24" spans="2:16" x14ac:dyDescent="0.2">
      <c r="B24" s="756" t="s">
        <v>159</v>
      </c>
      <c r="C24" s="756"/>
      <c r="D24" s="756"/>
      <c r="E24" s="756"/>
      <c r="F24" s="756"/>
    </row>
    <row r="26" spans="2:16" x14ac:dyDescent="0.2">
      <c r="C26" s="187" t="s">
        <v>147</v>
      </c>
      <c r="D26" s="187"/>
      <c r="E26" s="187"/>
      <c r="F26" s="187"/>
      <c r="G26" s="187"/>
      <c r="H26" s="187"/>
      <c r="I26" s="187"/>
      <c r="J26" s="187"/>
    </row>
    <row r="27" spans="2:16" ht="12.75" customHeight="1" x14ac:dyDescent="0.2">
      <c r="C27" s="758" t="s">
        <v>148</v>
      </c>
      <c r="D27" s="758"/>
      <c r="E27" s="758"/>
      <c r="F27" s="758"/>
      <c r="G27" s="758"/>
      <c r="H27" s="758"/>
      <c r="I27" s="758"/>
      <c r="J27" s="758"/>
      <c r="K27" s="758"/>
      <c r="L27" s="758"/>
      <c r="M27" s="758"/>
    </row>
    <row r="28" spans="2:16" ht="12.75" customHeight="1" x14ac:dyDescent="0.2">
      <c r="C28" s="758"/>
      <c r="D28" s="758"/>
      <c r="E28" s="758"/>
      <c r="F28" s="758"/>
      <c r="G28" s="758"/>
      <c r="H28" s="758"/>
      <c r="I28" s="758"/>
      <c r="J28" s="758"/>
      <c r="K28" s="758"/>
      <c r="L28" s="758"/>
      <c r="M28" s="758"/>
    </row>
    <row r="29" spans="2:16" ht="12.75" customHeight="1" x14ac:dyDescent="0.2">
      <c r="C29" s="187" t="s">
        <v>149</v>
      </c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2:16" ht="12.75" customHeight="1" x14ac:dyDescent="0.2"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2:16" ht="12.75" customHeight="1" x14ac:dyDescent="0.2">
      <c r="C31" s="191" t="s">
        <v>150</v>
      </c>
      <c r="D31" s="188"/>
      <c r="E31" s="188"/>
      <c r="F31" s="190"/>
      <c r="G31" s="188"/>
      <c r="H31" s="188"/>
      <c r="I31" s="188"/>
      <c r="J31" s="188"/>
      <c r="K31" s="188"/>
      <c r="L31" s="188"/>
      <c r="M31" s="188"/>
      <c r="N31" s="186"/>
      <c r="O31" s="186"/>
      <c r="P31" s="186"/>
    </row>
    <row r="32" spans="2:16" ht="12.75" customHeight="1" x14ac:dyDescent="0.2">
      <c r="C32" s="189"/>
      <c r="D32" s="189"/>
      <c r="E32" s="189"/>
      <c r="F32" s="189"/>
      <c r="G32" s="189"/>
      <c r="H32" s="189"/>
      <c r="I32" s="188"/>
      <c r="J32" s="188"/>
      <c r="K32" s="188"/>
      <c r="L32" s="188"/>
      <c r="M32" s="188"/>
      <c r="N32" s="186"/>
    </row>
    <row r="33" spans="2:19" ht="12.75" customHeight="1" x14ac:dyDescent="0.2">
      <c r="C33" s="759" t="s">
        <v>151</v>
      </c>
      <c r="D33" s="759"/>
      <c r="E33" s="759"/>
      <c r="F33" s="759"/>
      <c r="G33" s="759"/>
      <c r="H33" s="759"/>
      <c r="I33" s="759"/>
      <c r="J33" s="759"/>
      <c r="K33" s="759"/>
      <c r="L33" s="759"/>
      <c r="M33" s="759"/>
      <c r="N33" s="186"/>
    </row>
    <row r="34" spans="2:19" ht="12.75" customHeight="1" x14ac:dyDescent="0.2">
      <c r="C34" s="149"/>
      <c r="D34" s="149"/>
      <c r="E34" s="149"/>
      <c r="F34" s="149"/>
      <c r="G34" s="149"/>
      <c r="H34" s="149"/>
      <c r="I34" s="187"/>
      <c r="J34" s="187"/>
      <c r="K34" s="187"/>
      <c r="L34" s="187"/>
      <c r="M34" s="187"/>
      <c r="N34" s="186"/>
    </row>
    <row r="35" spans="2:19" ht="12.75" customHeight="1" x14ac:dyDescent="0.2">
      <c r="C35" s="188" t="s">
        <v>152</v>
      </c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6"/>
    </row>
    <row r="36" spans="2:19" ht="12.75" customHeight="1" x14ac:dyDescent="0.2">
      <c r="C36" s="189"/>
      <c r="D36" s="189"/>
      <c r="E36" s="189"/>
      <c r="F36" s="189"/>
      <c r="G36" s="189"/>
      <c r="H36" s="189"/>
      <c r="I36" s="188"/>
      <c r="J36" s="188"/>
      <c r="K36" s="188"/>
      <c r="L36" s="188"/>
      <c r="M36" s="188"/>
      <c r="N36" s="186"/>
    </row>
    <row r="37" spans="2:19" ht="12.75" customHeight="1" x14ac:dyDescent="0.2"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</row>
    <row r="38" spans="2:19" ht="12.75" customHeight="1" x14ac:dyDescent="0.2"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</row>
    <row r="39" spans="2:19" ht="12.75" customHeight="1" x14ac:dyDescent="0.2">
      <c r="B39" s="191" t="s">
        <v>160</v>
      </c>
      <c r="C39" s="187"/>
      <c r="D39" s="114"/>
      <c r="E39" s="114"/>
      <c r="F39" s="114"/>
      <c r="G39" s="114"/>
      <c r="H39" s="114"/>
      <c r="I39" s="114"/>
      <c r="J39" s="114"/>
      <c r="K39" s="114"/>
      <c r="L39" s="114"/>
      <c r="M39" s="114"/>
    </row>
    <row r="40" spans="2:19" x14ac:dyDescent="0.2">
      <c r="O40" s="757"/>
      <c r="P40" s="757"/>
      <c r="Q40" s="757"/>
      <c r="R40" s="757"/>
      <c r="S40" s="757"/>
    </row>
    <row r="41" spans="2:19" x14ac:dyDescent="0.2">
      <c r="C41" s="760" t="s">
        <v>153</v>
      </c>
      <c r="D41" s="760"/>
      <c r="E41" s="760"/>
      <c r="F41" s="760"/>
    </row>
    <row r="42" spans="2:19" x14ac:dyDescent="0.2">
      <c r="C42" s="757"/>
      <c r="D42" s="757"/>
      <c r="E42" s="757"/>
      <c r="F42" s="757"/>
      <c r="G42" s="757"/>
      <c r="H42" s="757"/>
      <c r="I42" s="757"/>
      <c r="J42" s="757"/>
    </row>
    <row r="44" spans="2:19" x14ac:dyDescent="0.2">
      <c r="B44" s="756" t="s">
        <v>161</v>
      </c>
      <c r="C44" s="756"/>
      <c r="D44" s="756"/>
      <c r="E44" s="756"/>
      <c r="F44" s="756"/>
    </row>
    <row r="46" spans="2:19" x14ac:dyDescent="0.2">
      <c r="C46" s="192" t="s">
        <v>154</v>
      </c>
      <c r="D46" s="192"/>
      <c r="E46" s="192"/>
      <c r="F46" s="192"/>
      <c r="G46" s="192"/>
      <c r="H46" s="192"/>
      <c r="I46" s="192"/>
      <c r="J46" s="192"/>
      <c r="K46" s="193"/>
      <c r="L46" s="193"/>
      <c r="M46" s="193"/>
    </row>
    <row r="50" spans="2:13" x14ac:dyDescent="0.2">
      <c r="B50" s="756" t="s">
        <v>162</v>
      </c>
      <c r="C50" s="756"/>
      <c r="D50" s="756"/>
      <c r="E50" s="756"/>
      <c r="F50" s="756"/>
    </row>
    <row r="52" spans="2:13" x14ac:dyDescent="0.2">
      <c r="C52" s="187" t="s">
        <v>155</v>
      </c>
      <c r="D52" s="187"/>
      <c r="E52" s="187"/>
      <c r="F52" s="187"/>
      <c r="G52" s="186"/>
      <c r="H52" s="186"/>
      <c r="I52" s="186"/>
      <c r="J52" s="186"/>
      <c r="K52" s="186"/>
      <c r="L52" s="186"/>
      <c r="M52" s="186"/>
    </row>
    <row r="54" spans="2:13" x14ac:dyDescent="0.2">
      <c r="B54" s="186" t="s">
        <v>163</v>
      </c>
      <c r="C54" s="186"/>
    </row>
    <row r="56" spans="2:13" x14ac:dyDescent="0.2">
      <c r="B56" s="755" t="s">
        <v>226</v>
      </c>
      <c r="C56" s="755"/>
    </row>
  </sheetData>
  <sheetProtection algorithmName="SHA-512" hashValue="7lErKoWAf40mBimEgtD2d6g8z9Mdq1N2T9M4WVWD8t0f7ePRskTjIYlJNsJXFFl81tiFCfEV4lQLFYUmavDRcA==" saltValue="TdYjV6QL0Amqbf84eNrwgw==" spinCount="100000" sheet="1" objects="1" scenarios="1"/>
  <mergeCells count="13">
    <mergeCell ref="B11:F11"/>
    <mergeCell ref="O40:S40"/>
    <mergeCell ref="B19:F19"/>
    <mergeCell ref="B24:F24"/>
    <mergeCell ref="B5:F5"/>
    <mergeCell ref="C22:K22"/>
    <mergeCell ref="B56:C56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  <hyperlink ref="B56" location="'I) Proyección Mensual.'!A2" display="I) Proyección Mensual" xr:uid="{00000000-0004-0000-0100-000018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43"/>
  <sheetViews>
    <sheetView showGridLines="0" topLeftCell="C1" zoomScale="80" zoomScaleNormal="80" workbookViewId="0">
      <selection activeCell="J14" sqref="J14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42578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0" t="s">
        <v>195</v>
      </c>
      <c r="F1" s="40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0" t="s">
        <v>188</v>
      </c>
      <c r="F2" s="40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2"/>
      <c r="B4" s="23"/>
      <c r="C4" s="783" t="s">
        <v>0</v>
      </c>
      <c r="D4" s="783"/>
      <c r="E4" s="784" t="s">
        <v>300</v>
      </c>
      <c r="F4" s="785"/>
      <c r="G4" s="786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194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795" t="s">
        <v>141</v>
      </c>
      <c r="B6" s="795"/>
      <c r="C6" s="795"/>
      <c r="D6" s="795"/>
      <c r="E6" s="4"/>
      <c r="F6" s="4"/>
      <c r="G6" s="9"/>
      <c r="H6" s="194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ht="13.5" thickBot="1" x14ac:dyDescent="0.25">
      <c r="B7" s="43"/>
      <c r="C7" s="43"/>
      <c r="E7" s="43"/>
      <c r="F7" s="43"/>
      <c r="G7" s="43"/>
      <c r="H7" s="43"/>
      <c r="I7" s="43"/>
      <c r="M7" s="44"/>
    </row>
    <row r="8" spans="1:247" ht="39" customHeight="1" x14ac:dyDescent="0.2">
      <c r="A8" s="257" t="s">
        <v>115</v>
      </c>
      <c r="B8" s="258" t="str">
        <f>+N18</f>
        <v>Ingreso por Matrícula</v>
      </c>
      <c r="C8" s="259" t="str">
        <f>+O18</f>
        <v>Ingreso por Mensualidad</v>
      </c>
      <c r="D8" s="259" t="s">
        <v>124</v>
      </c>
      <c r="E8" s="260" t="s">
        <v>83</v>
      </c>
      <c r="F8" s="261" t="s">
        <v>80</v>
      </c>
      <c r="G8" s="262" t="s">
        <v>81</v>
      </c>
      <c r="H8" s="263" t="s">
        <v>108</v>
      </c>
      <c r="I8" s="264" t="s">
        <v>114</v>
      </c>
      <c r="L8" s="51" t="s">
        <v>113</v>
      </c>
      <c r="N8" s="75"/>
    </row>
    <row r="9" spans="1:247" x14ac:dyDescent="0.2">
      <c r="A9" s="265" t="str">
        <f>+'B) Reajuste Tarifas y Ocupación'!A12</f>
        <v>Jardín Infantil Mar y Cielo</v>
      </c>
      <c r="B9" s="266">
        <f>+N32</f>
        <v>10422700</v>
      </c>
      <c r="C9" s="267">
        <f>+O32</f>
        <v>104227000</v>
      </c>
      <c r="D9" s="266">
        <f>+P32</f>
        <v>0</v>
      </c>
      <c r="E9" s="268">
        <f>+B9+D9+C9</f>
        <v>114649700</v>
      </c>
      <c r="F9" s="269">
        <f>+'C) Costos Directos'!H75</f>
        <v>119745222.6894</v>
      </c>
      <c r="G9" s="270">
        <f>+'D) Costos Indirectos'!$AP$15*(F9/$F$11)</f>
        <v>23464849.669101249</v>
      </c>
      <c r="H9" s="271">
        <f>+F9+G9</f>
        <v>143210072.35850126</v>
      </c>
      <c r="I9" s="272">
        <f>E9-H9</f>
        <v>-28560372.358501256</v>
      </c>
      <c r="L9" s="69">
        <f>+IFERROR(G9/$G$11,0)</f>
        <v>0.76055910644392277</v>
      </c>
      <c r="N9" s="76"/>
    </row>
    <row r="10" spans="1:247" x14ac:dyDescent="0.2">
      <c r="A10" s="265" t="str">
        <f>+'B) Reajuste Tarifas y Ocupación'!A16</f>
        <v>Sala Cuna Mar y Cielo Diurna</v>
      </c>
      <c r="B10" s="266">
        <f>+N42</f>
        <v>0</v>
      </c>
      <c r="C10" s="267">
        <f>+O42</f>
        <v>50025600</v>
      </c>
      <c r="D10" s="266">
        <f>+P42</f>
        <v>0</v>
      </c>
      <c r="E10" s="268">
        <f>+B10+D10+C10</f>
        <v>50025600</v>
      </c>
      <c r="F10" s="269">
        <f>+'C) Costos Directos'!H141</f>
        <v>37698454.829999998</v>
      </c>
      <c r="G10" s="270">
        <f>+'D) Costos Indirectos'!$AP$15*(F10/$F$11)</f>
        <v>7387255.670631934</v>
      </c>
      <c r="H10" s="271">
        <f>+F10+G10</f>
        <v>45085710.500631928</v>
      </c>
      <c r="I10" s="272">
        <f>E10-H10</f>
        <v>4939889.4993680716</v>
      </c>
      <c r="L10" s="69">
        <f>+IFERROR(G10/$G$11,0)</f>
        <v>0.2394408935560772</v>
      </c>
      <c r="N10" s="76"/>
    </row>
    <row r="11" spans="1:247" s="6" customFormat="1" ht="15.75" thickBot="1" x14ac:dyDescent="0.25">
      <c r="A11" s="273" t="s">
        <v>1</v>
      </c>
      <c r="B11" s="274">
        <f>SUM(B9:B10)</f>
        <v>10422700</v>
      </c>
      <c r="C11" s="274">
        <f>SUM(C9:C10)</f>
        <v>154252600</v>
      </c>
      <c r="D11" s="274">
        <f>SUM(D9:D10)</f>
        <v>0</v>
      </c>
      <c r="E11" s="275">
        <f>SUM(E9:E10)</f>
        <v>164675300</v>
      </c>
      <c r="F11" s="274">
        <f>SUM(F9:F10)</f>
        <v>157443677.5194</v>
      </c>
      <c r="G11" s="274">
        <f t="shared" ref="G11:I11" si="0">SUM(G9:G10)</f>
        <v>30852105.339733183</v>
      </c>
      <c r="H11" s="274">
        <f t="shared" si="0"/>
        <v>188295782.85913318</v>
      </c>
      <c r="I11" s="276">
        <f t="shared" si="0"/>
        <v>-23620482.859133184</v>
      </c>
      <c r="L11" s="70">
        <f>SUM(L9:L10)</f>
        <v>1</v>
      </c>
      <c r="N11" s="44"/>
      <c r="O11" s="231"/>
      <c r="IB11" s="4"/>
      <c r="IC11" s="4"/>
      <c r="ID11" s="4"/>
      <c r="IE11" s="4"/>
      <c r="IF11" s="4"/>
      <c r="IG11" s="4"/>
      <c r="IH11" s="4"/>
    </row>
    <row r="12" spans="1:247" s="6" customFormat="1" ht="15.75" customHeight="1" x14ac:dyDescent="0.2">
      <c r="A12" s="11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IB12" s="4"/>
      <c r="IC12" s="4"/>
      <c r="ID12" s="4"/>
      <c r="IE12" s="4"/>
      <c r="IF12" s="4"/>
      <c r="IG12" s="4"/>
      <c r="IH12" s="4"/>
    </row>
    <row r="13" spans="1:247" s="6" customFormat="1" ht="15.75" customHeight="1" x14ac:dyDescent="0.2">
      <c r="A13" s="11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232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11"/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IB15" s="4"/>
      <c r="IC15" s="4"/>
      <c r="ID15" s="4"/>
      <c r="IE15" s="4"/>
      <c r="IF15" s="4"/>
      <c r="IG15" s="4"/>
      <c r="IH15" s="4"/>
    </row>
    <row r="16" spans="1:247" s="6" customFormat="1" ht="15.75" customHeight="1" x14ac:dyDescent="0.2">
      <c r="A16" s="795" t="s">
        <v>142</v>
      </c>
      <c r="B16" s="795"/>
      <c r="C16" s="795"/>
      <c r="D16" s="795"/>
      <c r="E16" s="12"/>
      <c r="F16" s="12"/>
      <c r="G16" s="12"/>
      <c r="H16" s="12"/>
      <c r="I16" s="12"/>
      <c r="J16" s="12"/>
      <c r="K16" s="12"/>
      <c r="L16" s="12"/>
      <c r="M16" s="12"/>
      <c r="N16" s="12"/>
      <c r="IB16" s="4"/>
      <c r="IC16" s="4"/>
      <c r="ID16" s="4"/>
      <c r="IE16" s="4"/>
      <c r="IF16" s="4"/>
      <c r="IG16" s="4"/>
      <c r="IH16" s="4"/>
    </row>
    <row r="17" spans="1:247" s="14" customFormat="1" ht="13.5" thickBot="1" x14ac:dyDescent="0.25">
      <c r="B17" s="43"/>
      <c r="C17" s="43"/>
      <c r="D17" s="43"/>
      <c r="E17" s="43"/>
      <c r="F17" s="43"/>
      <c r="G17" s="43"/>
      <c r="H17" s="43"/>
      <c r="I17" s="13"/>
      <c r="J17" s="13"/>
      <c r="K17" s="13"/>
      <c r="L17" s="3"/>
      <c r="M17" s="3"/>
      <c r="O17" s="15"/>
      <c r="P17" s="15"/>
      <c r="IL17" s="10"/>
      <c r="IM17" s="10"/>
    </row>
    <row r="18" spans="1:247" s="16" customFormat="1" ht="15.75" customHeight="1" x14ac:dyDescent="0.2">
      <c r="A18" s="796" t="s">
        <v>115</v>
      </c>
      <c r="B18" s="798" t="s">
        <v>5</v>
      </c>
      <c r="C18" s="787" t="s">
        <v>2</v>
      </c>
      <c r="D18" s="789" t="s">
        <v>254</v>
      </c>
      <c r="E18" s="790"/>
      <c r="F18" s="790"/>
      <c r="G18" s="790"/>
      <c r="H18" s="791"/>
      <c r="I18" s="792" t="s">
        <v>255</v>
      </c>
      <c r="J18" s="793"/>
      <c r="K18" s="793"/>
      <c r="L18" s="793"/>
      <c r="M18" s="794"/>
      <c r="N18" s="802" t="s">
        <v>90</v>
      </c>
      <c r="O18" s="804" t="s">
        <v>91</v>
      </c>
      <c r="P18" s="800" t="s">
        <v>124</v>
      </c>
      <c r="Q18" s="806" t="s">
        <v>107</v>
      </c>
    </row>
    <row r="19" spans="1:247" s="16" customFormat="1" ht="39" thickBot="1" x14ac:dyDescent="0.25">
      <c r="A19" s="797"/>
      <c r="B19" s="799"/>
      <c r="C19" s="788"/>
      <c r="D19" s="235" t="s">
        <v>87</v>
      </c>
      <c r="E19" s="234" t="s">
        <v>133</v>
      </c>
      <c r="F19" s="234" t="s">
        <v>134</v>
      </c>
      <c r="G19" s="234" t="s">
        <v>88</v>
      </c>
      <c r="H19" s="236" t="s">
        <v>89</v>
      </c>
      <c r="I19" s="235" t="s">
        <v>87</v>
      </c>
      <c r="J19" s="234" t="s">
        <v>133</v>
      </c>
      <c r="K19" s="234" t="s">
        <v>134</v>
      </c>
      <c r="L19" s="234" t="s">
        <v>88</v>
      </c>
      <c r="M19" s="236" t="s">
        <v>89</v>
      </c>
      <c r="N19" s="803"/>
      <c r="O19" s="805"/>
      <c r="P19" s="801"/>
      <c r="Q19" s="807"/>
    </row>
    <row r="20" spans="1:247" ht="12.75" customHeight="1" x14ac:dyDescent="0.2">
      <c r="A20" s="774" t="str">
        <f>+'B) Reajuste Tarifas y Ocupación'!A12</f>
        <v>Jardín Infantil Mar y Cielo</v>
      </c>
      <c r="B20" s="769" t="str">
        <f>+'B) Reajuste Tarifas y Ocupación'!B12</f>
        <v>Media jornada</v>
      </c>
      <c r="C20" s="471" t="s">
        <v>256</v>
      </c>
      <c r="D20" s="244">
        <f t="shared" ref="D20:F24" si="1">+I20</f>
        <v>74400</v>
      </c>
      <c r="E20" s="239">
        <f t="shared" si="1"/>
        <v>100400</v>
      </c>
      <c r="F20" s="239">
        <f t="shared" si="1"/>
        <v>104100</v>
      </c>
      <c r="G20" s="239">
        <f t="shared" ref="G20:H21" si="2">+L20</f>
        <v>116500</v>
      </c>
      <c r="H20" s="245">
        <f t="shared" si="2"/>
        <v>137600</v>
      </c>
      <c r="I20" s="244">
        <f>+'B) Reajuste Tarifas y Ocupación'!M12</f>
        <v>74400</v>
      </c>
      <c r="J20" s="239">
        <f>+'B) Reajuste Tarifas y Ocupación'!N12</f>
        <v>100400</v>
      </c>
      <c r="K20" s="239">
        <f>+'B) Reajuste Tarifas y Ocupación'!O12</f>
        <v>104100</v>
      </c>
      <c r="L20" s="239">
        <f>+'B) Reajuste Tarifas y Ocupación'!P12</f>
        <v>116500</v>
      </c>
      <c r="M20" s="245">
        <f>+'B) Reajuste Tarifas y Ocupación'!Q12</f>
        <v>137600</v>
      </c>
      <c r="N20" s="250"/>
      <c r="O20" s="240"/>
      <c r="P20" s="253">
        <f>+'B) Reajuste Tarifas y Ocupación'!C12</f>
        <v>63800</v>
      </c>
      <c r="Q20" s="762"/>
    </row>
    <row r="21" spans="1:247" x14ac:dyDescent="0.2">
      <c r="A21" s="775"/>
      <c r="B21" s="770"/>
      <c r="C21" s="233" t="s">
        <v>7</v>
      </c>
      <c r="D21" s="246">
        <f t="shared" si="1"/>
        <v>16</v>
      </c>
      <c r="E21" s="238">
        <f t="shared" si="1"/>
        <v>0</v>
      </c>
      <c r="F21" s="238">
        <f t="shared" si="1"/>
        <v>0</v>
      </c>
      <c r="G21" s="238">
        <f t="shared" si="2"/>
        <v>0</v>
      </c>
      <c r="H21" s="247">
        <f t="shared" si="2"/>
        <v>0</v>
      </c>
      <c r="I21" s="246">
        <f>+'B) Reajuste Tarifas y Ocupación'!C27</f>
        <v>16</v>
      </c>
      <c r="J21" s="238">
        <f>+'B) Reajuste Tarifas y Ocupación'!D27</f>
        <v>0</v>
      </c>
      <c r="K21" s="238">
        <f>+'B) Reajuste Tarifas y Ocupación'!E27</f>
        <v>0</v>
      </c>
      <c r="L21" s="238">
        <f>+'B) Reajuste Tarifas y Ocupación'!F27</f>
        <v>0</v>
      </c>
      <c r="M21" s="247">
        <f>+'B) Reajuste Tarifas y Ocupación'!G27</f>
        <v>0</v>
      </c>
      <c r="N21" s="251"/>
      <c r="O21" s="237"/>
      <c r="P21" s="254">
        <v>0</v>
      </c>
      <c r="Q21" s="763"/>
    </row>
    <row r="22" spans="1:247" ht="13.5" thickBot="1" x14ac:dyDescent="0.25">
      <c r="A22" s="775"/>
      <c r="B22" s="771"/>
      <c r="C22" s="241" t="s">
        <v>9</v>
      </c>
      <c r="D22" s="248">
        <f>D21*D20</f>
        <v>1190400</v>
      </c>
      <c r="E22" s="242">
        <f>E21*E20</f>
        <v>0</v>
      </c>
      <c r="F22" s="242">
        <f t="shared" ref="F22" si="3">F21*F20</f>
        <v>0</v>
      </c>
      <c r="G22" s="242">
        <f t="shared" ref="G22:H22" si="4">G21*G20</f>
        <v>0</v>
      </c>
      <c r="H22" s="249">
        <f t="shared" si="4"/>
        <v>0</v>
      </c>
      <c r="I22" s="293">
        <f>I21*I20*10</f>
        <v>11904000</v>
      </c>
      <c r="J22" s="294">
        <f t="shared" ref="J22:M22" si="5">J21*J20*10</f>
        <v>0</v>
      </c>
      <c r="K22" s="294">
        <f t="shared" ref="K22" si="6">K21*K20*10</f>
        <v>0</v>
      </c>
      <c r="L22" s="294">
        <f t="shared" si="5"/>
        <v>0</v>
      </c>
      <c r="M22" s="295">
        <f t="shared" si="5"/>
        <v>0</v>
      </c>
      <c r="N22" s="252">
        <f>SUM(D22:H22)</f>
        <v>1190400</v>
      </c>
      <c r="O22" s="243">
        <f>SUM(I22:M22)</f>
        <v>11904000</v>
      </c>
      <c r="P22" s="255">
        <f>P21*P20</f>
        <v>0</v>
      </c>
      <c r="Q22" s="256">
        <f>N22+O22+P22</f>
        <v>13094400</v>
      </c>
    </row>
    <row r="23" spans="1:247" x14ac:dyDescent="0.2">
      <c r="A23" s="775"/>
      <c r="B23" s="769" t="str">
        <f>'B) Reajuste Tarifas y Ocupación'!B13</f>
        <v>Media jornada extendida</v>
      </c>
      <c r="C23" s="471" t="s">
        <v>256</v>
      </c>
      <c r="D23" s="244">
        <f t="shared" si="1"/>
        <v>122400</v>
      </c>
      <c r="E23" s="239">
        <f t="shared" ref="E23:E24" si="7">+J23</f>
        <v>165200</v>
      </c>
      <c r="F23" s="239">
        <f t="shared" ref="F23:F24" si="8">+K23</f>
        <v>171300</v>
      </c>
      <c r="G23" s="239">
        <f t="shared" ref="G23:G24" si="9">+L23</f>
        <v>153000</v>
      </c>
      <c r="H23" s="245">
        <f t="shared" ref="H23:H24" si="10">+M23</f>
        <v>183500</v>
      </c>
      <c r="I23" s="244">
        <f>+'B) Reajuste Tarifas y Ocupación'!M13</f>
        <v>122400</v>
      </c>
      <c r="J23" s="244">
        <f>+'B) Reajuste Tarifas y Ocupación'!N13</f>
        <v>165200</v>
      </c>
      <c r="K23" s="244">
        <f>+'B) Reajuste Tarifas y Ocupación'!O13</f>
        <v>171300</v>
      </c>
      <c r="L23" s="244">
        <f>+'B) Reajuste Tarifas y Ocupación'!P13</f>
        <v>153000</v>
      </c>
      <c r="M23" s="244">
        <f>+'B) Reajuste Tarifas y Ocupación'!Q13</f>
        <v>183500</v>
      </c>
      <c r="N23" s="250"/>
      <c r="O23" s="240"/>
      <c r="P23" s="253">
        <f>+'B) Reajuste Tarifas y Ocupación'!C13</f>
        <v>105000</v>
      </c>
      <c r="Q23" s="762"/>
    </row>
    <row r="24" spans="1:247" x14ac:dyDescent="0.2">
      <c r="A24" s="775"/>
      <c r="B24" s="770"/>
      <c r="C24" s="233" t="s">
        <v>7</v>
      </c>
      <c r="D24" s="246">
        <f t="shared" si="1"/>
        <v>2</v>
      </c>
      <c r="E24" s="238">
        <f t="shared" si="7"/>
        <v>0</v>
      </c>
      <c r="F24" s="238">
        <f t="shared" si="8"/>
        <v>0</v>
      </c>
      <c r="G24" s="238">
        <f t="shared" si="9"/>
        <v>0</v>
      </c>
      <c r="H24" s="247">
        <f t="shared" si="10"/>
        <v>0</v>
      </c>
      <c r="I24" s="246">
        <f>+'B) Reajuste Tarifas y Ocupación'!C28</f>
        <v>2</v>
      </c>
      <c r="J24" s="246">
        <f>+'B) Reajuste Tarifas y Ocupación'!D28</f>
        <v>0</v>
      </c>
      <c r="K24" s="246">
        <f>+'B) Reajuste Tarifas y Ocupación'!E28</f>
        <v>0</v>
      </c>
      <c r="L24" s="246">
        <f>+'B) Reajuste Tarifas y Ocupación'!F28</f>
        <v>0</v>
      </c>
      <c r="M24" s="246">
        <f>+'B) Reajuste Tarifas y Ocupación'!G28</f>
        <v>0</v>
      </c>
      <c r="N24" s="251"/>
      <c r="O24" s="237"/>
      <c r="P24" s="254">
        <v>0</v>
      </c>
      <c r="Q24" s="763"/>
    </row>
    <row r="25" spans="1:247" ht="13.5" thickBot="1" x14ac:dyDescent="0.25">
      <c r="A25" s="775"/>
      <c r="B25" s="771"/>
      <c r="C25" s="241" t="s">
        <v>9</v>
      </c>
      <c r="D25" s="248">
        <f>D24*D23</f>
        <v>244800</v>
      </c>
      <c r="E25" s="242">
        <f>E24*E23</f>
        <v>0</v>
      </c>
      <c r="F25" s="242">
        <f t="shared" ref="F25:H25" si="11">F24*F23</f>
        <v>0</v>
      </c>
      <c r="G25" s="242">
        <f t="shared" si="11"/>
        <v>0</v>
      </c>
      <c r="H25" s="249">
        <f t="shared" si="11"/>
        <v>0</v>
      </c>
      <c r="I25" s="293">
        <f>I24*I23*10</f>
        <v>2448000</v>
      </c>
      <c r="J25" s="294">
        <f t="shared" ref="J25:M25" si="12">J24*J23*10</f>
        <v>0</v>
      </c>
      <c r="K25" s="294">
        <f t="shared" si="12"/>
        <v>0</v>
      </c>
      <c r="L25" s="294">
        <f t="shared" si="12"/>
        <v>0</v>
      </c>
      <c r="M25" s="295">
        <f t="shared" si="12"/>
        <v>0</v>
      </c>
      <c r="N25" s="252">
        <f>SUM(D25:H25)</f>
        <v>244800</v>
      </c>
      <c r="O25" s="243">
        <f>SUM(I25:M25)</f>
        <v>2448000</v>
      </c>
      <c r="P25" s="255">
        <f>P24*P23</f>
        <v>0</v>
      </c>
      <c r="Q25" s="256">
        <f>N25+O25+P25</f>
        <v>2692800</v>
      </c>
    </row>
    <row r="26" spans="1:247" ht="12.75" customHeight="1" x14ac:dyDescent="0.2">
      <c r="A26" s="775"/>
      <c r="B26" s="769" t="str">
        <f>+'B) Reajuste Tarifas y Ocupación'!B14</f>
        <v xml:space="preserve">Doble jornada </v>
      </c>
      <c r="C26" s="471" t="s">
        <v>256</v>
      </c>
      <c r="D26" s="244">
        <f t="shared" ref="D26:D27" si="13">+I26</f>
        <v>110700</v>
      </c>
      <c r="E26" s="239">
        <f t="shared" ref="E26:E27" si="14">+J26</f>
        <v>149500</v>
      </c>
      <c r="F26" s="239">
        <f t="shared" ref="F26:F27" si="15">+K26</f>
        <v>155000</v>
      </c>
      <c r="G26" s="239">
        <f t="shared" ref="G26:G27" si="16">+L26</f>
        <v>166100</v>
      </c>
      <c r="H26" s="292">
        <f t="shared" ref="H26:H27" si="17">+M26</f>
        <v>194700</v>
      </c>
      <c r="I26" s="244">
        <f>+'B) Reajuste Tarifas y Ocupación'!M14</f>
        <v>110700</v>
      </c>
      <c r="J26" s="239">
        <f>+'B) Reajuste Tarifas y Ocupación'!N14</f>
        <v>149500</v>
      </c>
      <c r="K26" s="239">
        <f>+'B) Reajuste Tarifas y Ocupación'!O14</f>
        <v>155000</v>
      </c>
      <c r="L26" s="239">
        <f>+'B) Reajuste Tarifas y Ocupación'!P14</f>
        <v>166100</v>
      </c>
      <c r="M26" s="245">
        <f>+'B) Reajuste Tarifas y Ocupación'!Q14</f>
        <v>194700</v>
      </c>
      <c r="N26" s="250"/>
      <c r="O26" s="240"/>
      <c r="P26" s="253">
        <f>+'B) Reajuste Tarifas y Ocupación'!C14</f>
        <v>95000</v>
      </c>
      <c r="Q26" s="762"/>
    </row>
    <row r="27" spans="1:247" x14ac:dyDescent="0.2">
      <c r="A27" s="775"/>
      <c r="B27" s="770"/>
      <c r="C27" s="233" t="s">
        <v>7</v>
      </c>
      <c r="D27" s="246">
        <f t="shared" si="13"/>
        <v>1</v>
      </c>
      <c r="E27" s="238">
        <f t="shared" si="14"/>
        <v>0</v>
      </c>
      <c r="F27" s="238">
        <f t="shared" si="15"/>
        <v>0</v>
      </c>
      <c r="G27" s="238">
        <f t="shared" si="16"/>
        <v>0</v>
      </c>
      <c r="H27" s="296">
        <f t="shared" si="17"/>
        <v>0</v>
      </c>
      <c r="I27" s="246">
        <f>+'B) Reajuste Tarifas y Ocupación'!C29</f>
        <v>1</v>
      </c>
      <c r="J27" s="238">
        <f>+'B) Reajuste Tarifas y Ocupación'!D29</f>
        <v>0</v>
      </c>
      <c r="K27" s="238">
        <f>+'B) Reajuste Tarifas y Ocupación'!E29</f>
        <v>0</v>
      </c>
      <c r="L27" s="238">
        <f>+'B) Reajuste Tarifas y Ocupación'!F29</f>
        <v>0</v>
      </c>
      <c r="M27" s="247">
        <f>+'B) Reajuste Tarifas y Ocupación'!G29</f>
        <v>0</v>
      </c>
      <c r="N27" s="251"/>
      <c r="O27" s="237"/>
      <c r="P27" s="254">
        <v>0</v>
      </c>
      <c r="Q27" s="763"/>
    </row>
    <row r="28" spans="1:247" ht="13.5" thickBot="1" x14ac:dyDescent="0.25">
      <c r="A28" s="775"/>
      <c r="B28" s="771"/>
      <c r="C28" s="241" t="s">
        <v>9</v>
      </c>
      <c r="D28" s="248">
        <f>D27*D26</f>
        <v>110700</v>
      </c>
      <c r="E28" s="242">
        <f>E27*E26</f>
        <v>0</v>
      </c>
      <c r="F28" s="242">
        <f t="shared" ref="F28:H28" si="18">F27*F26</f>
        <v>0</v>
      </c>
      <c r="G28" s="242">
        <f t="shared" si="18"/>
        <v>0</v>
      </c>
      <c r="H28" s="255">
        <f t="shared" si="18"/>
        <v>0</v>
      </c>
      <c r="I28" s="248">
        <f>I27*I26*10</f>
        <v>1107000</v>
      </c>
      <c r="J28" s="242">
        <f t="shared" ref="J28:M28" si="19">J27*J26*10</f>
        <v>0</v>
      </c>
      <c r="K28" s="242">
        <f t="shared" si="19"/>
        <v>0</v>
      </c>
      <c r="L28" s="242">
        <f t="shared" si="19"/>
        <v>0</v>
      </c>
      <c r="M28" s="249">
        <f t="shared" si="19"/>
        <v>0</v>
      </c>
      <c r="N28" s="252">
        <f>SUM(D28:H28)</f>
        <v>110700</v>
      </c>
      <c r="O28" s="243">
        <f>SUM(I28:M28)</f>
        <v>1107000</v>
      </c>
      <c r="P28" s="255">
        <f>P27*P26</f>
        <v>0</v>
      </c>
      <c r="Q28" s="256">
        <f>N28+O28+P28</f>
        <v>1217700</v>
      </c>
    </row>
    <row r="29" spans="1:247" x14ac:dyDescent="0.2">
      <c r="A29" s="775"/>
      <c r="B29" s="769" t="str">
        <f>+'B) Reajuste Tarifas y Ocupación'!B15</f>
        <v>Jornada completa</v>
      </c>
      <c r="C29" s="471" t="s">
        <v>256</v>
      </c>
      <c r="D29" s="244">
        <f t="shared" ref="D29:F30" si="20">+I29</f>
        <v>172700</v>
      </c>
      <c r="E29" s="239">
        <f t="shared" si="20"/>
        <v>233100</v>
      </c>
      <c r="F29" s="239">
        <f t="shared" si="20"/>
        <v>241800</v>
      </c>
      <c r="G29" s="239">
        <f t="shared" ref="G29:H30" si="21">+L29</f>
        <v>215900</v>
      </c>
      <c r="H29" s="245">
        <f t="shared" si="21"/>
        <v>224500</v>
      </c>
      <c r="I29" s="297">
        <f>+'B) Reajuste Tarifas y Ocupación'!M15</f>
        <v>172700</v>
      </c>
      <c r="J29" s="298">
        <f>+'B) Reajuste Tarifas y Ocupación'!N15</f>
        <v>233100</v>
      </c>
      <c r="K29" s="298">
        <f>+'B) Reajuste Tarifas y Ocupación'!O15</f>
        <v>241800</v>
      </c>
      <c r="L29" s="298">
        <f>+'B) Reajuste Tarifas y Ocupación'!P15</f>
        <v>215900</v>
      </c>
      <c r="M29" s="299">
        <f>+'B) Reajuste Tarifas y Ocupación'!Q15</f>
        <v>224500</v>
      </c>
      <c r="N29" s="250"/>
      <c r="O29" s="240"/>
      <c r="P29" s="253">
        <f>+'B) Reajuste Tarifas y Ocupación'!C15</f>
        <v>148200</v>
      </c>
      <c r="Q29" s="762"/>
    </row>
    <row r="30" spans="1:247" x14ac:dyDescent="0.2">
      <c r="A30" s="775"/>
      <c r="B30" s="770"/>
      <c r="C30" s="233" t="s">
        <v>7</v>
      </c>
      <c r="D30" s="246">
        <f t="shared" si="20"/>
        <v>50</v>
      </c>
      <c r="E30" s="238">
        <f t="shared" si="20"/>
        <v>0</v>
      </c>
      <c r="F30" s="238">
        <f t="shared" si="20"/>
        <v>1</v>
      </c>
      <c r="G30" s="238">
        <f t="shared" si="21"/>
        <v>0</v>
      </c>
      <c r="H30" s="247">
        <f t="shared" si="21"/>
        <v>0</v>
      </c>
      <c r="I30" s="246">
        <f>+'B) Reajuste Tarifas y Ocupación'!C30</f>
        <v>50</v>
      </c>
      <c r="J30" s="238">
        <f>+'B) Reajuste Tarifas y Ocupación'!D30</f>
        <v>0</v>
      </c>
      <c r="K30" s="238">
        <f>+'B) Reajuste Tarifas y Ocupación'!E30</f>
        <v>1</v>
      </c>
      <c r="L30" s="238">
        <f>+'B) Reajuste Tarifas y Ocupación'!F30</f>
        <v>0</v>
      </c>
      <c r="M30" s="247">
        <f>+'B) Reajuste Tarifas y Ocupación'!G30</f>
        <v>0</v>
      </c>
      <c r="N30" s="251"/>
      <c r="O30" s="237"/>
      <c r="P30" s="254">
        <v>0</v>
      </c>
      <c r="Q30" s="763"/>
    </row>
    <row r="31" spans="1:247" ht="13.5" thickBot="1" x14ac:dyDescent="0.25">
      <c r="A31" s="775"/>
      <c r="B31" s="770"/>
      <c r="C31" s="522" t="s">
        <v>9</v>
      </c>
      <c r="D31" s="523">
        <f t="shared" ref="D31:H31" si="22">D30*D29</f>
        <v>8635000</v>
      </c>
      <c r="E31" s="524">
        <f t="shared" si="22"/>
        <v>0</v>
      </c>
      <c r="F31" s="524">
        <f t="shared" ref="F31" si="23">F30*F29</f>
        <v>241800</v>
      </c>
      <c r="G31" s="524">
        <f t="shared" si="22"/>
        <v>0</v>
      </c>
      <c r="H31" s="525">
        <f t="shared" si="22"/>
        <v>0</v>
      </c>
      <c r="I31" s="523">
        <f t="shared" ref="I31:M31" si="24">I30*I29*10</f>
        <v>86350000</v>
      </c>
      <c r="J31" s="524">
        <f t="shared" si="24"/>
        <v>0</v>
      </c>
      <c r="K31" s="524">
        <f t="shared" ref="K31" si="25">K30*K29*10</f>
        <v>2418000</v>
      </c>
      <c r="L31" s="524">
        <f t="shared" si="24"/>
        <v>0</v>
      </c>
      <c r="M31" s="525">
        <f t="shared" si="24"/>
        <v>0</v>
      </c>
      <c r="N31" s="526">
        <f>SUM(D31:H31)</f>
        <v>8876800</v>
      </c>
      <c r="O31" s="527">
        <f>SUM(I31:M31)</f>
        <v>88768000</v>
      </c>
      <c r="P31" s="528">
        <f>P30*P29</f>
        <v>0</v>
      </c>
      <c r="Q31" s="529">
        <f>N31+O31+P31</f>
        <v>97644800</v>
      </c>
    </row>
    <row r="32" spans="1:247" s="10" customFormat="1" ht="15.75" thickBot="1" x14ac:dyDescent="0.25">
      <c r="A32" s="776"/>
      <c r="B32" s="772" t="s">
        <v>10</v>
      </c>
      <c r="C32" s="773"/>
      <c r="D32" s="308">
        <f>+D22+D28+D31</f>
        <v>9936100</v>
      </c>
      <c r="E32" s="308">
        <f t="shared" ref="E32:M32" si="26">+E22+E28+E31</f>
        <v>0</v>
      </c>
      <c r="F32" s="308">
        <f t="shared" si="26"/>
        <v>241800</v>
      </c>
      <c r="G32" s="308">
        <f t="shared" si="26"/>
        <v>0</v>
      </c>
      <c r="H32" s="308">
        <f t="shared" si="26"/>
        <v>0</v>
      </c>
      <c r="I32" s="308">
        <f t="shared" si="26"/>
        <v>99361000</v>
      </c>
      <c r="J32" s="308">
        <f t="shared" si="26"/>
        <v>0</v>
      </c>
      <c r="K32" s="308">
        <f t="shared" si="26"/>
        <v>2418000</v>
      </c>
      <c r="L32" s="308">
        <f t="shared" si="26"/>
        <v>0</v>
      </c>
      <c r="M32" s="308">
        <f t="shared" si="26"/>
        <v>0</v>
      </c>
      <c r="N32" s="308">
        <f>+N22+N25+N28+N31</f>
        <v>10422700</v>
      </c>
      <c r="O32" s="308">
        <f>+O22+O25+O28+O31</f>
        <v>104227000</v>
      </c>
      <c r="P32" s="308">
        <f>+P22+P25+P28+P31</f>
        <v>0</v>
      </c>
      <c r="Q32" s="311">
        <f>+Q22+Q25+Q28+Q31</f>
        <v>114649700</v>
      </c>
    </row>
    <row r="33" spans="1:17" s="401" customFormat="1" ht="12.75" customHeight="1" x14ac:dyDescent="0.2">
      <c r="A33" s="779" t="str">
        <f>+'B) Reajuste Tarifas y Ocupación'!A16</f>
        <v>Sala Cuna Mar y Cielo Diurna</v>
      </c>
      <c r="B33" s="766" t="str">
        <f>+'[1]B) Reajuste Tarifas y Ocupación'!B15</f>
        <v>Diurna</v>
      </c>
      <c r="C33" s="471" t="s">
        <v>256</v>
      </c>
      <c r="D33" s="390"/>
      <c r="E33" s="395">
        <f t="shared" ref="E33:H34" si="27">+J33</f>
        <v>469000</v>
      </c>
      <c r="F33" s="395">
        <f t="shared" si="27"/>
        <v>486400</v>
      </c>
      <c r="G33" s="395">
        <f t="shared" si="27"/>
        <v>434200</v>
      </c>
      <c r="H33" s="396">
        <f>+M33</f>
        <v>521100</v>
      </c>
      <c r="I33" s="397">
        <f>+'B) Reajuste Tarifas y Ocupación'!M16</f>
        <v>347400</v>
      </c>
      <c r="J33" s="395">
        <f>+'B) Reajuste Tarifas y Ocupación'!N16</f>
        <v>469000</v>
      </c>
      <c r="K33" s="395">
        <f>+'B) Reajuste Tarifas y Ocupación'!O16</f>
        <v>486400</v>
      </c>
      <c r="L33" s="395">
        <f>+'B) Reajuste Tarifas y Ocupación'!P16</f>
        <v>434200</v>
      </c>
      <c r="M33" s="398">
        <f>+'B) Reajuste Tarifas y Ocupación'!Q16</f>
        <v>521100</v>
      </c>
      <c r="N33" s="399"/>
      <c r="O33" s="400"/>
      <c r="P33" s="400"/>
      <c r="Q33" s="764"/>
    </row>
    <row r="34" spans="1:17" s="401" customFormat="1" ht="12.75" customHeight="1" x14ac:dyDescent="0.2">
      <c r="A34" s="780"/>
      <c r="B34" s="767"/>
      <c r="C34" s="402" t="s">
        <v>7</v>
      </c>
      <c r="D34" s="393"/>
      <c r="E34" s="403">
        <f t="shared" si="27"/>
        <v>0</v>
      </c>
      <c r="F34" s="403">
        <f t="shared" si="27"/>
        <v>0</v>
      </c>
      <c r="G34" s="403">
        <f t="shared" si="27"/>
        <v>0</v>
      </c>
      <c r="H34" s="404">
        <f t="shared" si="27"/>
        <v>0</v>
      </c>
      <c r="I34" s="405">
        <f>+'B) Reajuste Tarifas y Ocupación'!C31</f>
        <v>12</v>
      </c>
      <c r="J34" s="403">
        <f>+'B) Reajuste Tarifas y Ocupación'!D31</f>
        <v>0</v>
      </c>
      <c r="K34" s="403">
        <f>+'B) Reajuste Tarifas y Ocupación'!E31</f>
        <v>0</v>
      </c>
      <c r="L34" s="403">
        <f>+'B) Reajuste Tarifas y Ocupación'!F31</f>
        <v>0</v>
      </c>
      <c r="M34" s="406">
        <f>+'B) Reajuste Tarifas y Ocupación'!G31</f>
        <v>0</v>
      </c>
      <c r="N34" s="407"/>
      <c r="O34" s="408"/>
      <c r="P34" s="408"/>
      <c r="Q34" s="765"/>
    </row>
    <row r="35" spans="1:17" s="401" customFormat="1" ht="13.5" customHeight="1" thickBot="1" x14ac:dyDescent="0.25">
      <c r="A35" s="780"/>
      <c r="B35" s="768"/>
      <c r="C35" s="409" t="s">
        <v>9</v>
      </c>
      <c r="D35" s="410">
        <f>D34*D33</f>
        <v>0</v>
      </c>
      <c r="E35" s="411">
        <f>E34*E33</f>
        <v>0</v>
      </c>
      <c r="F35" s="411">
        <f>F34*F33</f>
        <v>0</v>
      </c>
      <c r="G35" s="411">
        <f>G34*G33</f>
        <v>0</v>
      </c>
      <c r="H35" s="412">
        <f>H34*H33</f>
        <v>0</v>
      </c>
      <c r="I35" s="410">
        <f>I34*I33*12</f>
        <v>50025600</v>
      </c>
      <c r="J35" s="411">
        <f>J34*J33*12</f>
        <v>0</v>
      </c>
      <c r="K35" s="411">
        <f>K34*K33*12</f>
        <v>0</v>
      </c>
      <c r="L35" s="411">
        <f>L34*L33*12</f>
        <v>0</v>
      </c>
      <c r="M35" s="413">
        <f>M34*M33*12</f>
        <v>0</v>
      </c>
      <c r="N35" s="414">
        <f>SUM(D35:H35)</f>
        <v>0</v>
      </c>
      <c r="O35" s="415">
        <f>SUM(I35:M35)</f>
        <v>50025600</v>
      </c>
      <c r="P35" s="412">
        <f>P34*P33</f>
        <v>0</v>
      </c>
      <c r="Q35" s="416">
        <f>N35+O35+P35</f>
        <v>50025600</v>
      </c>
    </row>
    <row r="36" spans="1:17" s="401" customFormat="1" ht="12.75" customHeight="1" x14ac:dyDescent="0.2">
      <c r="A36" s="780"/>
      <c r="B36" s="766" t="str">
        <f>+'[1]B) Reajuste Tarifas y Ocupación'!B16</f>
        <v>Nocturna</v>
      </c>
      <c r="C36" s="471" t="s">
        <v>256</v>
      </c>
      <c r="D36" s="393"/>
      <c r="E36" s="391"/>
      <c r="F36" s="391"/>
      <c r="G36" s="391"/>
      <c r="H36" s="392"/>
      <c r="I36" s="417"/>
      <c r="J36" s="418"/>
      <c r="K36" s="418"/>
      <c r="L36" s="418"/>
      <c r="M36" s="419"/>
      <c r="N36" s="399"/>
      <c r="O36" s="400"/>
      <c r="P36" s="400"/>
      <c r="Q36" s="764"/>
    </row>
    <row r="37" spans="1:17" s="401" customFormat="1" ht="12.75" customHeight="1" x14ac:dyDescent="0.2">
      <c r="A37" s="780"/>
      <c r="B37" s="767"/>
      <c r="C37" s="402" t="s">
        <v>7</v>
      </c>
      <c r="D37" s="393"/>
      <c r="E37" s="420"/>
      <c r="F37" s="420"/>
      <c r="G37" s="420"/>
      <c r="H37" s="421"/>
      <c r="I37" s="422"/>
      <c r="J37" s="420"/>
      <c r="K37" s="420"/>
      <c r="L37" s="420"/>
      <c r="M37" s="423"/>
      <c r="N37" s="407"/>
      <c r="O37" s="408"/>
      <c r="P37" s="408"/>
      <c r="Q37" s="765"/>
    </row>
    <row r="38" spans="1:17" s="401" customFormat="1" ht="13.5" customHeight="1" thickBot="1" x14ac:dyDescent="0.25">
      <c r="A38" s="780"/>
      <c r="B38" s="768"/>
      <c r="C38" s="409" t="s">
        <v>9</v>
      </c>
      <c r="D38" s="410">
        <f>D37*D36</f>
        <v>0</v>
      </c>
      <c r="E38" s="411">
        <f>E37*E36</f>
        <v>0</v>
      </c>
      <c r="F38" s="411">
        <f>F37*F36</f>
        <v>0</v>
      </c>
      <c r="G38" s="411">
        <f>G37*G36</f>
        <v>0</v>
      </c>
      <c r="H38" s="412">
        <f>H37*H36</f>
        <v>0</v>
      </c>
      <c r="I38" s="424">
        <f>I37*I36*12</f>
        <v>0</v>
      </c>
      <c r="J38" s="425">
        <f>J37*J36*12</f>
        <v>0</v>
      </c>
      <c r="K38" s="425">
        <f>K37*K36*12</f>
        <v>0</v>
      </c>
      <c r="L38" s="425">
        <f>L37*L36*12</f>
        <v>0</v>
      </c>
      <c r="M38" s="426">
        <f>M37*M36*12</f>
        <v>0</v>
      </c>
      <c r="N38" s="414">
        <f>SUM(D38:H38)</f>
        <v>0</v>
      </c>
      <c r="O38" s="415">
        <f>SUM(I38:M38)</f>
        <v>0</v>
      </c>
      <c r="P38" s="412">
        <f>P37*P36</f>
        <v>0</v>
      </c>
      <c r="Q38" s="416">
        <f>N38+O38+P38</f>
        <v>0</v>
      </c>
    </row>
    <row r="39" spans="1:17" s="401" customFormat="1" ht="12.75" customHeight="1" x14ac:dyDescent="0.2">
      <c r="A39" s="780"/>
      <c r="B39" s="766" t="str">
        <f>+'[1]B) Reajuste Tarifas y Ocupación'!B17</f>
        <v>Media Jornada</v>
      </c>
      <c r="C39" s="471" t="s">
        <v>256</v>
      </c>
      <c r="D39" s="390"/>
      <c r="E39" s="395">
        <f t="shared" ref="E39:E40" si="28">+J39</f>
        <v>0</v>
      </c>
      <c r="F39" s="395">
        <f t="shared" ref="F39:F40" si="29">+K39</f>
        <v>0</v>
      </c>
      <c r="G39" s="395">
        <f t="shared" ref="G39:G40" si="30">+L39</f>
        <v>0</v>
      </c>
      <c r="H39" s="396">
        <f>+M39</f>
        <v>0</v>
      </c>
      <c r="I39" s="397">
        <f>+'B) Reajuste Tarifas y Ocupación'!M22</f>
        <v>0</v>
      </c>
      <c r="J39" s="395">
        <f>+'B) Reajuste Tarifas y Ocupación'!N22</f>
        <v>0</v>
      </c>
      <c r="K39" s="395">
        <f>+'B) Reajuste Tarifas y Ocupación'!O22</f>
        <v>0</v>
      </c>
      <c r="L39" s="395">
        <f>+'B) Reajuste Tarifas y Ocupación'!P22</f>
        <v>0</v>
      </c>
      <c r="M39" s="398">
        <f>+'B) Reajuste Tarifas y Ocupación'!Q22</f>
        <v>0</v>
      </c>
      <c r="N39" s="399"/>
      <c r="O39" s="400"/>
      <c r="P39" s="400"/>
      <c r="Q39" s="764"/>
    </row>
    <row r="40" spans="1:17" s="401" customFormat="1" ht="12.75" customHeight="1" x14ac:dyDescent="0.2">
      <c r="A40" s="780"/>
      <c r="B40" s="767"/>
      <c r="C40" s="402" t="s">
        <v>7</v>
      </c>
      <c r="D40" s="393"/>
      <c r="E40" s="403">
        <f t="shared" si="28"/>
        <v>0</v>
      </c>
      <c r="F40" s="403">
        <f t="shared" si="29"/>
        <v>0</v>
      </c>
      <c r="G40" s="403">
        <f t="shared" si="30"/>
        <v>0</v>
      </c>
      <c r="H40" s="404">
        <f t="shared" ref="H40" si="31">+M40</f>
        <v>0</v>
      </c>
      <c r="I40" s="405">
        <f>+'B) Reajuste Tarifas y Ocupación'!C33</f>
        <v>0</v>
      </c>
      <c r="J40" s="403">
        <f>+'B) Reajuste Tarifas y Ocupación'!D33</f>
        <v>0</v>
      </c>
      <c r="K40" s="403">
        <f>+'B) Reajuste Tarifas y Ocupación'!E33</f>
        <v>0</v>
      </c>
      <c r="L40" s="403">
        <f>+'B) Reajuste Tarifas y Ocupación'!F33</f>
        <v>0</v>
      </c>
      <c r="M40" s="406">
        <f>+'B) Reajuste Tarifas y Ocupación'!G33</f>
        <v>0</v>
      </c>
      <c r="N40" s="407"/>
      <c r="O40" s="408"/>
      <c r="P40" s="408"/>
      <c r="Q40" s="765"/>
    </row>
    <row r="41" spans="1:17" s="401" customFormat="1" ht="13.5" customHeight="1" thickBot="1" x14ac:dyDescent="0.25">
      <c r="A41" s="780"/>
      <c r="B41" s="768"/>
      <c r="C41" s="409" t="s">
        <v>9</v>
      </c>
      <c r="D41" s="410">
        <f>D40*D39</f>
        <v>0</v>
      </c>
      <c r="E41" s="411">
        <f>E40*E39</f>
        <v>0</v>
      </c>
      <c r="F41" s="411">
        <f>F40*F39</f>
        <v>0</v>
      </c>
      <c r="G41" s="411">
        <f>G40*G39</f>
        <v>0</v>
      </c>
      <c r="H41" s="412">
        <f>H40*H39</f>
        <v>0</v>
      </c>
      <c r="I41" s="410">
        <f>I40*I39*12</f>
        <v>0</v>
      </c>
      <c r="J41" s="411">
        <f>J40*J39*12</f>
        <v>0</v>
      </c>
      <c r="K41" s="411">
        <f>K40*K39*12</f>
        <v>0</v>
      </c>
      <c r="L41" s="411">
        <f>L40*L39*12</f>
        <v>0</v>
      </c>
      <c r="M41" s="413">
        <f>M40*M39*12</f>
        <v>0</v>
      </c>
      <c r="N41" s="414">
        <f>SUM(D41:H41)</f>
        <v>0</v>
      </c>
      <c r="O41" s="415">
        <f>SUM(I41:M41)</f>
        <v>0</v>
      </c>
      <c r="P41" s="412">
        <f>P40*P39</f>
        <v>0</v>
      </c>
      <c r="Q41" s="416">
        <f>N41+O41+P41</f>
        <v>0</v>
      </c>
    </row>
    <row r="42" spans="1:17" s="401" customFormat="1" ht="15.75" customHeight="1" thickBot="1" x14ac:dyDescent="0.25">
      <c r="A42" s="781"/>
      <c r="B42" s="782" t="s">
        <v>10</v>
      </c>
      <c r="C42" s="782"/>
      <c r="D42" s="300">
        <f>+D35+D41+D38</f>
        <v>0</v>
      </c>
      <c r="E42" s="301">
        <f t="shared" ref="E42:P42" si="32">+E35+E41+E38</f>
        <v>0</v>
      </c>
      <c r="F42" s="301">
        <f>+F35+F41+F38</f>
        <v>0</v>
      </c>
      <c r="G42" s="301">
        <f t="shared" si="32"/>
        <v>0</v>
      </c>
      <c r="H42" s="302">
        <f t="shared" si="32"/>
        <v>0</v>
      </c>
      <c r="I42" s="300">
        <f>+I35+I41+I38</f>
        <v>50025600</v>
      </c>
      <c r="J42" s="301">
        <f>+J35+J41+J38</f>
        <v>0</v>
      </c>
      <c r="K42" s="301">
        <f t="shared" si="32"/>
        <v>0</v>
      </c>
      <c r="L42" s="301">
        <f t="shared" si="32"/>
        <v>0</v>
      </c>
      <c r="M42" s="303">
        <f>+M35+M41+M38</f>
        <v>0</v>
      </c>
      <c r="N42" s="304">
        <f t="shared" si="32"/>
        <v>0</v>
      </c>
      <c r="O42" s="305">
        <f t="shared" si="32"/>
        <v>50025600</v>
      </c>
      <c r="P42" s="306">
        <f t="shared" si="32"/>
        <v>0</v>
      </c>
      <c r="Q42" s="307">
        <f>+Q35+Q41+Q38</f>
        <v>50025600</v>
      </c>
    </row>
    <row r="43" spans="1:17" ht="15" customHeight="1" thickBot="1" x14ac:dyDescent="0.25">
      <c r="A43" s="777" t="s">
        <v>8</v>
      </c>
      <c r="B43" s="778"/>
      <c r="C43" s="778"/>
      <c r="D43" s="308">
        <f>+D32+D42</f>
        <v>9936100</v>
      </c>
      <c r="E43" s="309">
        <f>+E32+E42</f>
        <v>0</v>
      </c>
      <c r="F43" s="309">
        <f>+F32+F42</f>
        <v>241800</v>
      </c>
      <c r="G43" s="309">
        <f>+G32+G42</f>
        <v>0</v>
      </c>
      <c r="H43" s="441">
        <f>+H32+H42</f>
        <v>0</v>
      </c>
      <c r="I43" s="308">
        <f t="shared" ref="I43:M43" si="33">+I32+I42</f>
        <v>149386600</v>
      </c>
      <c r="J43" s="309">
        <f t="shared" si="33"/>
        <v>0</v>
      </c>
      <c r="K43" s="309">
        <f t="shared" si="33"/>
        <v>2418000</v>
      </c>
      <c r="L43" s="309">
        <f t="shared" si="33"/>
        <v>0</v>
      </c>
      <c r="M43" s="310">
        <f t="shared" si="33"/>
        <v>0</v>
      </c>
      <c r="N43" s="308">
        <f t="shared" ref="N43" si="34">+N32+N42</f>
        <v>10422700</v>
      </c>
      <c r="O43" s="309">
        <f>+O32+O42</f>
        <v>154252600</v>
      </c>
      <c r="P43" s="310">
        <f>+P32+P42</f>
        <v>0</v>
      </c>
      <c r="Q43" s="311">
        <f>+Q32+Q42</f>
        <v>164675300</v>
      </c>
    </row>
  </sheetData>
  <sheetProtection algorithmName="SHA-512" hashValue="khTKDSZblLycK6+jDFt3cq7Rn0/Hv/dyPiiuUpjnJmxX+TFlR5kGU0g2lvcWzN8AfrcqVt1NN/ZHvsVTlcntag==" saltValue="eAKTyYHEcjs0QQMro5DG/w==" spinCount="100000" sheet="1" objects="1" scenarios="1"/>
  <mergeCells count="32">
    <mergeCell ref="P18:P19"/>
    <mergeCell ref="N18:N19"/>
    <mergeCell ref="O18:O19"/>
    <mergeCell ref="Q18:Q19"/>
    <mergeCell ref="Q20:Q21"/>
    <mergeCell ref="C4:D4"/>
    <mergeCell ref="E4:G4"/>
    <mergeCell ref="C18:C19"/>
    <mergeCell ref="D18:H18"/>
    <mergeCell ref="I18:M18"/>
    <mergeCell ref="A6:D6"/>
    <mergeCell ref="A16:D16"/>
    <mergeCell ref="A18:A19"/>
    <mergeCell ref="B18:B19"/>
    <mergeCell ref="A20:A32"/>
    <mergeCell ref="B20:B22"/>
    <mergeCell ref="A43:C43"/>
    <mergeCell ref="B29:B31"/>
    <mergeCell ref="A33:A42"/>
    <mergeCell ref="B33:B35"/>
    <mergeCell ref="B42:C42"/>
    <mergeCell ref="B23:B25"/>
    <mergeCell ref="Q23:Q24"/>
    <mergeCell ref="Q33:Q34"/>
    <mergeCell ref="B36:B38"/>
    <mergeCell ref="Q36:Q37"/>
    <mergeCell ref="B39:B41"/>
    <mergeCell ref="Q39:Q40"/>
    <mergeCell ref="B26:B28"/>
    <mergeCell ref="B32:C32"/>
    <mergeCell ref="Q29:Q30"/>
    <mergeCell ref="Q26:Q27"/>
  </mergeCells>
  <phoneticPr fontId="45" type="noConversion"/>
  <conditionalFormatting sqref="C12:N12 E16:N16 B9:I11 D13:N15">
    <cfRule type="cellIs" dxfId="8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D.B.S.A.ORDINARIA&amp;R02-BS/0307/02Pag &amp;P de &amp;N</oddHeader>
  </headerFooter>
  <ignoredErrors>
    <ignoredError sqref="D21:H21 D20:H20 J20 D29:Q29 I22:P22 J21:O21 L20:Q20 Q21 D31:P31 D30:O30 Q30" unlockedFormula="1"/>
    <ignoredError sqref="F22:H22" formula="1" unlockedFormula="1"/>
    <ignoredError sqref="D22:E2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33"/>
  <sheetViews>
    <sheetView showGridLines="0" topLeftCell="B7" zoomScale="80" zoomScaleNormal="80" workbookViewId="0">
      <selection activeCell="M13" sqref="M13"/>
    </sheetView>
  </sheetViews>
  <sheetFormatPr baseColWidth="10" defaultColWidth="11.42578125" defaultRowHeight="12.75" x14ac:dyDescent="0.2"/>
  <cols>
    <col min="1" max="1" width="56.42578125" style="41" customWidth="1"/>
    <col min="2" max="2" width="33.85546875" style="28" customWidth="1"/>
    <col min="3" max="3" width="12.28515625" style="41" customWidth="1"/>
    <col min="4" max="4" width="13.7109375" style="41" bestFit="1" customWidth="1"/>
    <col min="5" max="5" width="15.42578125" style="41" bestFit="1" customWidth="1"/>
    <col min="6" max="6" width="14.42578125" style="41" customWidth="1"/>
    <col min="7" max="7" width="14.85546875" style="41" customWidth="1"/>
    <col min="8" max="8" width="11.85546875" style="41" bestFit="1" customWidth="1"/>
    <col min="9" max="9" width="14.42578125" style="41" bestFit="1" customWidth="1"/>
    <col min="10" max="10" width="15.140625" style="41" customWidth="1"/>
    <col min="11" max="12" width="11.85546875" style="41" customWidth="1"/>
    <col min="13" max="13" width="14" style="41" customWidth="1"/>
    <col min="14" max="14" width="14.42578125" style="41" customWidth="1"/>
    <col min="15" max="15" width="15.28515625" style="41" customWidth="1"/>
    <col min="16" max="17" width="11.85546875" style="41" customWidth="1"/>
    <col min="18" max="18" width="11.85546875" style="28" customWidth="1"/>
    <col min="19" max="19" width="32.7109375" style="41" customWidth="1"/>
    <col min="20" max="20" width="33" style="28" bestFit="1" customWidth="1"/>
    <col min="21" max="21" width="13.85546875" style="41" customWidth="1"/>
    <col min="22" max="22" width="14.42578125" style="41" bestFit="1" customWidth="1"/>
    <col min="23" max="23" width="14.42578125" style="41" customWidth="1"/>
    <col min="24" max="24" width="12.85546875" style="41" bestFit="1" customWidth="1"/>
    <col min="25" max="16384" width="11.42578125" style="41"/>
  </cols>
  <sheetData>
    <row r="1" spans="1:256" s="6" customFormat="1" x14ac:dyDescent="0.2">
      <c r="A1" s="5"/>
      <c r="C1" s="7"/>
      <c r="D1" s="7"/>
      <c r="E1" s="7"/>
      <c r="F1" s="40" t="s">
        <v>196</v>
      </c>
      <c r="G1" s="7"/>
      <c r="R1" s="14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0" t="s">
        <v>189</v>
      </c>
      <c r="G2" s="7"/>
      <c r="R2" s="14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4"/>
      <c r="S3" s="4"/>
      <c r="IU3" s="4"/>
      <c r="IV3" s="4"/>
    </row>
    <row r="4" spans="1:256" s="6" customFormat="1" ht="13.5" thickBot="1" x14ac:dyDescent="0.25">
      <c r="A4" s="22"/>
      <c r="B4" s="23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3"/>
      <c r="S4" s="22"/>
      <c r="T4" s="23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2"/>
      <c r="B5" s="23"/>
      <c r="C5" s="783" t="s">
        <v>0</v>
      </c>
      <c r="D5" s="844"/>
      <c r="E5" s="78"/>
      <c r="F5" s="815" t="s">
        <v>300</v>
      </c>
      <c r="G5" s="816"/>
      <c r="R5" s="14"/>
      <c r="S5" s="22"/>
      <c r="T5" s="23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2"/>
      <c r="B6" s="23"/>
      <c r="C6" s="78"/>
      <c r="D6" s="78"/>
      <c r="E6" s="78"/>
      <c r="F6" s="81"/>
      <c r="G6" s="81"/>
      <c r="R6" s="14"/>
      <c r="S6" s="22"/>
      <c r="T6" s="23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2"/>
      <c r="B7" s="23"/>
      <c r="C7" s="78"/>
      <c r="D7" s="78"/>
      <c r="E7" s="78"/>
      <c r="F7" s="81"/>
      <c r="G7" s="81"/>
      <c r="R7" s="14"/>
      <c r="S7" s="22"/>
      <c r="T7" s="23"/>
      <c r="V7" s="47"/>
      <c r="W7" s="47"/>
      <c r="IL7" s="4"/>
      <c r="IM7" s="4"/>
      <c r="IN7" s="4"/>
      <c r="IO7" s="4"/>
      <c r="IP7" s="4"/>
      <c r="IQ7" s="4"/>
    </row>
    <row r="8" spans="1:256" s="14" customFormat="1" ht="15.75" x14ac:dyDescent="0.2">
      <c r="A8" s="825" t="s">
        <v>143</v>
      </c>
      <c r="B8" s="825"/>
      <c r="C8" s="825"/>
      <c r="D8" s="825"/>
      <c r="E8" s="79"/>
      <c r="F8" s="81"/>
      <c r="G8" s="81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thickBot="1" x14ac:dyDescent="0.25">
      <c r="A10" s="826" t="s">
        <v>132</v>
      </c>
      <c r="B10" s="820" t="s">
        <v>5</v>
      </c>
      <c r="C10" s="822" t="s">
        <v>223</v>
      </c>
      <c r="D10" s="823"/>
      <c r="E10" s="823"/>
      <c r="F10" s="823"/>
      <c r="G10" s="824"/>
      <c r="H10" s="838" t="s">
        <v>109</v>
      </c>
      <c r="I10" s="839"/>
      <c r="J10" s="839"/>
      <c r="K10" s="839"/>
      <c r="L10" s="840"/>
      <c r="M10" s="835" t="s">
        <v>257</v>
      </c>
      <c r="N10" s="836"/>
      <c r="O10" s="836"/>
      <c r="P10" s="836"/>
      <c r="Q10" s="837"/>
      <c r="R10" s="17"/>
    </row>
    <row r="11" spans="1:256" ht="79.5" customHeight="1" thickBot="1" x14ac:dyDescent="0.25">
      <c r="A11" s="827"/>
      <c r="B11" s="821"/>
      <c r="C11" s="617" t="s">
        <v>87</v>
      </c>
      <c r="D11" s="618" t="s">
        <v>133</v>
      </c>
      <c r="E11" s="618" t="s">
        <v>134</v>
      </c>
      <c r="F11" s="618" t="s">
        <v>88</v>
      </c>
      <c r="G11" s="619" t="s">
        <v>89</v>
      </c>
      <c r="H11" s="482" t="s">
        <v>87</v>
      </c>
      <c r="I11" s="520" t="s">
        <v>133</v>
      </c>
      <c r="J11" s="520" t="s">
        <v>134</v>
      </c>
      <c r="K11" s="621" t="s">
        <v>88</v>
      </c>
      <c r="L11" s="323" t="s">
        <v>89</v>
      </c>
      <c r="M11" s="622" t="s">
        <v>87</v>
      </c>
      <c r="N11" s="623" t="s">
        <v>133</v>
      </c>
      <c r="O11" s="623" t="s">
        <v>134</v>
      </c>
      <c r="P11" s="623" t="s">
        <v>88</v>
      </c>
      <c r="Q11" s="624" t="s">
        <v>89</v>
      </c>
      <c r="R11" s="17"/>
    </row>
    <row r="12" spans="1:256" ht="13.5" customHeight="1" thickBot="1" x14ac:dyDescent="0.25">
      <c r="A12" s="841" t="s">
        <v>203</v>
      </c>
      <c r="B12" s="627" t="s">
        <v>125</v>
      </c>
      <c r="C12" s="620">
        <v>63800</v>
      </c>
      <c r="D12" s="620">
        <v>76500</v>
      </c>
      <c r="E12" s="620">
        <v>76500</v>
      </c>
      <c r="F12" s="620">
        <v>100000</v>
      </c>
      <c r="G12" s="620">
        <v>118100</v>
      </c>
      <c r="H12" s="628">
        <v>0.16500000000000001</v>
      </c>
      <c r="I12" s="517">
        <f>+H12</f>
        <v>0.16500000000000001</v>
      </c>
      <c r="J12" s="517">
        <f>+H12</f>
        <v>0.16500000000000001</v>
      </c>
      <c r="K12" s="517">
        <f>+H12</f>
        <v>0.16500000000000001</v>
      </c>
      <c r="L12" s="747">
        <f>+H12</f>
        <v>0.16500000000000001</v>
      </c>
      <c r="M12" s="750">
        <f>CEILING(C12*(1+H12),100)</f>
        <v>74400</v>
      </c>
      <c r="N12" s="518">
        <f>+CEILING(C12*(1.35)*(1+I12),100)</f>
        <v>100400</v>
      </c>
      <c r="O12" s="518">
        <f>+CEILING(C12*(1.4)*(1+J12),100)</f>
        <v>104100</v>
      </c>
      <c r="P12" s="518">
        <f t="shared" ref="P12:Q15" si="0">+CEILING(F12*(1+K12),100)</f>
        <v>116500</v>
      </c>
      <c r="Q12" s="625">
        <f t="shared" si="0"/>
        <v>137600</v>
      </c>
      <c r="R12" s="62"/>
    </row>
    <row r="13" spans="1:256" ht="13.5" customHeight="1" thickBot="1" x14ac:dyDescent="0.25">
      <c r="A13" s="842"/>
      <c r="B13" s="629" t="s">
        <v>265</v>
      </c>
      <c r="C13" s="319">
        <v>105000</v>
      </c>
      <c r="D13" s="319">
        <v>126000</v>
      </c>
      <c r="E13" s="319">
        <v>126000</v>
      </c>
      <c r="F13" s="319">
        <v>131250</v>
      </c>
      <c r="G13" s="319">
        <v>157500</v>
      </c>
      <c r="H13" s="628">
        <v>0.16500000000000001</v>
      </c>
      <c r="I13" s="320">
        <f>+H13</f>
        <v>0.16500000000000001</v>
      </c>
      <c r="J13" s="320">
        <f>+H13</f>
        <v>0.16500000000000001</v>
      </c>
      <c r="K13" s="320">
        <f>+H13</f>
        <v>0.16500000000000001</v>
      </c>
      <c r="L13" s="748">
        <f>+H13</f>
        <v>0.16500000000000001</v>
      </c>
      <c r="M13" s="751">
        <f>CEILING(C13*(1+H13),100)</f>
        <v>122400</v>
      </c>
      <c r="N13" s="324">
        <f t="shared" ref="N13:N16" si="1">+CEILING(C13*(1.35)*(1+I13),100)</f>
        <v>165200</v>
      </c>
      <c r="O13" s="324">
        <f t="shared" ref="O13:O16" si="2">+CEILING(C13*(1.4)*(1+J13),100)</f>
        <v>171300</v>
      </c>
      <c r="P13" s="324">
        <f>+CEILING(F13*(1+K13),100)</f>
        <v>153000</v>
      </c>
      <c r="Q13" s="325">
        <f t="shared" ref="Q13" si="3">+CEILING(G13*(1+L13),100)</f>
        <v>183500</v>
      </c>
      <c r="R13" s="62"/>
    </row>
    <row r="14" spans="1:256" ht="13.5" customHeight="1" thickBot="1" x14ac:dyDescent="0.25">
      <c r="A14" s="842"/>
      <c r="B14" s="629" t="s">
        <v>204</v>
      </c>
      <c r="C14" s="319">
        <v>95000</v>
      </c>
      <c r="D14" s="319">
        <v>114000</v>
      </c>
      <c r="E14" s="319">
        <v>114000</v>
      </c>
      <c r="F14" s="319">
        <v>142500</v>
      </c>
      <c r="G14" s="319">
        <v>167100</v>
      </c>
      <c r="H14" s="628">
        <v>0.16500000000000001</v>
      </c>
      <c r="I14" s="320">
        <f>+H14</f>
        <v>0.16500000000000001</v>
      </c>
      <c r="J14" s="320">
        <f>+H14</f>
        <v>0.16500000000000001</v>
      </c>
      <c r="K14" s="320">
        <f>+H14</f>
        <v>0.16500000000000001</v>
      </c>
      <c r="L14" s="748">
        <f t="shared" ref="L14:L18" si="4">+H14</f>
        <v>0.16500000000000001</v>
      </c>
      <c r="M14" s="751">
        <f>CEILING(C14*(1+H14),100)</f>
        <v>110700</v>
      </c>
      <c r="N14" s="324">
        <f t="shared" si="1"/>
        <v>149500</v>
      </c>
      <c r="O14" s="324">
        <f t="shared" si="2"/>
        <v>155000</v>
      </c>
      <c r="P14" s="324">
        <f t="shared" si="0"/>
        <v>166100</v>
      </c>
      <c r="Q14" s="325">
        <f t="shared" si="0"/>
        <v>194700</v>
      </c>
      <c r="R14" s="62"/>
    </row>
    <row r="15" spans="1:256" ht="13.5" customHeight="1" thickBot="1" x14ac:dyDescent="0.25">
      <c r="A15" s="843"/>
      <c r="B15" s="630" t="s">
        <v>205</v>
      </c>
      <c r="C15" s="626">
        <v>148200</v>
      </c>
      <c r="D15" s="626">
        <v>177900</v>
      </c>
      <c r="E15" s="626">
        <v>177900</v>
      </c>
      <c r="F15" s="626">
        <v>185300</v>
      </c>
      <c r="G15" s="626">
        <v>192700</v>
      </c>
      <c r="H15" s="628">
        <v>0.16500000000000001</v>
      </c>
      <c r="I15" s="321">
        <f>+H15</f>
        <v>0.16500000000000001</v>
      </c>
      <c r="J15" s="321">
        <f>+H15</f>
        <v>0.16500000000000001</v>
      </c>
      <c r="K15" s="321">
        <f>+H15</f>
        <v>0.16500000000000001</v>
      </c>
      <c r="L15" s="749">
        <f t="shared" si="4"/>
        <v>0.16500000000000001</v>
      </c>
      <c r="M15" s="752">
        <f>CEILING(C15*(1+H15),100)</f>
        <v>172700</v>
      </c>
      <c r="N15" s="326">
        <f t="shared" si="1"/>
        <v>233100</v>
      </c>
      <c r="O15" s="326">
        <f t="shared" si="2"/>
        <v>241800</v>
      </c>
      <c r="P15" s="326">
        <f t="shared" si="0"/>
        <v>215900</v>
      </c>
      <c r="Q15" s="327">
        <f t="shared" si="0"/>
        <v>224500</v>
      </c>
    </row>
    <row r="16" spans="1:256" customFormat="1" ht="12.75" customHeight="1" x14ac:dyDescent="0.2">
      <c r="A16" s="832" t="s">
        <v>243</v>
      </c>
      <c r="B16" s="632" t="s">
        <v>217</v>
      </c>
      <c r="C16" s="633">
        <v>327700</v>
      </c>
      <c r="D16" s="450">
        <v>393300</v>
      </c>
      <c r="E16" s="450">
        <v>393300</v>
      </c>
      <c r="F16" s="450">
        <v>409600</v>
      </c>
      <c r="G16" s="450">
        <v>491600</v>
      </c>
      <c r="H16" s="628">
        <v>0.06</v>
      </c>
      <c r="I16" s="517">
        <f t="shared" ref="I16:I18" si="5">+H16</f>
        <v>0.06</v>
      </c>
      <c r="J16" s="517">
        <f t="shared" ref="J16:J18" si="6">+H16</f>
        <v>0.06</v>
      </c>
      <c r="K16" s="517">
        <f t="shared" ref="K16:K18" si="7">+H16</f>
        <v>0.06</v>
      </c>
      <c r="L16" s="747">
        <f t="shared" si="4"/>
        <v>0.06</v>
      </c>
      <c r="M16" s="750">
        <f>CEILING(C16*(1+H16),100)</f>
        <v>347400</v>
      </c>
      <c r="N16" s="518">
        <f t="shared" si="1"/>
        <v>469000</v>
      </c>
      <c r="O16" s="518">
        <f t="shared" si="2"/>
        <v>486400</v>
      </c>
      <c r="P16" s="518">
        <f>+CEILING(F16*(1+K16),100)</f>
        <v>434200</v>
      </c>
      <c r="Q16" s="625">
        <f>+CEILING(G16*(1+L16),100)</f>
        <v>521100</v>
      </c>
    </row>
    <row r="17" spans="1:18" customFormat="1" x14ac:dyDescent="0.2">
      <c r="A17" s="833"/>
      <c r="B17" s="634" t="s">
        <v>218</v>
      </c>
      <c r="C17" s="516"/>
      <c r="D17" s="516"/>
      <c r="E17" s="516"/>
      <c r="F17" s="516"/>
      <c r="G17" s="516"/>
      <c r="H17" s="516"/>
      <c r="I17" s="516"/>
      <c r="J17" s="516"/>
      <c r="K17" s="516"/>
      <c r="L17" s="753"/>
      <c r="M17" s="754"/>
      <c r="N17" s="516"/>
      <c r="O17" s="516"/>
      <c r="P17" s="516"/>
      <c r="Q17" s="519"/>
    </row>
    <row r="18" spans="1:18" customFormat="1" ht="13.5" thickBot="1" x14ac:dyDescent="0.25">
      <c r="A18" s="834"/>
      <c r="B18" s="635" t="s">
        <v>219</v>
      </c>
      <c r="C18" s="521">
        <v>196700</v>
      </c>
      <c r="D18" s="521">
        <v>236000</v>
      </c>
      <c r="E18" s="521">
        <v>236000</v>
      </c>
      <c r="F18" s="521">
        <v>295000</v>
      </c>
      <c r="G18" s="521">
        <v>393300</v>
      </c>
      <c r="H18" s="631">
        <v>0.06</v>
      </c>
      <c r="I18" s="321">
        <f t="shared" si="5"/>
        <v>0.06</v>
      </c>
      <c r="J18" s="321">
        <f t="shared" si="6"/>
        <v>0.06</v>
      </c>
      <c r="K18" s="321">
        <f t="shared" si="7"/>
        <v>0.06</v>
      </c>
      <c r="L18" s="749">
        <f t="shared" si="4"/>
        <v>0.06</v>
      </c>
      <c r="M18" s="752">
        <f>CEILING(C18*(1+H18),100)</f>
        <v>208600</v>
      </c>
      <c r="N18" s="326">
        <f>+CEILING(C18*(1.35)*(1+I18),100)</f>
        <v>281500</v>
      </c>
      <c r="O18" s="326">
        <f>+CEILING(C18*(1.4)*(1+J18),100)</f>
        <v>292000</v>
      </c>
      <c r="P18" s="326">
        <f>+CEILING(F18*(1+K18),100)</f>
        <v>312700</v>
      </c>
      <c r="Q18" s="327">
        <f>+CEILING(G18*(1+L18),100)</f>
        <v>416900</v>
      </c>
    </row>
    <row r="19" spans="1:18" ht="12.75" customHeight="1" x14ac:dyDescent="0.2">
      <c r="B19" s="41"/>
      <c r="H19" s="729"/>
      <c r="R19" s="41"/>
    </row>
    <row r="22" spans="1:18" x14ac:dyDescent="0.2">
      <c r="D22" s="131"/>
    </row>
    <row r="23" spans="1:18" ht="15.75" x14ac:dyDescent="0.2">
      <c r="A23" s="825" t="s">
        <v>144</v>
      </c>
      <c r="B23" s="825"/>
      <c r="C23" s="825"/>
      <c r="D23" s="825"/>
      <c r="E23" s="825"/>
      <c r="F23" s="825"/>
      <c r="G23" s="14"/>
      <c r="H23" s="14"/>
    </row>
    <row r="24" spans="1:18" ht="13.5" thickBot="1" x14ac:dyDescent="0.25"/>
    <row r="25" spans="1:18" ht="16.5" thickBot="1" x14ac:dyDescent="0.25">
      <c r="A25" s="830" t="s">
        <v>132</v>
      </c>
      <c r="B25" s="828" t="s">
        <v>5</v>
      </c>
      <c r="C25" s="817" t="s">
        <v>258</v>
      </c>
      <c r="D25" s="818"/>
      <c r="E25" s="818"/>
      <c r="F25" s="818"/>
      <c r="G25" s="818"/>
      <c r="H25" s="819"/>
    </row>
    <row r="26" spans="1:18" ht="64.5" thickBot="1" x14ac:dyDescent="0.25">
      <c r="A26" s="831"/>
      <c r="B26" s="829"/>
      <c r="C26" s="505" t="s">
        <v>87</v>
      </c>
      <c r="D26" s="74" t="s">
        <v>133</v>
      </c>
      <c r="E26" s="74" t="s">
        <v>134</v>
      </c>
      <c r="F26" s="74" t="s">
        <v>88</v>
      </c>
      <c r="G26" s="509" t="s">
        <v>89</v>
      </c>
      <c r="H26" s="512" t="s">
        <v>131</v>
      </c>
    </row>
    <row r="27" spans="1:18" ht="20.100000000000001" customHeight="1" thickBot="1" x14ac:dyDescent="0.25">
      <c r="A27" s="811" t="str">
        <f>+A12</f>
        <v>Jardín Infantil Mar y Cielo</v>
      </c>
      <c r="B27" s="501" t="str">
        <f>+B12</f>
        <v>Media jornada</v>
      </c>
      <c r="C27" s="506">
        <v>16</v>
      </c>
      <c r="D27" s="394">
        <v>0</v>
      </c>
      <c r="E27" s="394">
        <v>0</v>
      </c>
      <c r="F27" s="394">
        <v>0</v>
      </c>
      <c r="G27" s="610">
        <v>0</v>
      </c>
      <c r="H27" s="513">
        <f>SUM(C27:G27)</f>
        <v>16</v>
      </c>
    </row>
    <row r="28" spans="1:18" ht="20.100000000000001" customHeight="1" x14ac:dyDescent="0.2">
      <c r="A28" s="812"/>
      <c r="B28" s="604" t="str">
        <f>+B13</f>
        <v>Media jornada extendida</v>
      </c>
      <c r="C28" s="611">
        <v>2</v>
      </c>
      <c r="D28" s="608">
        <v>0</v>
      </c>
      <c r="E28" s="608">
        <v>0</v>
      </c>
      <c r="F28" s="608">
        <v>0</v>
      </c>
      <c r="G28" s="612">
        <v>0</v>
      </c>
      <c r="H28" s="513">
        <f>SUM(C28:G28)</f>
        <v>2</v>
      </c>
    </row>
    <row r="29" spans="1:18" ht="20.100000000000001" customHeight="1" thickBot="1" x14ac:dyDescent="0.25">
      <c r="A29" s="813"/>
      <c r="B29" s="502" t="str">
        <f>+B14</f>
        <v xml:space="preserve">Doble jornada </v>
      </c>
      <c r="C29" s="611">
        <v>1</v>
      </c>
      <c r="D29" s="608">
        <v>0</v>
      </c>
      <c r="E29" s="608">
        <v>0</v>
      </c>
      <c r="F29" s="608">
        <v>0</v>
      </c>
      <c r="G29" s="612">
        <v>0</v>
      </c>
      <c r="H29" s="614">
        <f>SUM(C29:G29)</f>
        <v>1</v>
      </c>
    </row>
    <row r="30" spans="1:18" ht="20.100000000000001" customHeight="1" thickBot="1" x14ac:dyDescent="0.25">
      <c r="A30" s="814"/>
      <c r="B30" s="503" t="str">
        <f>+B15</f>
        <v>Jornada completa</v>
      </c>
      <c r="C30" s="508">
        <v>50</v>
      </c>
      <c r="D30" s="130">
        <v>0</v>
      </c>
      <c r="E30" s="130">
        <v>1</v>
      </c>
      <c r="F30" s="130">
        <v>0</v>
      </c>
      <c r="G30" s="613">
        <v>0</v>
      </c>
      <c r="H30" s="615">
        <f t="shared" ref="H30" si="8">SUM(C30:G30)</f>
        <v>51</v>
      </c>
      <c r="I30" s="504">
        <f>SUM(H27:H30)</f>
        <v>70</v>
      </c>
      <c r="J30" s="738"/>
    </row>
    <row r="31" spans="1:18" customFormat="1" ht="19.5" customHeight="1" x14ac:dyDescent="0.2">
      <c r="A31" s="808" t="str">
        <f>+A16</f>
        <v>Sala Cuna Mar y Cielo Diurna</v>
      </c>
      <c r="B31" s="604" t="str">
        <f t="shared" ref="B31:B33" si="9">+B16</f>
        <v>Diurna</v>
      </c>
      <c r="C31" s="605">
        <v>12</v>
      </c>
      <c r="D31" s="606">
        <v>0</v>
      </c>
      <c r="E31" s="606">
        <v>0</v>
      </c>
      <c r="F31" s="606">
        <v>0</v>
      </c>
      <c r="G31" s="607">
        <v>0</v>
      </c>
      <c r="H31" s="609">
        <f>SUM(C31:G31)</f>
        <v>12</v>
      </c>
    </row>
    <row r="32" spans="1:18" customFormat="1" ht="19.5" customHeight="1" thickBot="1" x14ac:dyDescent="0.25">
      <c r="A32" s="809"/>
      <c r="B32" s="502" t="str">
        <f t="shared" si="9"/>
        <v>Nocturna</v>
      </c>
      <c r="C32" s="507"/>
      <c r="D32" s="500"/>
      <c r="E32" s="500"/>
      <c r="F32" s="500"/>
      <c r="G32" s="510"/>
      <c r="H32" s="514"/>
    </row>
    <row r="33" spans="1:9" customFormat="1" ht="19.5" customHeight="1" thickBot="1" x14ac:dyDescent="0.25">
      <c r="A33" s="810"/>
      <c r="B33" s="503" t="str">
        <f t="shared" si="9"/>
        <v>Media Jornada</v>
      </c>
      <c r="C33" s="508">
        <v>0</v>
      </c>
      <c r="D33" s="130">
        <v>0</v>
      </c>
      <c r="E33" s="130">
        <v>0</v>
      </c>
      <c r="F33" s="130">
        <v>0</v>
      </c>
      <c r="G33" s="511">
        <v>0</v>
      </c>
      <c r="H33" s="515">
        <f>SUM(C33:G33)</f>
        <v>0</v>
      </c>
      <c r="I33" s="504">
        <f>SUM(H31:H33)</f>
        <v>12</v>
      </c>
    </row>
  </sheetData>
  <sheetProtection algorithmName="SHA-512" hashValue="Rf5F0KysZc2VwkcsRsiQALRcrfax3/KG1Wrzv1vqdNsWMsY/e6P0BLphhMc9fVmkUeCFABDQpU8/swz7eNG/oQ==" saltValue="YiF6FMbJ8zsQXKu1aYByyQ==" spinCount="100000" sheet="1" objects="1" scenarios="1"/>
  <mergeCells count="16">
    <mergeCell ref="M10:Q10"/>
    <mergeCell ref="A23:F23"/>
    <mergeCell ref="H10:L10"/>
    <mergeCell ref="A12:A15"/>
    <mergeCell ref="C5:D5"/>
    <mergeCell ref="A31:A33"/>
    <mergeCell ref="A27:A30"/>
    <mergeCell ref="F5:G5"/>
    <mergeCell ref="C25:H25"/>
    <mergeCell ref="B10:B11"/>
    <mergeCell ref="C10:G10"/>
    <mergeCell ref="A8:D8"/>
    <mergeCell ref="A10:A11"/>
    <mergeCell ref="B25:B26"/>
    <mergeCell ref="A25:A26"/>
    <mergeCell ref="A16:A18"/>
  </mergeCells>
  <pageMargins left="0.7" right="0.7" top="0.75" bottom="0.75" header="0.3" footer="0.3"/>
  <pageSetup paperSize="9" orientation="portrait" r:id="rId1"/>
  <ignoredErrors>
    <ignoredError sqref="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P142"/>
  <sheetViews>
    <sheetView showGridLines="0" topLeftCell="C1" zoomScale="80" zoomScaleNormal="80" workbookViewId="0">
      <selection activeCell="K15" sqref="K15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4" customWidth="1"/>
    <col min="7" max="7" width="15.28515625" style="6" bestFit="1" customWidth="1"/>
    <col min="8" max="8" width="23" style="6" customWidth="1"/>
    <col min="9" max="9" width="20.7109375" style="4" hidden="1" customWidth="1"/>
    <col min="10" max="10" width="13.85546875" style="4" bestFit="1" customWidth="1"/>
    <col min="11" max="11" width="16.28515625" style="4" customWidth="1"/>
    <col min="12" max="12" width="11.42578125" style="4"/>
    <col min="13" max="13" width="97.85546875" style="4" customWidth="1"/>
    <col min="14" max="14" width="12.85546875" style="4" bestFit="1" customWidth="1"/>
    <col min="15" max="15" width="15.140625" style="4" customWidth="1"/>
    <col min="16" max="16" width="14.7109375" style="4" customWidth="1"/>
    <col min="17" max="16384" width="11.42578125" style="4"/>
  </cols>
  <sheetData>
    <row r="1" spans="1:16" x14ac:dyDescent="0.2">
      <c r="C1" s="40"/>
      <c r="D1" s="40" t="s">
        <v>197</v>
      </c>
      <c r="E1" s="40"/>
      <c r="F1" s="40"/>
      <c r="G1" s="40"/>
      <c r="H1" s="40"/>
    </row>
    <row r="2" spans="1:16" x14ac:dyDescent="0.2">
      <c r="C2" s="40"/>
      <c r="D2" s="40" t="s">
        <v>206</v>
      </c>
      <c r="E2" s="40"/>
      <c r="F2" s="40"/>
      <c r="G2" s="40"/>
      <c r="H2" s="40"/>
    </row>
    <row r="3" spans="1:16" x14ac:dyDescent="0.2">
      <c r="C3" s="40"/>
      <c r="E3" s="40"/>
      <c r="F3" s="40"/>
      <c r="G3" s="40"/>
      <c r="H3" s="40"/>
    </row>
    <row r="4" spans="1:16" ht="15.75" x14ac:dyDescent="0.2">
      <c r="C4" s="485" t="s">
        <v>0</v>
      </c>
      <c r="D4" s="864" t="s">
        <v>145</v>
      </c>
      <c r="E4" s="865"/>
      <c r="F4" s="40"/>
      <c r="G4" s="40"/>
      <c r="H4" s="40"/>
    </row>
    <row r="5" spans="1:16" x14ac:dyDescent="0.2">
      <c r="B5" s="40"/>
      <c r="C5" s="487"/>
      <c r="D5" s="40"/>
      <c r="E5" s="40"/>
      <c r="F5" s="40"/>
      <c r="G5" s="40"/>
      <c r="H5" s="40"/>
    </row>
    <row r="6" spans="1:16" x14ac:dyDescent="0.2">
      <c r="B6" s="40"/>
      <c r="C6" s="487"/>
      <c r="D6" s="40"/>
      <c r="E6" s="40"/>
      <c r="F6" s="40"/>
      <c r="G6" s="40"/>
      <c r="H6" s="40"/>
    </row>
    <row r="7" spans="1:16" x14ac:dyDescent="0.2">
      <c r="C7" s="6"/>
    </row>
    <row r="8" spans="1:16" ht="15.75" x14ac:dyDescent="0.2">
      <c r="A8" s="825" t="s">
        <v>146</v>
      </c>
      <c r="B8" s="825"/>
      <c r="C8" s="825"/>
      <c r="D8" s="487"/>
      <c r="G8" s="4"/>
    </row>
    <row r="10" spans="1:16" x14ac:dyDescent="0.2">
      <c r="A10" s="868" t="s">
        <v>115</v>
      </c>
      <c r="B10" s="866" t="s">
        <v>76</v>
      </c>
      <c r="C10" s="872" t="s">
        <v>77</v>
      </c>
      <c r="D10" s="870" t="s">
        <v>78</v>
      </c>
      <c r="E10" s="869" t="s">
        <v>79</v>
      </c>
      <c r="F10" s="869"/>
      <c r="G10" s="869"/>
      <c r="H10" s="871" t="s">
        <v>259</v>
      </c>
      <c r="I10" s="853" t="s">
        <v>75</v>
      </c>
      <c r="M10" s="845" t="s">
        <v>222</v>
      </c>
      <c r="N10" s="847" t="s">
        <v>216</v>
      </c>
      <c r="O10" s="847" t="s">
        <v>220</v>
      </c>
      <c r="P10" s="847" t="s">
        <v>221</v>
      </c>
    </row>
    <row r="11" spans="1:16" ht="25.5" x14ac:dyDescent="0.2">
      <c r="A11" s="857"/>
      <c r="B11" s="867"/>
      <c r="C11" s="861"/>
      <c r="D11" s="870"/>
      <c r="E11" s="221" t="s">
        <v>67</v>
      </c>
      <c r="F11" s="222" t="s">
        <v>68</v>
      </c>
      <c r="G11" s="486" t="s">
        <v>6</v>
      </c>
      <c r="H11" s="852"/>
      <c r="I11" s="854"/>
      <c r="M11" s="846"/>
      <c r="N11" s="848"/>
      <c r="O11" s="848"/>
      <c r="P11" s="848"/>
    </row>
    <row r="12" spans="1:16" x14ac:dyDescent="0.2">
      <c r="A12" s="855" t="str">
        <f>+'B) Reajuste Tarifas y Ocupación'!A12</f>
        <v>Jardín Infantil Mar y Cielo</v>
      </c>
      <c r="B12" s="474"/>
      <c r="C12" s="207" t="s">
        <v>11</v>
      </c>
      <c r="D12" s="216">
        <f>SUM(D13,D18)</f>
        <v>83933670.689400002</v>
      </c>
      <c r="E12" s="217"/>
      <c r="F12" s="217"/>
      <c r="G12" s="223">
        <f>SUM(G13,G18)</f>
        <v>28098620</v>
      </c>
      <c r="H12" s="214">
        <f>SUM(H13,H18)</f>
        <v>112032290.6894</v>
      </c>
      <c r="I12" s="445"/>
      <c r="M12" s="530" t="s">
        <v>11</v>
      </c>
      <c r="N12" s="531"/>
      <c r="O12" s="531"/>
      <c r="P12" s="531"/>
    </row>
    <row r="13" spans="1:16" x14ac:dyDescent="0.2">
      <c r="A13" s="855"/>
      <c r="B13" s="475"/>
      <c r="C13" s="203" t="s">
        <v>12</v>
      </c>
      <c r="D13" s="205">
        <f>SUM(D14:D17)</f>
        <v>78477782.689400002</v>
      </c>
      <c r="E13" s="206"/>
      <c r="F13" s="206"/>
      <c r="G13" s="224">
        <f>SUM(G14:G17)</f>
        <v>0</v>
      </c>
      <c r="H13" s="210">
        <f>SUM(H14:H17)</f>
        <v>78477782.689400002</v>
      </c>
      <c r="I13" s="445"/>
      <c r="M13" s="532" t="s">
        <v>16</v>
      </c>
      <c r="N13" s="533"/>
      <c r="O13" s="533"/>
      <c r="P13" s="533"/>
    </row>
    <row r="14" spans="1:16" x14ac:dyDescent="0.2">
      <c r="A14" s="855"/>
      <c r="B14" s="476">
        <v>53103040100000</v>
      </c>
      <c r="C14" s="199" t="s">
        <v>96</v>
      </c>
      <c r="D14" s="229">
        <f>+'F) Remuneraciones'!L11</f>
        <v>77700774.939999998</v>
      </c>
      <c r="E14" s="225"/>
      <c r="F14" s="226"/>
      <c r="G14" s="215">
        <f>E14*F14</f>
        <v>0</v>
      </c>
      <c r="H14" s="209">
        <f>D14+G14</f>
        <v>77700774.939999998</v>
      </c>
      <c r="I14" s="445"/>
      <c r="M14" s="534" t="s">
        <v>171</v>
      </c>
      <c r="N14" s="442">
        <v>0</v>
      </c>
      <c r="O14" s="443">
        <f t="shared" ref="O14:O61" si="0">N14*0.8</f>
        <v>0</v>
      </c>
      <c r="P14" s="443">
        <f t="shared" ref="P14:P61" si="1">N14*0.2</f>
        <v>0</v>
      </c>
    </row>
    <row r="15" spans="1:16" x14ac:dyDescent="0.2">
      <c r="A15" s="855"/>
      <c r="B15" s="476">
        <v>53103050000000</v>
      </c>
      <c r="C15" s="199" t="s">
        <v>165</v>
      </c>
      <c r="D15" s="200">
        <v>0</v>
      </c>
      <c r="E15" s="202">
        <v>0</v>
      </c>
      <c r="F15" s="201">
        <v>0</v>
      </c>
      <c r="G15" s="215">
        <f>E15*F15</f>
        <v>0</v>
      </c>
      <c r="H15" s="209">
        <f>D15+G15</f>
        <v>0</v>
      </c>
      <c r="I15" s="445"/>
      <c r="M15" s="535" t="s">
        <v>19</v>
      </c>
      <c r="N15" s="444">
        <v>0</v>
      </c>
      <c r="O15" s="443">
        <f t="shared" si="0"/>
        <v>0</v>
      </c>
      <c r="P15" s="443">
        <f t="shared" si="1"/>
        <v>0</v>
      </c>
    </row>
    <row r="16" spans="1:16" x14ac:dyDescent="0.2">
      <c r="A16" s="855"/>
      <c r="B16" s="477">
        <v>53103040400000</v>
      </c>
      <c r="C16" s="228" t="s">
        <v>166</v>
      </c>
      <c r="D16" s="200">
        <f>D14*0.01</f>
        <v>777007.74939999997</v>
      </c>
      <c r="E16" s="202">
        <v>0</v>
      </c>
      <c r="F16" s="201">
        <v>0</v>
      </c>
      <c r="G16" s="215">
        <f>E16*F16</f>
        <v>0</v>
      </c>
      <c r="H16" s="209">
        <f>D16+G16</f>
        <v>777007.74939999997</v>
      </c>
      <c r="I16" s="445"/>
      <c r="M16" s="535" t="s">
        <v>172</v>
      </c>
      <c r="N16" s="444">
        <v>1695000</v>
      </c>
      <c r="O16" s="443">
        <f t="shared" si="0"/>
        <v>1356000</v>
      </c>
      <c r="P16" s="443">
        <f t="shared" si="1"/>
        <v>339000</v>
      </c>
    </row>
    <row r="17" spans="1:16" x14ac:dyDescent="0.2">
      <c r="A17" s="855"/>
      <c r="B17" s="476">
        <v>53103080010000</v>
      </c>
      <c r="C17" s="199" t="s">
        <v>167</v>
      </c>
      <c r="D17" s="200">
        <v>0</v>
      </c>
      <c r="E17" s="202">
        <v>0</v>
      </c>
      <c r="F17" s="201">
        <v>0</v>
      </c>
      <c r="G17" s="215">
        <f>E17*F17</f>
        <v>0</v>
      </c>
      <c r="H17" s="209">
        <f>D17+G17</f>
        <v>0</v>
      </c>
      <c r="I17" s="445"/>
      <c r="M17" s="535" t="s">
        <v>210</v>
      </c>
      <c r="N17" s="444">
        <v>96050</v>
      </c>
      <c r="O17" s="443">
        <f t="shared" si="0"/>
        <v>76840</v>
      </c>
      <c r="P17" s="443">
        <f t="shared" si="1"/>
        <v>19210</v>
      </c>
    </row>
    <row r="18" spans="1:16" x14ac:dyDescent="0.2">
      <c r="A18" s="855"/>
      <c r="B18" s="475"/>
      <c r="C18" s="203" t="s">
        <v>16</v>
      </c>
      <c r="D18" s="205">
        <f>SUM(D19:D38)</f>
        <v>5455888</v>
      </c>
      <c r="E18" s="206"/>
      <c r="F18" s="206"/>
      <c r="G18" s="205">
        <f>SUM(G19:G38)</f>
        <v>28098620</v>
      </c>
      <c r="H18" s="210">
        <f>SUM(H19:H38)</f>
        <v>33554508</v>
      </c>
      <c r="I18" s="445"/>
      <c r="J18" s="231"/>
      <c r="M18" s="535" t="s">
        <v>22</v>
      </c>
      <c r="N18" s="444">
        <v>0</v>
      </c>
      <c r="O18" s="443">
        <f t="shared" si="0"/>
        <v>0</v>
      </c>
      <c r="P18" s="443">
        <f t="shared" si="1"/>
        <v>0</v>
      </c>
    </row>
    <row r="19" spans="1:16" x14ac:dyDescent="0.2">
      <c r="A19" s="855"/>
      <c r="B19" s="476">
        <v>53201010100000</v>
      </c>
      <c r="C19" s="198" t="s">
        <v>168</v>
      </c>
      <c r="D19" s="200">
        <v>0</v>
      </c>
      <c r="E19" s="202">
        <v>2417</v>
      </c>
      <c r="F19" s="740">
        <f>(20*11)*8</f>
        <v>1760</v>
      </c>
      <c r="G19" s="215">
        <f t="shared" ref="G19:G38" si="2">E19*F19</f>
        <v>4253920</v>
      </c>
      <c r="H19" s="209">
        <f t="shared" ref="H19:H38" si="3">D19+G19</f>
        <v>4253920</v>
      </c>
      <c r="I19" s="445"/>
      <c r="J19" s="739"/>
      <c r="M19" s="535" t="s">
        <v>174</v>
      </c>
      <c r="N19" s="444">
        <v>0</v>
      </c>
      <c r="O19" s="443">
        <f t="shared" si="0"/>
        <v>0</v>
      </c>
      <c r="P19" s="443">
        <f t="shared" si="1"/>
        <v>0</v>
      </c>
    </row>
    <row r="20" spans="1:16" x14ac:dyDescent="0.2">
      <c r="A20" s="855"/>
      <c r="B20" s="476">
        <v>53201010100000</v>
      </c>
      <c r="C20" s="198" t="s">
        <v>169</v>
      </c>
      <c r="D20" s="200">
        <v>0</v>
      </c>
      <c r="E20" s="202">
        <v>2045</v>
      </c>
      <c r="F20" s="201">
        <f>(20*11)*53</f>
        <v>11660</v>
      </c>
      <c r="G20" s="215">
        <f t="shared" ref="G20:G21" si="4">E20*F20</f>
        <v>23844700</v>
      </c>
      <c r="H20" s="209">
        <f t="shared" ref="H20:H21" si="5">D20+G20</f>
        <v>23844700</v>
      </c>
      <c r="I20" s="197"/>
      <c r="M20" s="535" t="s">
        <v>24</v>
      </c>
      <c r="N20" s="444">
        <v>1650000</v>
      </c>
      <c r="O20" s="443">
        <f t="shared" si="0"/>
        <v>1320000</v>
      </c>
      <c r="P20" s="443">
        <f t="shared" si="1"/>
        <v>330000</v>
      </c>
    </row>
    <row r="21" spans="1:16" x14ac:dyDescent="0.2">
      <c r="A21" s="855"/>
      <c r="B21" s="476">
        <v>53201010100000</v>
      </c>
      <c r="C21" s="198" t="s">
        <v>170</v>
      </c>
      <c r="D21" s="200">
        <v>0</v>
      </c>
      <c r="E21" s="202">
        <v>0</v>
      </c>
      <c r="F21" s="201">
        <v>0</v>
      </c>
      <c r="G21" s="215">
        <f t="shared" si="4"/>
        <v>0</v>
      </c>
      <c r="H21" s="209">
        <f t="shared" si="5"/>
        <v>0</v>
      </c>
      <c r="I21" s="197"/>
      <c r="M21" s="535" t="s">
        <v>25</v>
      </c>
      <c r="N21" s="444">
        <v>683650</v>
      </c>
      <c r="O21" s="443">
        <f t="shared" si="0"/>
        <v>546920</v>
      </c>
      <c r="P21" s="443">
        <f t="shared" si="1"/>
        <v>136730</v>
      </c>
    </row>
    <row r="22" spans="1:16" x14ac:dyDescent="0.2">
      <c r="A22" s="855"/>
      <c r="B22" s="476">
        <v>53202010100000</v>
      </c>
      <c r="C22" s="199" t="s">
        <v>171</v>
      </c>
      <c r="D22" s="279">
        <f>+O14</f>
        <v>0</v>
      </c>
      <c r="E22" s="215">
        <v>0</v>
      </c>
      <c r="F22" s="536">
        <v>0</v>
      </c>
      <c r="G22" s="215">
        <f t="shared" si="2"/>
        <v>0</v>
      </c>
      <c r="H22" s="209">
        <f t="shared" si="3"/>
        <v>0</v>
      </c>
      <c r="I22" s="445"/>
      <c r="M22" s="535" t="s">
        <v>26</v>
      </c>
      <c r="N22" s="444">
        <v>1450000</v>
      </c>
      <c r="O22" s="443">
        <f t="shared" si="0"/>
        <v>1160000</v>
      </c>
      <c r="P22" s="443">
        <f t="shared" si="1"/>
        <v>290000</v>
      </c>
    </row>
    <row r="23" spans="1:16" x14ac:dyDescent="0.2">
      <c r="A23" s="855"/>
      <c r="B23" s="476">
        <v>53203010100000</v>
      </c>
      <c r="C23" s="199" t="s">
        <v>19</v>
      </c>
      <c r="D23" s="279">
        <f>+O15</f>
        <v>0</v>
      </c>
      <c r="E23" s="215">
        <v>0</v>
      </c>
      <c r="F23" s="536">
        <v>0</v>
      </c>
      <c r="G23" s="215">
        <f t="shared" si="2"/>
        <v>0</v>
      </c>
      <c r="H23" s="209">
        <f>D23+G23</f>
        <v>0</v>
      </c>
      <c r="I23" s="445"/>
      <c r="J23" s="472"/>
      <c r="M23" s="535" t="s">
        <v>27</v>
      </c>
      <c r="N23" s="444">
        <v>0</v>
      </c>
      <c r="O23" s="443">
        <f t="shared" si="0"/>
        <v>0</v>
      </c>
      <c r="P23" s="443">
        <f t="shared" si="1"/>
        <v>0</v>
      </c>
    </row>
    <row r="24" spans="1:16" x14ac:dyDescent="0.2">
      <c r="A24" s="855"/>
      <c r="B24" s="476">
        <v>53203030000000</v>
      </c>
      <c r="C24" s="199" t="s">
        <v>172</v>
      </c>
      <c r="D24" s="279">
        <f t="shared" ref="D24:D38" si="6">+O16</f>
        <v>1356000</v>
      </c>
      <c r="E24" s="215">
        <v>0</v>
      </c>
      <c r="F24" s="536">
        <v>0</v>
      </c>
      <c r="G24" s="215">
        <f t="shared" si="2"/>
        <v>0</v>
      </c>
      <c r="H24" s="209">
        <f t="shared" si="3"/>
        <v>1356000</v>
      </c>
      <c r="I24" s="445"/>
      <c r="M24" s="535" t="s">
        <v>29</v>
      </c>
      <c r="N24" s="444">
        <v>334480</v>
      </c>
      <c r="O24" s="443">
        <f t="shared" si="0"/>
        <v>267584</v>
      </c>
      <c r="P24" s="443">
        <f t="shared" si="1"/>
        <v>66896</v>
      </c>
    </row>
    <row r="25" spans="1:16" x14ac:dyDescent="0.2">
      <c r="A25" s="855"/>
      <c r="B25" s="476">
        <v>53204030000000</v>
      </c>
      <c r="C25" s="199" t="s">
        <v>210</v>
      </c>
      <c r="D25" s="279">
        <f t="shared" si="6"/>
        <v>76840</v>
      </c>
      <c r="E25" s="215">
        <v>0</v>
      </c>
      <c r="F25" s="536">
        <v>0</v>
      </c>
      <c r="G25" s="215">
        <f t="shared" si="2"/>
        <v>0</v>
      </c>
      <c r="H25" s="209">
        <f>D25+G25</f>
        <v>76840</v>
      </c>
      <c r="I25" s="445"/>
      <c r="J25" s="472"/>
      <c r="M25" s="535" t="s">
        <v>30</v>
      </c>
      <c r="N25" s="444">
        <v>266680</v>
      </c>
      <c r="O25" s="443">
        <f t="shared" si="0"/>
        <v>213344</v>
      </c>
      <c r="P25" s="443">
        <f t="shared" si="1"/>
        <v>53336</v>
      </c>
    </row>
    <row r="26" spans="1:16" x14ac:dyDescent="0.2">
      <c r="A26" s="855"/>
      <c r="B26" s="476">
        <v>53204100100001</v>
      </c>
      <c r="C26" s="199" t="s">
        <v>22</v>
      </c>
      <c r="D26" s="279">
        <f t="shared" si="6"/>
        <v>0</v>
      </c>
      <c r="E26" s="215">
        <v>0</v>
      </c>
      <c r="F26" s="536">
        <v>0</v>
      </c>
      <c r="G26" s="215">
        <f t="shared" si="2"/>
        <v>0</v>
      </c>
      <c r="H26" s="209">
        <f t="shared" si="3"/>
        <v>0</v>
      </c>
      <c r="I26" s="445"/>
      <c r="M26" s="535" t="s">
        <v>31</v>
      </c>
      <c r="N26" s="442">
        <v>0</v>
      </c>
      <c r="O26" s="443">
        <f t="shared" si="0"/>
        <v>0</v>
      </c>
      <c r="P26" s="443">
        <f t="shared" si="1"/>
        <v>0</v>
      </c>
    </row>
    <row r="27" spans="1:16" x14ac:dyDescent="0.2">
      <c r="A27" s="855"/>
      <c r="B27" s="476">
        <v>53204130100000</v>
      </c>
      <c r="C27" s="199" t="s">
        <v>174</v>
      </c>
      <c r="D27" s="279">
        <f t="shared" si="6"/>
        <v>0</v>
      </c>
      <c r="E27" s="215">
        <v>0</v>
      </c>
      <c r="F27" s="536">
        <v>0</v>
      </c>
      <c r="G27" s="215">
        <f t="shared" si="2"/>
        <v>0</v>
      </c>
      <c r="H27" s="209">
        <f t="shared" si="3"/>
        <v>0</v>
      </c>
      <c r="I27" s="445"/>
      <c r="M27" s="535" t="s">
        <v>175</v>
      </c>
      <c r="N27" s="444">
        <v>0</v>
      </c>
      <c r="O27" s="443">
        <f t="shared" si="0"/>
        <v>0</v>
      </c>
      <c r="P27" s="443">
        <f t="shared" si="1"/>
        <v>0</v>
      </c>
    </row>
    <row r="28" spans="1:16" x14ac:dyDescent="0.2">
      <c r="A28" s="855"/>
      <c r="B28" s="476">
        <v>53205010100000</v>
      </c>
      <c r="C28" s="199" t="s">
        <v>24</v>
      </c>
      <c r="D28" s="279">
        <f t="shared" si="6"/>
        <v>1320000</v>
      </c>
      <c r="E28" s="215">
        <v>0</v>
      </c>
      <c r="F28" s="536">
        <v>0</v>
      </c>
      <c r="G28" s="215">
        <f t="shared" si="2"/>
        <v>0</v>
      </c>
      <c r="H28" s="209">
        <f t="shared" si="3"/>
        <v>1320000</v>
      </c>
      <c r="I28" s="445"/>
      <c r="J28" s="472"/>
      <c r="M28" s="535" t="s">
        <v>32</v>
      </c>
      <c r="N28" s="444"/>
      <c r="O28" s="443">
        <f t="shared" si="0"/>
        <v>0</v>
      </c>
      <c r="P28" s="443">
        <f t="shared" si="1"/>
        <v>0</v>
      </c>
    </row>
    <row r="29" spans="1:16" x14ac:dyDescent="0.2">
      <c r="A29" s="855"/>
      <c r="B29" s="476">
        <v>53205020100000</v>
      </c>
      <c r="C29" s="199" t="s">
        <v>25</v>
      </c>
      <c r="D29" s="279">
        <f t="shared" si="6"/>
        <v>546920</v>
      </c>
      <c r="E29" s="215">
        <v>0</v>
      </c>
      <c r="F29" s="536">
        <v>0</v>
      </c>
      <c r="G29" s="215">
        <f t="shared" si="2"/>
        <v>0</v>
      </c>
      <c r="H29" s="209">
        <f t="shared" si="3"/>
        <v>546920</v>
      </c>
      <c r="I29" s="445"/>
      <c r="J29" s="472"/>
      <c r="M29" s="534" t="s">
        <v>176</v>
      </c>
      <c r="N29" s="444">
        <v>644000</v>
      </c>
      <c r="O29" s="443">
        <f t="shared" si="0"/>
        <v>515200</v>
      </c>
      <c r="P29" s="443">
        <f t="shared" si="1"/>
        <v>128800</v>
      </c>
    </row>
    <row r="30" spans="1:16" x14ac:dyDescent="0.2">
      <c r="A30" s="855"/>
      <c r="B30" s="476">
        <v>53205030100000</v>
      </c>
      <c r="C30" s="199" t="s">
        <v>26</v>
      </c>
      <c r="D30" s="279">
        <f t="shared" si="6"/>
        <v>1160000</v>
      </c>
      <c r="E30" s="215">
        <v>0</v>
      </c>
      <c r="F30" s="536">
        <v>0</v>
      </c>
      <c r="G30" s="215">
        <f t="shared" si="2"/>
        <v>0</v>
      </c>
      <c r="H30" s="209">
        <f t="shared" si="3"/>
        <v>1160000</v>
      </c>
      <c r="I30" s="445"/>
      <c r="J30" s="472"/>
      <c r="M30" s="535" t="s">
        <v>177</v>
      </c>
      <c r="N30" s="442">
        <v>0</v>
      </c>
      <c r="O30" s="443">
        <f t="shared" si="0"/>
        <v>0</v>
      </c>
      <c r="P30" s="443">
        <f t="shared" si="1"/>
        <v>0</v>
      </c>
    </row>
    <row r="31" spans="1:16" x14ac:dyDescent="0.2">
      <c r="A31" s="855"/>
      <c r="B31" s="476">
        <v>53205050100000</v>
      </c>
      <c r="C31" s="199" t="s">
        <v>27</v>
      </c>
      <c r="D31" s="279">
        <f t="shared" si="6"/>
        <v>0</v>
      </c>
      <c r="E31" s="215">
        <v>0</v>
      </c>
      <c r="F31" s="536">
        <v>0</v>
      </c>
      <c r="G31" s="215">
        <f t="shared" si="2"/>
        <v>0</v>
      </c>
      <c r="H31" s="209">
        <f t="shared" si="3"/>
        <v>0</v>
      </c>
      <c r="I31" s="445"/>
      <c r="M31" s="537" t="s">
        <v>34</v>
      </c>
      <c r="N31" s="538"/>
      <c r="O31" s="538"/>
      <c r="P31" s="538"/>
    </row>
    <row r="32" spans="1:16" x14ac:dyDescent="0.2">
      <c r="A32" s="855"/>
      <c r="B32" s="476">
        <v>53205070100000</v>
      </c>
      <c r="C32" s="199" t="s">
        <v>29</v>
      </c>
      <c r="D32" s="279">
        <f t="shared" si="6"/>
        <v>267584</v>
      </c>
      <c r="E32" s="215">
        <v>0</v>
      </c>
      <c r="F32" s="536">
        <v>0</v>
      </c>
      <c r="G32" s="215">
        <f t="shared" si="2"/>
        <v>0</v>
      </c>
      <c r="H32" s="209">
        <f t="shared" si="3"/>
        <v>267584</v>
      </c>
      <c r="I32" s="445"/>
      <c r="J32" s="472"/>
      <c r="M32" s="539" t="s">
        <v>35</v>
      </c>
      <c r="N32" s="540"/>
      <c r="O32" s="540"/>
      <c r="P32" s="540"/>
    </row>
    <row r="33" spans="1:16" x14ac:dyDescent="0.2">
      <c r="A33" s="855"/>
      <c r="B33" s="476">
        <v>53208010100000</v>
      </c>
      <c r="C33" s="199" t="s">
        <v>30</v>
      </c>
      <c r="D33" s="279">
        <f t="shared" si="6"/>
        <v>213344</v>
      </c>
      <c r="E33" s="215">
        <v>0</v>
      </c>
      <c r="F33" s="536">
        <v>0</v>
      </c>
      <c r="G33" s="215">
        <f t="shared" si="2"/>
        <v>0</v>
      </c>
      <c r="H33" s="209">
        <f t="shared" si="3"/>
        <v>213344</v>
      </c>
      <c r="I33" s="445"/>
      <c r="M33" s="535" t="s">
        <v>41</v>
      </c>
      <c r="N33" s="444">
        <v>600000</v>
      </c>
      <c r="O33" s="443">
        <f t="shared" si="0"/>
        <v>480000</v>
      </c>
      <c r="P33" s="443">
        <f t="shared" si="1"/>
        <v>120000</v>
      </c>
    </row>
    <row r="34" spans="1:16" x14ac:dyDescent="0.2">
      <c r="A34" s="855"/>
      <c r="B34" s="476">
        <v>53208070100001</v>
      </c>
      <c r="C34" s="199" t="s">
        <v>31</v>
      </c>
      <c r="D34" s="279">
        <f t="shared" si="6"/>
        <v>0</v>
      </c>
      <c r="E34" s="215">
        <v>0</v>
      </c>
      <c r="F34" s="536">
        <v>0</v>
      </c>
      <c r="G34" s="215">
        <f t="shared" si="2"/>
        <v>0</v>
      </c>
      <c r="H34" s="209">
        <f t="shared" si="3"/>
        <v>0</v>
      </c>
      <c r="I34" s="445"/>
      <c r="M34" s="534" t="s">
        <v>180</v>
      </c>
      <c r="N34" s="444">
        <v>0</v>
      </c>
      <c r="O34" s="443">
        <f t="shared" si="0"/>
        <v>0</v>
      </c>
      <c r="P34" s="443">
        <f t="shared" si="1"/>
        <v>0</v>
      </c>
    </row>
    <row r="35" spans="1:16" x14ac:dyDescent="0.2">
      <c r="A35" s="855"/>
      <c r="B35" s="476">
        <v>53208100100001</v>
      </c>
      <c r="C35" s="199" t="s">
        <v>175</v>
      </c>
      <c r="D35" s="279">
        <f t="shared" si="6"/>
        <v>0</v>
      </c>
      <c r="E35" s="215">
        <v>0</v>
      </c>
      <c r="F35" s="536">
        <v>0</v>
      </c>
      <c r="G35" s="215">
        <f t="shared" si="2"/>
        <v>0</v>
      </c>
      <c r="H35" s="209">
        <f t="shared" si="3"/>
        <v>0</v>
      </c>
      <c r="I35" s="445"/>
      <c r="M35" s="539" t="s">
        <v>42</v>
      </c>
      <c r="N35" s="540"/>
      <c r="O35" s="540"/>
      <c r="P35" s="540"/>
    </row>
    <row r="36" spans="1:16" x14ac:dyDescent="0.2">
      <c r="A36" s="855"/>
      <c r="B36" s="476">
        <v>53211030000000</v>
      </c>
      <c r="C36" s="199" t="s">
        <v>32</v>
      </c>
      <c r="D36" s="279">
        <f t="shared" si="6"/>
        <v>0</v>
      </c>
      <c r="E36" s="215">
        <v>0</v>
      </c>
      <c r="F36" s="536">
        <v>0</v>
      </c>
      <c r="G36" s="215">
        <f t="shared" si="2"/>
        <v>0</v>
      </c>
      <c r="H36" s="209">
        <f t="shared" si="3"/>
        <v>0</v>
      </c>
      <c r="I36" s="445"/>
      <c r="M36" s="535" t="s">
        <v>44</v>
      </c>
      <c r="N36" s="444">
        <v>0</v>
      </c>
      <c r="O36" s="443">
        <f t="shared" si="0"/>
        <v>0</v>
      </c>
      <c r="P36" s="443">
        <f t="shared" si="1"/>
        <v>0</v>
      </c>
    </row>
    <row r="37" spans="1:16" x14ac:dyDescent="0.2">
      <c r="A37" s="855"/>
      <c r="B37" s="476">
        <v>53212020100000</v>
      </c>
      <c r="C37" s="199" t="s">
        <v>176</v>
      </c>
      <c r="D37" s="279">
        <f t="shared" si="6"/>
        <v>515200</v>
      </c>
      <c r="E37" s="215">
        <v>0</v>
      </c>
      <c r="F37" s="536">
        <v>0</v>
      </c>
      <c r="G37" s="215">
        <f t="shared" si="2"/>
        <v>0</v>
      </c>
      <c r="H37" s="209">
        <f t="shared" si="3"/>
        <v>515200</v>
      </c>
      <c r="I37" s="445"/>
      <c r="J37" s="472"/>
      <c r="M37" s="539" t="s">
        <v>45</v>
      </c>
      <c r="N37" s="539"/>
      <c r="O37" s="541"/>
      <c r="P37" s="541"/>
    </row>
    <row r="38" spans="1:16" x14ac:dyDescent="0.2">
      <c r="A38" s="855"/>
      <c r="B38" s="476">
        <v>53214020000000</v>
      </c>
      <c r="C38" s="199" t="s">
        <v>177</v>
      </c>
      <c r="D38" s="279">
        <f t="shared" si="6"/>
        <v>0</v>
      </c>
      <c r="E38" s="215">
        <v>0</v>
      </c>
      <c r="F38" s="536">
        <v>0</v>
      </c>
      <c r="G38" s="215">
        <f t="shared" si="2"/>
        <v>0</v>
      </c>
      <c r="H38" s="209">
        <f t="shared" si="3"/>
        <v>0</v>
      </c>
      <c r="I38" s="445"/>
      <c r="M38" s="535" t="s">
        <v>47</v>
      </c>
      <c r="N38" s="444">
        <v>300000</v>
      </c>
      <c r="O38" s="443">
        <f t="shared" si="0"/>
        <v>240000</v>
      </c>
      <c r="P38" s="443">
        <f t="shared" si="1"/>
        <v>60000</v>
      </c>
    </row>
    <row r="39" spans="1:16" x14ac:dyDescent="0.2">
      <c r="A39" s="855"/>
      <c r="B39" s="474"/>
      <c r="C39" s="207" t="s">
        <v>34</v>
      </c>
      <c r="D39" s="216">
        <v>0</v>
      </c>
      <c r="E39" s="217"/>
      <c r="F39" s="217"/>
      <c r="G39" s="216">
        <f>SUM(G40,G45,G47,G56,G65,G73)</f>
        <v>2580600</v>
      </c>
      <c r="H39" s="211">
        <f>SUM(H40,H45,H47,H56,H65,H73)</f>
        <v>7712932</v>
      </c>
      <c r="I39" s="445"/>
      <c r="M39" s="535" t="s">
        <v>209</v>
      </c>
      <c r="N39" s="444">
        <v>100000</v>
      </c>
      <c r="O39" s="443">
        <f t="shared" si="0"/>
        <v>80000</v>
      </c>
      <c r="P39" s="443">
        <f t="shared" si="1"/>
        <v>20000</v>
      </c>
    </row>
    <row r="40" spans="1:16" x14ac:dyDescent="0.2">
      <c r="A40" s="855"/>
      <c r="B40" s="475"/>
      <c r="C40" s="203" t="s">
        <v>35</v>
      </c>
      <c r="D40" s="205">
        <f>SUM(D41:D44)</f>
        <v>480000</v>
      </c>
      <c r="E40" s="206"/>
      <c r="F40" s="206"/>
      <c r="G40" s="218">
        <f>SUM(G41:G44)</f>
        <v>256600</v>
      </c>
      <c r="H40" s="212">
        <f>SUM(H41:H44)</f>
        <v>736600</v>
      </c>
      <c r="I40" s="445"/>
      <c r="M40" s="535" t="s">
        <v>49</v>
      </c>
      <c r="N40" s="444">
        <v>0</v>
      </c>
      <c r="O40" s="443">
        <f>N40*0.8</f>
        <v>0</v>
      </c>
      <c r="P40" s="443">
        <f>N40*0.2</f>
        <v>0</v>
      </c>
    </row>
    <row r="41" spans="1:16" x14ac:dyDescent="0.2">
      <c r="A41" s="855"/>
      <c r="B41" s="476">
        <v>53202020100000</v>
      </c>
      <c r="C41" s="199" t="s">
        <v>178</v>
      </c>
      <c r="D41" s="200">
        <v>0</v>
      </c>
      <c r="E41" s="202">
        <v>10</v>
      </c>
      <c r="F41" s="201">
        <v>17060</v>
      </c>
      <c r="G41" s="215">
        <f>E41*F41</f>
        <v>170600</v>
      </c>
      <c r="H41" s="209">
        <f t="shared" ref="H41:H74" si="7">D41+G41</f>
        <v>170600</v>
      </c>
      <c r="I41" s="445"/>
      <c r="J41" s="739"/>
      <c r="M41" s="535" t="s">
        <v>50</v>
      </c>
      <c r="N41" s="444">
        <v>1286000</v>
      </c>
      <c r="O41" s="443">
        <f>N41*0.8</f>
        <v>1028800</v>
      </c>
      <c r="P41" s="443">
        <f>N41*0.2</f>
        <v>257200</v>
      </c>
    </row>
    <row r="42" spans="1:16" x14ac:dyDescent="0.2">
      <c r="A42" s="855"/>
      <c r="B42" s="476">
        <v>53202030000000</v>
      </c>
      <c r="C42" s="199" t="s">
        <v>179</v>
      </c>
      <c r="D42" s="200"/>
      <c r="E42" s="202">
        <v>2</v>
      </c>
      <c r="F42" s="201">
        <v>43000</v>
      </c>
      <c r="G42" s="215">
        <f t="shared" ref="G42:G74" si="8">E42*F42</f>
        <v>86000</v>
      </c>
      <c r="H42" s="209">
        <f t="shared" si="7"/>
        <v>86000</v>
      </c>
      <c r="I42" s="445"/>
      <c r="M42" s="535" t="s">
        <v>51</v>
      </c>
      <c r="N42" s="444">
        <v>0</v>
      </c>
      <c r="O42" s="443">
        <f t="shared" si="0"/>
        <v>0</v>
      </c>
      <c r="P42" s="443">
        <f t="shared" si="1"/>
        <v>0</v>
      </c>
    </row>
    <row r="43" spans="1:16" x14ac:dyDescent="0.2">
      <c r="A43" s="855"/>
      <c r="B43" s="476">
        <v>53211020000000</v>
      </c>
      <c r="C43" s="199" t="s">
        <v>41</v>
      </c>
      <c r="D43" s="279">
        <f>+O33</f>
        <v>480000</v>
      </c>
      <c r="E43" s="215">
        <v>0</v>
      </c>
      <c r="F43" s="536">
        <v>0</v>
      </c>
      <c r="G43" s="215">
        <f t="shared" si="8"/>
        <v>0</v>
      </c>
      <c r="H43" s="209">
        <f t="shared" si="7"/>
        <v>480000</v>
      </c>
      <c r="I43" s="445"/>
      <c r="J43" s="472"/>
      <c r="M43" s="535" t="s">
        <v>52</v>
      </c>
      <c r="N43" s="442">
        <v>0</v>
      </c>
      <c r="O43" s="443">
        <f t="shared" ref="O43" si="9">N43*0.8</f>
        <v>0</v>
      </c>
      <c r="P43" s="443">
        <f t="shared" ref="P43" si="10">N43*0.2</f>
        <v>0</v>
      </c>
    </row>
    <row r="44" spans="1:16" x14ac:dyDescent="0.2">
      <c r="A44" s="855"/>
      <c r="B44" s="476">
        <v>53101040600000</v>
      </c>
      <c r="C44" s="199" t="s">
        <v>180</v>
      </c>
      <c r="D44" s="279">
        <f>+O34</f>
        <v>0</v>
      </c>
      <c r="E44" s="215">
        <v>0</v>
      </c>
      <c r="F44" s="536">
        <v>0</v>
      </c>
      <c r="G44" s="215">
        <f t="shared" si="8"/>
        <v>0</v>
      </c>
      <c r="H44" s="209">
        <f t="shared" si="7"/>
        <v>0</v>
      </c>
      <c r="I44" s="445"/>
      <c r="J44" s="472"/>
      <c r="M44" s="534" t="s">
        <v>181</v>
      </c>
      <c r="N44" s="442">
        <v>0</v>
      </c>
      <c r="O44" s="443">
        <f t="shared" si="0"/>
        <v>0</v>
      </c>
      <c r="P44" s="443">
        <f t="shared" si="1"/>
        <v>0</v>
      </c>
    </row>
    <row r="45" spans="1:16" x14ac:dyDescent="0.2">
      <c r="A45" s="855"/>
      <c r="B45" s="475"/>
      <c r="C45" s="203" t="s">
        <v>42</v>
      </c>
      <c r="D45" s="205">
        <f>SUM(D46:D46)</f>
        <v>0</v>
      </c>
      <c r="E45" s="206"/>
      <c r="F45" s="206"/>
      <c r="G45" s="218">
        <f>SUM(G46:G46)</f>
        <v>0</v>
      </c>
      <c r="H45" s="212">
        <f>SUM(H46:H46)</f>
        <v>0</v>
      </c>
      <c r="I45" s="445"/>
      <c r="M45" s="535" t="s">
        <v>173</v>
      </c>
      <c r="N45" s="444">
        <v>0</v>
      </c>
      <c r="O45" s="443">
        <f t="shared" si="0"/>
        <v>0</v>
      </c>
      <c r="P45" s="443">
        <f t="shared" si="1"/>
        <v>0</v>
      </c>
    </row>
    <row r="46" spans="1:16" x14ac:dyDescent="0.2">
      <c r="A46" s="855"/>
      <c r="B46" s="478">
        <v>53205990000000</v>
      </c>
      <c r="C46" s="199" t="s">
        <v>44</v>
      </c>
      <c r="D46" s="279">
        <f>+O36</f>
        <v>0</v>
      </c>
      <c r="E46" s="215">
        <v>0</v>
      </c>
      <c r="F46" s="536">
        <v>0</v>
      </c>
      <c r="G46" s="215">
        <f t="shared" si="8"/>
        <v>0</v>
      </c>
      <c r="H46" s="209">
        <f t="shared" si="7"/>
        <v>0</v>
      </c>
      <c r="I46" s="445"/>
      <c r="M46" s="539" t="s">
        <v>55</v>
      </c>
      <c r="N46" s="539"/>
      <c r="O46" s="541"/>
      <c r="P46" s="541"/>
    </row>
    <row r="47" spans="1:16" x14ac:dyDescent="0.2">
      <c r="A47" s="855"/>
      <c r="B47" s="475"/>
      <c r="C47" s="203" t="s">
        <v>45</v>
      </c>
      <c r="D47" s="205">
        <f>SUM(D48:D55)</f>
        <v>1348800</v>
      </c>
      <c r="E47" s="206"/>
      <c r="F47" s="206"/>
      <c r="G47" s="205">
        <f>SUM(G48:G55)</f>
        <v>0</v>
      </c>
      <c r="H47" s="210">
        <f>SUM(H48:H55)</f>
        <v>1348800</v>
      </c>
      <c r="I47" s="445"/>
      <c r="M47" s="535" t="s">
        <v>56</v>
      </c>
      <c r="N47" s="444">
        <v>0</v>
      </c>
      <c r="O47" s="443">
        <f t="shared" si="0"/>
        <v>0</v>
      </c>
      <c r="P47" s="443">
        <f t="shared" si="1"/>
        <v>0</v>
      </c>
    </row>
    <row r="48" spans="1:16" x14ac:dyDescent="0.2">
      <c r="A48" s="855"/>
      <c r="B48" s="476">
        <v>53204010000000</v>
      </c>
      <c r="C48" s="199" t="s">
        <v>47</v>
      </c>
      <c r="D48" s="279">
        <f>+O38</f>
        <v>240000</v>
      </c>
      <c r="E48" s="279">
        <v>0</v>
      </c>
      <c r="F48" s="536">
        <v>0</v>
      </c>
      <c r="G48" s="215">
        <f t="shared" si="8"/>
        <v>0</v>
      </c>
      <c r="H48" s="209">
        <f t="shared" si="7"/>
        <v>240000</v>
      </c>
      <c r="I48" s="445"/>
      <c r="M48" s="535" t="s">
        <v>57</v>
      </c>
      <c r="N48" s="444">
        <v>611330</v>
      </c>
      <c r="O48" s="443">
        <f t="shared" si="0"/>
        <v>489064</v>
      </c>
      <c r="P48" s="443">
        <f t="shared" si="1"/>
        <v>122266</v>
      </c>
    </row>
    <row r="49" spans="1:16" x14ac:dyDescent="0.2">
      <c r="A49" s="855"/>
      <c r="B49" s="478">
        <v>53204040200000</v>
      </c>
      <c r="C49" s="199" t="s">
        <v>209</v>
      </c>
      <c r="D49" s="279">
        <f t="shared" ref="D49:D55" si="11">+O39</f>
        <v>80000</v>
      </c>
      <c r="E49" s="279">
        <v>0</v>
      </c>
      <c r="F49" s="536">
        <v>0</v>
      </c>
      <c r="G49" s="215">
        <f t="shared" si="8"/>
        <v>0</v>
      </c>
      <c r="H49" s="209">
        <f t="shared" si="7"/>
        <v>80000</v>
      </c>
      <c r="I49" s="445"/>
      <c r="J49" s="472"/>
      <c r="M49" s="535" t="s">
        <v>164</v>
      </c>
      <c r="N49" s="444">
        <v>0</v>
      </c>
      <c r="O49" s="443">
        <f t="shared" si="0"/>
        <v>0</v>
      </c>
      <c r="P49" s="443">
        <f t="shared" si="1"/>
        <v>0</v>
      </c>
    </row>
    <row r="50" spans="1:16" x14ac:dyDescent="0.2">
      <c r="A50" s="855"/>
      <c r="B50" s="476">
        <v>53204060000000</v>
      </c>
      <c r="C50" s="199" t="s">
        <v>49</v>
      </c>
      <c r="D50" s="279">
        <f t="shared" si="11"/>
        <v>0</v>
      </c>
      <c r="E50" s="279">
        <v>0</v>
      </c>
      <c r="F50" s="536">
        <v>0</v>
      </c>
      <c r="G50" s="215">
        <f t="shared" si="8"/>
        <v>0</v>
      </c>
      <c r="H50" s="209">
        <f t="shared" si="7"/>
        <v>0</v>
      </c>
      <c r="I50" s="445"/>
      <c r="M50" s="535" t="s">
        <v>182</v>
      </c>
      <c r="N50" s="444">
        <v>100000</v>
      </c>
      <c r="O50" s="443">
        <f t="shared" si="0"/>
        <v>80000</v>
      </c>
      <c r="P50" s="443">
        <f t="shared" si="1"/>
        <v>20000</v>
      </c>
    </row>
    <row r="51" spans="1:16" x14ac:dyDescent="0.2">
      <c r="A51" s="855"/>
      <c r="B51" s="476">
        <v>53204070000000</v>
      </c>
      <c r="C51" s="199" t="s">
        <v>50</v>
      </c>
      <c r="D51" s="279">
        <f t="shared" si="11"/>
        <v>1028800</v>
      </c>
      <c r="E51" s="279">
        <v>0</v>
      </c>
      <c r="F51" s="536">
        <v>0</v>
      </c>
      <c r="G51" s="215">
        <f t="shared" si="8"/>
        <v>0</v>
      </c>
      <c r="H51" s="209">
        <f t="shared" si="7"/>
        <v>1028800</v>
      </c>
      <c r="I51" s="445"/>
      <c r="J51" s="472"/>
      <c r="M51" s="535" t="s">
        <v>185</v>
      </c>
      <c r="N51" s="444">
        <v>0</v>
      </c>
      <c r="O51" s="443">
        <f t="shared" si="0"/>
        <v>0</v>
      </c>
      <c r="P51" s="443">
        <f t="shared" si="1"/>
        <v>0</v>
      </c>
    </row>
    <row r="52" spans="1:16" x14ac:dyDescent="0.2">
      <c r="A52" s="855"/>
      <c r="B52" s="476">
        <v>53204080000000</v>
      </c>
      <c r="C52" s="199" t="s">
        <v>51</v>
      </c>
      <c r="D52" s="279">
        <f t="shared" si="11"/>
        <v>0</v>
      </c>
      <c r="E52" s="279">
        <v>0</v>
      </c>
      <c r="F52" s="536">
        <v>0</v>
      </c>
      <c r="G52" s="215">
        <f t="shared" si="8"/>
        <v>0</v>
      </c>
      <c r="H52" s="209">
        <f t="shared" si="7"/>
        <v>0</v>
      </c>
      <c r="I52" s="445"/>
      <c r="M52" s="535" t="s">
        <v>183</v>
      </c>
      <c r="N52" s="444">
        <v>0</v>
      </c>
      <c r="O52" s="443">
        <f t="shared" si="0"/>
        <v>0</v>
      </c>
      <c r="P52" s="443">
        <f t="shared" si="1"/>
        <v>0</v>
      </c>
    </row>
    <row r="53" spans="1:16" x14ac:dyDescent="0.2">
      <c r="A53" s="855"/>
      <c r="B53" s="476">
        <v>53214010000000</v>
      </c>
      <c r="C53" s="199" t="s">
        <v>52</v>
      </c>
      <c r="D53" s="279">
        <f t="shared" si="11"/>
        <v>0</v>
      </c>
      <c r="E53" s="279">
        <v>0</v>
      </c>
      <c r="F53" s="536">
        <v>0</v>
      </c>
      <c r="G53" s="215">
        <f t="shared" si="8"/>
        <v>0</v>
      </c>
      <c r="H53" s="209">
        <f t="shared" si="7"/>
        <v>0</v>
      </c>
      <c r="I53" s="445"/>
      <c r="M53" s="535" t="s">
        <v>64</v>
      </c>
      <c r="N53" s="616">
        <v>1250495</v>
      </c>
      <c r="O53" s="443">
        <f t="shared" si="0"/>
        <v>1000396</v>
      </c>
      <c r="P53" s="443">
        <f t="shared" si="1"/>
        <v>250099</v>
      </c>
    </row>
    <row r="54" spans="1:16" x14ac:dyDescent="0.2">
      <c r="A54" s="855"/>
      <c r="B54" s="476">
        <v>53214040000000</v>
      </c>
      <c r="C54" s="199" t="s">
        <v>181</v>
      </c>
      <c r="D54" s="279">
        <f t="shared" si="11"/>
        <v>0</v>
      </c>
      <c r="E54" s="279">
        <v>0</v>
      </c>
      <c r="F54" s="536">
        <v>0</v>
      </c>
      <c r="G54" s="215">
        <f t="shared" si="8"/>
        <v>0</v>
      </c>
      <c r="H54" s="209">
        <f t="shared" si="7"/>
        <v>0</v>
      </c>
      <c r="I54" s="445"/>
      <c r="M54" s="539" t="s">
        <v>65</v>
      </c>
      <c r="N54" s="541"/>
      <c r="O54" s="541"/>
      <c r="P54" s="541"/>
    </row>
    <row r="55" spans="1:16" x14ac:dyDescent="0.2">
      <c r="A55" s="855"/>
      <c r="B55" s="477">
        <v>53204020100000</v>
      </c>
      <c r="C55" s="199" t="s">
        <v>173</v>
      </c>
      <c r="D55" s="279">
        <f t="shared" si="11"/>
        <v>0</v>
      </c>
      <c r="E55" s="279">
        <v>0</v>
      </c>
      <c r="F55" s="536">
        <v>0</v>
      </c>
      <c r="G55" s="215">
        <f t="shared" si="8"/>
        <v>0</v>
      </c>
      <c r="H55" s="209">
        <f t="shared" si="7"/>
        <v>0</v>
      </c>
      <c r="I55" s="445"/>
      <c r="J55" s="472"/>
      <c r="M55" s="535" t="s">
        <v>100</v>
      </c>
      <c r="N55" s="444">
        <v>0</v>
      </c>
      <c r="O55" s="443">
        <f t="shared" si="0"/>
        <v>0</v>
      </c>
      <c r="P55" s="443">
        <f t="shared" si="1"/>
        <v>0</v>
      </c>
    </row>
    <row r="56" spans="1:16" x14ac:dyDescent="0.2">
      <c r="A56" s="855"/>
      <c r="B56" s="475"/>
      <c r="C56" s="203" t="s">
        <v>55</v>
      </c>
      <c r="D56" s="205">
        <f>SUM(D57:D64)</f>
        <v>1569460</v>
      </c>
      <c r="E56" s="206"/>
      <c r="F56" s="206"/>
      <c r="G56" s="205">
        <f>SUM(G57:G64)</f>
        <v>574000</v>
      </c>
      <c r="H56" s="210">
        <f>SUM(H57:H64)</f>
        <v>2143460</v>
      </c>
      <c r="I56" s="445"/>
      <c r="M56" s="535" t="s">
        <v>101</v>
      </c>
      <c r="N56" s="444">
        <v>0</v>
      </c>
      <c r="O56" s="443">
        <f t="shared" si="0"/>
        <v>0</v>
      </c>
      <c r="P56" s="443">
        <f t="shared" si="1"/>
        <v>0</v>
      </c>
    </row>
    <row r="57" spans="1:16" x14ac:dyDescent="0.2">
      <c r="A57" s="855"/>
      <c r="B57" s="476">
        <v>53207010000000</v>
      </c>
      <c r="C57" s="199" t="s">
        <v>56</v>
      </c>
      <c r="D57" s="279">
        <f>+O47</f>
        <v>0</v>
      </c>
      <c r="E57" s="279">
        <v>0</v>
      </c>
      <c r="F57" s="536">
        <v>0</v>
      </c>
      <c r="G57" s="215">
        <f t="shared" si="8"/>
        <v>0</v>
      </c>
      <c r="H57" s="209">
        <f t="shared" si="7"/>
        <v>0</v>
      </c>
      <c r="I57" s="445"/>
      <c r="M57" s="535" t="s">
        <v>186</v>
      </c>
      <c r="N57" s="444">
        <v>1700000</v>
      </c>
      <c r="O57" s="443">
        <f t="shared" si="0"/>
        <v>1360000</v>
      </c>
      <c r="P57" s="443">
        <f t="shared" si="1"/>
        <v>340000</v>
      </c>
    </row>
    <row r="58" spans="1:16" x14ac:dyDescent="0.2">
      <c r="A58" s="855"/>
      <c r="B58" s="476">
        <v>53207020000000</v>
      </c>
      <c r="C58" s="199" t="s">
        <v>57</v>
      </c>
      <c r="D58" s="279">
        <f t="shared" ref="D58:D60" si="12">+O48</f>
        <v>489064</v>
      </c>
      <c r="E58" s="279">
        <v>0</v>
      </c>
      <c r="F58" s="536">
        <v>0</v>
      </c>
      <c r="G58" s="215">
        <f t="shared" si="8"/>
        <v>0</v>
      </c>
      <c r="H58" s="209">
        <f t="shared" si="7"/>
        <v>489064</v>
      </c>
      <c r="I58" s="445"/>
      <c r="J58" s="472"/>
      <c r="M58" s="535" t="s">
        <v>103</v>
      </c>
      <c r="N58" s="444">
        <v>0</v>
      </c>
      <c r="O58" s="443">
        <f t="shared" si="0"/>
        <v>0</v>
      </c>
      <c r="P58" s="443">
        <f t="shared" si="1"/>
        <v>0</v>
      </c>
    </row>
    <row r="59" spans="1:16" x14ac:dyDescent="0.2">
      <c r="A59" s="855"/>
      <c r="B59" s="476">
        <v>53208020000000</v>
      </c>
      <c r="C59" s="199" t="s">
        <v>164</v>
      </c>
      <c r="D59" s="279">
        <f t="shared" si="12"/>
        <v>0</v>
      </c>
      <c r="E59" s="279">
        <v>0</v>
      </c>
      <c r="F59" s="536">
        <v>0</v>
      </c>
      <c r="G59" s="215">
        <f t="shared" si="8"/>
        <v>0</v>
      </c>
      <c r="H59" s="209">
        <f t="shared" si="7"/>
        <v>0</v>
      </c>
      <c r="I59" s="445"/>
      <c r="M59" s="534" t="s">
        <v>187</v>
      </c>
      <c r="N59" s="444">
        <v>80000</v>
      </c>
      <c r="O59" s="443">
        <f t="shared" si="0"/>
        <v>64000</v>
      </c>
      <c r="P59" s="443">
        <f t="shared" si="1"/>
        <v>16000</v>
      </c>
    </row>
    <row r="60" spans="1:16" x14ac:dyDescent="0.2">
      <c r="A60" s="855"/>
      <c r="B60" s="476">
        <v>53208990000000</v>
      </c>
      <c r="C60" s="199" t="s">
        <v>182</v>
      </c>
      <c r="D60" s="279">
        <f t="shared" si="12"/>
        <v>80000</v>
      </c>
      <c r="E60" s="279">
        <v>0</v>
      </c>
      <c r="F60" s="536">
        <v>0</v>
      </c>
      <c r="G60" s="215">
        <f t="shared" si="8"/>
        <v>0</v>
      </c>
      <c r="H60" s="209">
        <f t="shared" si="7"/>
        <v>80000</v>
      </c>
      <c r="I60" s="445"/>
      <c r="J60" s="472"/>
      <c r="M60" s="535" t="s">
        <v>105</v>
      </c>
      <c r="N60" s="444">
        <v>387590</v>
      </c>
      <c r="O60" s="443">
        <f t="shared" si="0"/>
        <v>310072</v>
      </c>
      <c r="P60" s="443">
        <f t="shared" si="1"/>
        <v>77518</v>
      </c>
    </row>
    <row r="61" spans="1:16" x14ac:dyDescent="0.2">
      <c r="A61" s="855"/>
      <c r="B61" s="477">
        <v>53210020300000</v>
      </c>
      <c r="C61" s="199" t="s">
        <v>184</v>
      </c>
      <c r="D61" s="279">
        <v>0</v>
      </c>
      <c r="E61" s="279">
        <v>8200</v>
      </c>
      <c r="F61" s="536">
        <f>+'B) Reajuste Tarifas y Ocupación'!I30</f>
        <v>70</v>
      </c>
      <c r="G61" s="215">
        <f t="shared" si="8"/>
        <v>574000</v>
      </c>
      <c r="H61" s="209">
        <f t="shared" si="7"/>
        <v>574000</v>
      </c>
      <c r="I61" s="445"/>
      <c r="J61" s="472"/>
      <c r="M61" s="535" t="s">
        <v>208</v>
      </c>
      <c r="N61" s="444">
        <v>0</v>
      </c>
      <c r="O61" s="443">
        <f t="shared" si="0"/>
        <v>0</v>
      </c>
      <c r="P61" s="443">
        <f t="shared" si="1"/>
        <v>0</v>
      </c>
    </row>
    <row r="62" spans="1:16" x14ac:dyDescent="0.2">
      <c r="A62" s="855"/>
      <c r="B62" s="476">
        <v>53208990000000</v>
      </c>
      <c r="C62" s="199" t="s">
        <v>185</v>
      </c>
      <c r="D62" s="279">
        <f>+O51</f>
        <v>0</v>
      </c>
      <c r="E62" s="279">
        <v>0</v>
      </c>
      <c r="F62" s="536">
        <v>0</v>
      </c>
      <c r="G62" s="215">
        <f t="shared" si="8"/>
        <v>0</v>
      </c>
      <c r="H62" s="209">
        <f t="shared" si="7"/>
        <v>0</v>
      </c>
      <c r="I62" s="445"/>
    </row>
    <row r="63" spans="1:16" x14ac:dyDescent="0.2">
      <c r="A63" s="855"/>
      <c r="B63" s="476">
        <v>53209990000000</v>
      </c>
      <c r="C63" s="199" t="s">
        <v>183</v>
      </c>
      <c r="D63" s="279">
        <f t="shared" ref="D63" si="13">+O52</f>
        <v>0</v>
      </c>
      <c r="E63" s="279">
        <v>0</v>
      </c>
      <c r="F63" s="536">
        <v>0</v>
      </c>
      <c r="G63" s="215">
        <f t="shared" si="8"/>
        <v>0</v>
      </c>
      <c r="H63" s="209">
        <f t="shared" si="7"/>
        <v>0</v>
      </c>
      <c r="I63" s="445"/>
      <c r="J63" s="472"/>
    </row>
    <row r="64" spans="1:16" x14ac:dyDescent="0.2">
      <c r="A64" s="855"/>
      <c r="B64" s="476">
        <v>53210020100000</v>
      </c>
      <c r="C64" s="199" t="s">
        <v>64</v>
      </c>
      <c r="D64" s="279">
        <f>+O53</f>
        <v>1000396</v>
      </c>
      <c r="E64" s="279">
        <v>0</v>
      </c>
      <c r="F64" s="536">
        <v>0</v>
      </c>
      <c r="G64" s="215">
        <f t="shared" si="8"/>
        <v>0</v>
      </c>
      <c r="H64" s="209">
        <f t="shared" si="7"/>
        <v>1000396</v>
      </c>
      <c r="I64" s="445"/>
    </row>
    <row r="65" spans="1:11" x14ac:dyDescent="0.2">
      <c r="A65" s="855"/>
      <c r="B65" s="475"/>
      <c r="C65" s="203" t="s">
        <v>65</v>
      </c>
      <c r="D65" s="205">
        <f>SUM(D66:D72)</f>
        <v>1734072</v>
      </c>
      <c r="E65" s="206"/>
      <c r="F65" s="206"/>
      <c r="G65" s="205">
        <f>SUM(G66:G72)</f>
        <v>0</v>
      </c>
      <c r="H65" s="210">
        <f>SUM(H66:H72)</f>
        <v>1734072</v>
      </c>
      <c r="I65" s="445"/>
    </row>
    <row r="66" spans="1:11" x14ac:dyDescent="0.2">
      <c r="A66" s="855"/>
      <c r="B66" s="476">
        <v>53206030000000</v>
      </c>
      <c r="C66" s="199" t="s">
        <v>100</v>
      </c>
      <c r="D66" s="279">
        <f>+O55</f>
        <v>0</v>
      </c>
      <c r="E66" s="279">
        <v>0</v>
      </c>
      <c r="F66" s="536">
        <v>0</v>
      </c>
      <c r="G66" s="215">
        <f t="shared" si="8"/>
        <v>0</v>
      </c>
      <c r="H66" s="209">
        <f t="shared" si="7"/>
        <v>0</v>
      </c>
      <c r="I66" s="445"/>
    </row>
    <row r="67" spans="1:11" x14ac:dyDescent="0.2">
      <c r="A67" s="855"/>
      <c r="B67" s="476">
        <v>53206040000000</v>
      </c>
      <c r="C67" s="199" t="s">
        <v>101</v>
      </c>
      <c r="D67" s="279">
        <f t="shared" ref="D67:D72" si="14">+O56</f>
        <v>0</v>
      </c>
      <c r="E67" s="279">
        <v>0</v>
      </c>
      <c r="F67" s="536">
        <v>0</v>
      </c>
      <c r="G67" s="215">
        <f t="shared" si="8"/>
        <v>0</v>
      </c>
      <c r="H67" s="209">
        <f t="shared" si="7"/>
        <v>0</v>
      </c>
      <c r="I67" s="445"/>
    </row>
    <row r="68" spans="1:11" x14ac:dyDescent="0.2">
      <c r="A68" s="855"/>
      <c r="B68" s="476">
        <v>53206060000000</v>
      </c>
      <c r="C68" s="199" t="s">
        <v>186</v>
      </c>
      <c r="D68" s="279">
        <f t="shared" si="14"/>
        <v>1360000</v>
      </c>
      <c r="E68" s="279">
        <v>0</v>
      </c>
      <c r="F68" s="536">
        <v>0</v>
      </c>
      <c r="G68" s="215">
        <f t="shared" si="8"/>
        <v>0</v>
      </c>
      <c r="H68" s="209">
        <f t="shared" si="7"/>
        <v>1360000</v>
      </c>
      <c r="I68" s="445"/>
    </row>
    <row r="69" spans="1:11" x14ac:dyDescent="0.2">
      <c r="A69" s="855"/>
      <c r="B69" s="476">
        <v>53206070000000</v>
      </c>
      <c r="C69" s="199" t="s">
        <v>103</v>
      </c>
      <c r="D69" s="279">
        <f t="shared" si="14"/>
        <v>0</v>
      </c>
      <c r="E69" s="279">
        <v>0</v>
      </c>
      <c r="F69" s="536">
        <v>0</v>
      </c>
      <c r="G69" s="215">
        <f t="shared" si="8"/>
        <v>0</v>
      </c>
      <c r="H69" s="209">
        <f t="shared" si="7"/>
        <v>0</v>
      </c>
      <c r="I69" s="445"/>
    </row>
    <row r="70" spans="1:11" x14ac:dyDescent="0.2">
      <c r="A70" s="855"/>
      <c r="B70" s="476">
        <v>53206990000000</v>
      </c>
      <c r="C70" s="199" t="s">
        <v>187</v>
      </c>
      <c r="D70" s="279">
        <f t="shared" si="14"/>
        <v>64000</v>
      </c>
      <c r="E70" s="279">
        <v>0</v>
      </c>
      <c r="F70" s="536">
        <v>0</v>
      </c>
      <c r="G70" s="215">
        <f t="shared" si="8"/>
        <v>0</v>
      </c>
      <c r="H70" s="209">
        <f t="shared" si="7"/>
        <v>64000</v>
      </c>
      <c r="I70" s="445"/>
    </row>
    <row r="71" spans="1:11" x14ac:dyDescent="0.2">
      <c r="A71" s="855"/>
      <c r="B71" s="476">
        <v>53208030000000</v>
      </c>
      <c r="C71" s="199" t="s">
        <v>105</v>
      </c>
      <c r="D71" s="279">
        <f t="shared" si="14"/>
        <v>310072</v>
      </c>
      <c r="E71" s="279">
        <v>0</v>
      </c>
      <c r="F71" s="536">
        <v>0</v>
      </c>
      <c r="G71" s="215">
        <f t="shared" si="8"/>
        <v>0</v>
      </c>
      <c r="H71" s="209">
        <f t="shared" si="7"/>
        <v>310072</v>
      </c>
      <c r="I71" s="445"/>
    </row>
    <row r="72" spans="1:11" x14ac:dyDescent="0.2">
      <c r="A72" s="855"/>
      <c r="B72" s="476">
        <v>53206990000000</v>
      </c>
      <c r="C72" s="199" t="s">
        <v>208</v>
      </c>
      <c r="D72" s="279">
        <f t="shared" si="14"/>
        <v>0</v>
      </c>
      <c r="E72" s="279">
        <v>0</v>
      </c>
      <c r="F72" s="536">
        <v>0</v>
      </c>
      <c r="G72" s="215">
        <f t="shared" si="8"/>
        <v>0</v>
      </c>
      <c r="H72" s="209">
        <f t="shared" si="7"/>
        <v>0</v>
      </c>
      <c r="I72" s="445"/>
    </row>
    <row r="73" spans="1:11" x14ac:dyDescent="0.2">
      <c r="A73" s="855"/>
      <c r="B73" s="475"/>
      <c r="C73" s="203" t="s">
        <v>66</v>
      </c>
      <c r="D73" s="205">
        <f>SUM(D74:D74)</f>
        <v>0</v>
      </c>
      <c r="E73" s="206"/>
      <c r="F73" s="206"/>
      <c r="G73" s="205">
        <f>SUM(G74:G74)</f>
        <v>1750000</v>
      </c>
      <c r="H73" s="210">
        <f>SUM(H74:H74)</f>
        <v>1750000</v>
      </c>
      <c r="I73" s="445"/>
    </row>
    <row r="74" spans="1:11" x14ac:dyDescent="0.2">
      <c r="A74" s="855"/>
      <c r="B74" s="479"/>
      <c r="C74" s="204" t="s">
        <v>211</v>
      </c>
      <c r="D74" s="200">
        <v>0</v>
      </c>
      <c r="E74" s="200">
        <v>25000</v>
      </c>
      <c r="F74" s="201">
        <v>70</v>
      </c>
      <c r="G74" s="215">
        <f t="shared" si="8"/>
        <v>1750000</v>
      </c>
      <c r="H74" s="213">
        <f t="shared" si="7"/>
        <v>1750000</v>
      </c>
      <c r="I74" s="446"/>
      <c r="J74" s="481" t="s">
        <v>212</v>
      </c>
      <c r="K74" s="346">
        <f>+H72+H71+H70+H69+H68+H67+H66+H64+H63+H62+H61+H60+H59+H58+H57+H55+H52+H51+H50+H49+H48+H46+H44+H43+H37+H36+H35+H33+H32+H31+H30+H29+H28+H27+H26+H25+H24+H23</f>
        <v>11162220</v>
      </c>
    </row>
    <row r="75" spans="1:11" collapsed="1" x14ac:dyDescent="0.2">
      <c r="A75" s="855"/>
      <c r="B75" s="480"/>
      <c r="C75" s="208" t="s">
        <v>106</v>
      </c>
      <c r="D75" s="219">
        <f>SUM(D12,D39)</f>
        <v>83933670.689400002</v>
      </c>
      <c r="E75" s="220"/>
      <c r="F75" s="220"/>
      <c r="G75" s="219">
        <f>SUM(G12,G39)</f>
        <v>30679220</v>
      </c>
      <c r="H75" s="49">
        <f>SUM(H12,H39)</f>
        <v>119745222.6894</v>
      </c>
      <c r="I75" s="447"/>
      <c r="J75" s="473" t="s">
        <v>213</v>
      </c>
      <c r="K75" s="542">
        <f>+H75-K74</f>
        <v>108583002.6894</v>
      </c>
    </row>
    <row r="76" spans="1:11" x14ac:dyDescent="0.2">
      <c r="A76" s="856" t="s">
        <v>115</v>
      </c>
      <c r="B76" s="858" t="s">
        <v>76</v>
      </c>
      <c r="C76" s="860" t="s">
        <v>77</v>
      </c>
      <c r="D76" s="862" t="s">
        <v>78</v>
      </c>
      <c r="E76" s="863" t="s">
        <v>79</v>
      </c>
      <c r="F76" s="863"/>
      <c r="G76" s="863"/>
      <c r="H76" s="851" t="s">
        <v>259</v>
      </c>
      <c r="I76" s="853" t="s">
        <v>75</v>
      </c>
    </row>
    <row r="77" spans="1:11" ht="25.5" x14ac:dyDescent="0.2">
      <c r="A77" s="857"/>
      <c r="B77" s="859"/>
      <c r="C77" s="861"/>
      <c r="D77" s="862"/>
      <c r="E77" s="543" t="s">
        <v>67</v>
      </c>
      <c r="F77" s="544" t="s">
        <v>68</v>
      </c>
      <c r="G77" s="545" t="s">
        <v>6</v>
      </c>
      <c r="H77" s="852"/>
      <c r="I77" s="854"/>
    </row>
    <row r="78" spans="1:11" x14ac:dyDescent="0.2">
      <c r="A78" s="855" t="str">
        <f>+'B) Reajuste Tarifas y Ocupación'!A16</f>
        <v>Sala Cuna Mar y Cielo Diurna</v>
      </c>
      <c r="B78" s="474"/>
      <c r="C78" s="537" t="s">
        <v>11</v>
      </c>
      <c r="D78" s="546">
        <f>SUM(D79,D84)</f>
        <v>27872111.829999998</v>
      </c>
      <c r="E78" s="547"/>
      <c r="F78" s="547"/>
      <c r="G78" s="548">
        <f>SUM(G79,G84)</f>
        <v>8016560</v>
      </c>
      <c r="H78" s="549">
        <f>SUM(H79,H84)</f>
        <v>35888671.829999998</v>
      </c>
      <c r="I78" s="445"/>
    </row>
    <row r="79" spans="1:11" x14ac:dyDescent="0.2">
      <c r="A79" s="855"/>
      <c r="B79" s="475"/>
      <c r="C79" s="539" t="s">
        <v>12</v>
      </c>
      <c r="D79" s="550">
        <f>SUM(D80:D83)</f>
        <v>26508139.829999998</v>
      </c>
      <c r="E79" s="551"/>
      <c r="F79" s="551"/>
      <c r="G79" s="552">
        <f>SUM(G80:G83)</f>
        <v>0</v>
      </c>
      <c r="H79" s="210">
        <f>SUM(H80:H83)</f>
        <v>26508139.829999998</v>
      </c>
      <c r="I79" s="445"/>
    </row>
    <row r="80" spans="1:11" x14ac:dyDescent="0.2">
      <c r="A80" s="855"/>
      <c r="B80" s="553">
        <v>53103040100000</v>
      </c>
      <c r="C80" s="535" t="s">
        <v>96</v>
      </c>
      <c r="D80" s="554">
        <f>+'F) Remuneraciones'!L26</f>
        <v>26245683</v>
      </c>
      <c r="E80" s="555">
        <v>0</v>
      </c>
      <c r="F80" s="556">
        <v>0</v>
      </c>
      <c r="G80" s="557">
        <f>E80*F80</f>
        <v>0</v>
      </c>
      <c r="H80" s="558">
        <f>D80+G80</f>
        <v>26245683</v>
      </c>
      <c r="I80" s="445"/>
    </row>
    <row r="81" spans="1:10" x14ac:dyDescent="0.2">
      <c r="A81" s="855"/>
      <c r="B81" s="553">
        <v>53103050000000</v>
      </c>
      <c r="C81" s="535" t="s">
        <v>165</v>
      </c>
      <c r="D81" s="438">
        <v>0</v>
      </c>
      <c r="E81" s="439">
        <v>0</v>
      </c>
      <c r="F81" s="440">
        <v>0</v>
      </c>
      <c r="G81" s="557">
        <f>E81*F81</f>
        <v>0</v>
      </c>
      <c r="H81" s="558">
        <f>D81+G81</f>
        <v>0</v>
      </c>
      <c r="I81" s="445"/>
    </row>
    <row r="82" spans="1:10" x14ac:dyDescent="0.2">
      <c r="A82" s="855"/>
      <c r="B82" s="477">
        <v>53103040400000</v>
      </c>
      <c r="C82" s="559" t="s">
        <v>166</v>
      </c>
      <c r="D82" s="438">
        <f>D80*0.01</f>
        <v>262456.83</v>
      </c>
      <c r="E82" s="439">
        <v>0</v>
      </c>
      <c r="F82" s="440">
        <v>0</v>
      </c>
      <c r="G82" s="557">
        <f>E82*F82</f>
        <v>0</v>
      </c>
      <c r="H82" s="558">
        <f>D82+G82</f>
        <v>262456.83</v>
      </c>
      <c r="I82" s="445"/>
    </row>
    <row r="83" spans="1:10" x14ac:dyDescent="0.2">
      <c r="A83" s="855"/>
      <c r="B83" s="553">
        <v>53103080010000</v>
      </c>
      <c r="C83" s="535" t="s">
        <v>167</v>
      </c>
      <c r="D83" s="438">
        <v>0</v>
      </c>
      <c r="E83" s="439">
        <v>0</v>
      </c>
      <c r="F83" s="440">
        <v>0</v>
      </c>
      <c r="G83" s="557">
        <f>E83*F83</f>
        <v>0</v>
      </c>
      <c r="H83" s="558">
        <f>D83+G83</f>
        <v>0</v>
      </c>
      <c r="I83" s="445"/>
    </row>
    <row r="84" spans="1:10" x14ac:dyDescent="0.2">
      <c r="A84" s="855"/>
      <c r="B84" s="475"/>
      <c r="C84" s="539" t="s">
        <v>16</v>
      </c>
      <c r="D84" s="550">
        <f>SUM(D85:D104)</f>
        <v>1363972</v>
      </c>
      <c r="E84" s="551"/>
      <c r="F84" s="551"/>
      <c r="G84" s="550">
        <f>SUM(G85:G104)</f>
        <v>8016560</v>
      </c>
      <c r="H84" s="210">
        <f>SUM(H85:H104)</f>
        <v>9380532</v>
      </c>
      <c r="I84" s="445"/>
      <c r="J84" s="231"/>
    </row>
    <row r="85" spans="1:10" x14ac:dyDescent="0.2">
      <c r="A85" s="855"/>
      <c r="B85" s="553">
        <v>53201010100000</v>
      </c>
      <c r="C85" s="560" t="s">
        <v>168</v>
      </c>
      <c r="D85" s="438">
        <v>0</v>
      </c>
      <c r="E85" s="439">
        <v>2417</v>
      </c>
      <c r="F85" s="440">
        <f>(20*11)*4</f>
        <v>880</v>
      </c>
      <c r="G85" s="557">
        <f t="shared" ref="G85:G104" si="15">E85*F85</f>
        <v>2126960</v>
      </c>
      <c r="H85" s="558">
        <f t="shared" ref="H85:H104" si="16">D85+G85</f>
        <v>2126960</v>
      </c>
      <c r="I85" s="445"/>
    </row>
    <row r="86" spans="1:10" x14ac:dyDescent="0.2">
      <c r="A86" s="855"/>
      <c r="B86" s="553">
        <v>53201010100000</v>
      </c>
      <c r="C86" s="560" t="s">
        <v>169</v>
      </c>
      <c r="D86" s="438">
        <v>0</v>
      </c>
      <c r="E86" s="439">
        <v>2045</v>
      </c>
      <c r="F86" s="440">
        <f>(20*12)*12</f>
        <v>2880</v>
      </c>
      <c r="G86" s="557">
        <f t="shared" si="15"/>
        <v>5889600</v>
      </c>
      <c r="H86" s="558">
        <f t="shared" si="16"/>
        <v>5889600</v>
      </c>
      <c r="I86" s="197"/>
    </row>
    <row r="87" spans="1:10" x14ac:dyDescent="0.2">
      <c r="A87" s="855"/>
      <c r="B87" s="553">
        <v>53201010100000</v>
      </c>
      <c r="C87" s="560" t="s">
        <v>170</v>
      </c>
      <c r="D87" s="438">
        <v>0</v>
      </c>
      <c r="E87" s="439">
        <v>0</v>
      </c>
      <c r="F87" s="440">
        <v>0</v>
      </c>
      <c r="G87" s="557">
        <f t="shared" si="15"/>
        <v>0</v>
      </c>
      <c r="H87" s="558">
        <f t="shared" si="16"/>
        <v>0</v>
      </c>
      <c r="I87" s="197"/>
    </row>
    <row r="88" spans="1:10" ht="25.5" x14ac:dyDescent="0.2">
      <c r="A88" s="855"/>
      <c r="B88" s="553">
        <v>53202010100000</v>
      </c>
      <c r="C88" s="534" t="s">
        <v>171</v>
      </c>
      <c r="D88" s="561">
        <f>+P14</f>
        <v>0</v>
      </c>
      <c r="E88" s="557">
        <v>0</v>
      </c>
      <c r="F88" s="562"/>
      <c r="G88" s="557">
        <f t="shared" si="15"/>
        <v>0</v>
      </c>
      <c r="H88" s="558">
        <f t="shared" si="16"/>
        <v>0</v>
      </c>
      <c r="I88" s="448"/>
    </row>
    <row r="89" spans="1:10" x14ac:dyDescent="0.2">
      <c r="A89" s="855"/>
      <c r="B89" s="553">
        <v>53203010100000</v>
      </c>
      <c r="C89" s="535" t="s">
        <v>19</v>
      </c>
      <c r="D89" s="557">
        <f>+P15</f>
        <v>0</v>
      </c>
      <c r="E89" s="557">
        <v>0</v>
      </c>
      <c r="F89" s="562">
        <v>0</v>
      </c>
      <c r="G89" s="557">
        <f t="shared" si="15"/>
        <v>0</v>
      </c>
      <c r="H89" s="558">
        <f t="shared" si="16"/>
        <v>0</v>
      </c>
      <c r="I89" s="448"/>
    </row>
    <row r="90" spans="1:10" x14ac:dyDescent="0.2">
      <c r="A90" s="855"/>
      <c r="B90" s="553">
        <v>53203030000000</v>
      </c>
      <c r="C90" s="535" t="s">
        <v>172</v>
      </c>
      <c r="D90" s="557">
        <f t="shared" ref="D90:D104" si="17">+P16</f>
        <v>339000</v>
      </c>
      <c r="E90" s="557">
        <v>0</v>
      </c>
      <c r="F90" s="562">
        <v>0</v>
      </c>
      <c r="G90" s="557">
        <f t="shared" si="15"/>
        <v>0</v>
      </c>
      <c r="H90" s="558">
        <f t="shared" si="16"/>
        <v>339000</v>
      </c>
      <c r="I90" s="448"/>
    </row>
    <row r="91" spans="1:10" x14ac:dyDescent="0.2">
      <c r="A91" s="855"/>
      <c r="B91" s="553">
        <v>53204030000000</v>
      </c>
      <c r="C91" s="535" t="s">
        <v>210</v>
      </c>
      <c r="D91" s="557">
        <f t="shared" si="17"/>
        <v>19210</v>
      </c>
      <c r="E91" s="557">
        <v>0</v>
      </c>
      <c r="F91" s="562">
        <v>0</v>
      </c>
      <c r="G91" s="557">
        <f t="shared" si="15"/>
        <v>0</v>
      </c>
      <c r="H91" s="558">
        <f>D91+G91</f>
        <v>19210</v>
      </c>
      <c r="I91" s="448"/>
    </row>
    <row r="92" spans="1:10" x14ac:dyDescent="0.2">
      <c r="A92" s="855"/>
      <c r="B92" s="553">
        <v>53204100100001</v>
      </c>
      <c r="C92" s="535" t="s">
        <v>22</v>
      </c>
      <c r="D92" s="557">
        <f t="shared" si="17"/>
        <v>0</v>
      </c>
      <c r="E92" s="557">
        <v>0</v>
      </c>
      <c r="F92" s="562">
        <v>0</v>
      </c>
      <c r="G92" s="557">
        <f t="shared" si="15"/>
        <v>0</v>
      </c>
      <c r="H92" s="558">
        <f t="shared" si="16"/>
        <v>0</v>
      </c>
      <c r="I92" s="448"/>
    </row>
    <row r="93" spans="1:10" x14ac:dyDescent="0.2">
      <c r="A93" s="855"/>
      <c r="B93" s="553">
        <v>53204130100000</v>
      </c>
      <c r="C93" s="535" t="s">
        <v>174</v>
      </c>
      <c r="D93" s="557">
        <f t="shared" si="17"/>
        <v>0</v>
      </c>
      <c r="E93" s="557">
        <v>0</v>
      </c>
      <c r="F93" s="562">
        <v>0</v>
      </c>
      <c r="G93" s="557">
        <f t="shared" si="15"/>
        <v>0</v>
      </c>
      <c r="H93" s="558">
        <f t="shared" si="16"/>
        <v>0</v>
      </c>
      <c r="I93" s="448"/>
    </row>
    <row r="94" spans="1:10" x14ac:dyDescent="0.2">
      <c r="A94" s="855"/>
      <c r="B94" s="553">
        <v>53205010100000</v>
      </c>
      <c r="C94" s="535" t="s">
        <v>24</v>
      </c>
      <c r="D94" s="557">
        <f t="shared" si="17"/>
        <v>330000</v>
      </c>
      <c r="E94" s="557">
        <v>0</v>
      </c>
      <c r="F94" s="562">
        <v>0</v>
      </c>
      <c r="G94" s="557">
        <f t="shared" si="15"/>
        <v>0</v>
      </c>
      <c r="H94" s="558">
        <f t="shared" si="16"/>
        <v>330000</v>
      </c>
      <c r="I94" s="448"/>
    </row>
    <row r="95" spans="1:10" x14ac:dyDescent="0.2">
      <c r="A95" s="855"/>
      <c r="B95" s="553">
        <v>53205020100000</v>
      </c>
      <c r="C95" s="535" t="s">
        <v>25</v>
      </c>
      <c r="D95" s="557">
        <f t="shared" si="17"/>
        <v>136730</v>
      </c>
      <c r="E95" s="557">
        <v>0</v>
      </c>
      <c r="F95" s="562">
        <v>0</v>
      </c>
      <c r="G95" s="557">
        <f t="shared" si="15"/>
        <v>0</v>
      </c>
      <c r="H95" s="558">
        <f t="shared" si="16"/>
        <v>136730</v>
      </c>
      <c r="I95" s="448"/>
    </row>
    <row r="96" spans="1:10" x14ac:dyDescent="0.2">
      <c r="A96" s="855"/>
      <c r="B96" s="553">
        <v>53205030100000</v>
      </c>
      <c r="C96" s="535" t="s">
        <v>26</v>
      </c>
      <c r="D96" s="557">
        <f t="shared" si="17"/>
        <v>290000</v>
      </c>
      <c r="E96" s="557">
        <v>0</v>
      </c>
      <c r="F96" s="562">
        <v>0</v>
      </c>
      <c r="G96" s="557">
        <f t="shared" si="15"/>
        <v>0</v>
      </c>
      <c r="H96" s="558">
        <f t="shared" si="16"/>
        <v>290000</v>
      </c>
      <c r="I96" s="448"/>
    </row>
    <row r="97" spans="1:9" x14ac:dyDescent="0.2">
      <c r="A97" s="855"/>
      <c r="B97" s="553">
        <v>53205050100000</v>
      </c>
      <c r="C97" s="535" t="s">
        <v>27</v>
      </c>
      <c r="D97" s="557">
        <f t="shared" si="17"/>
        <v>0</v>
      </c>
      <c r="E97" s="557">
        <v>0</v>
      </c>
      <c r="F97" s="562">
        <v>0</v>
      </c>
      <c r="G97" s="557">
        <f t="shared" si="15"/>
        <v>0</v>
      </c>
      <c r="H97" s="558">
        <f t="shared" si="16"/>
        <v>0</v>
      </c>
      <c r="I97" s="448"/>
    </row>
    <row r="98" spans="1:9" x14ac:dyDescent="0.2">
      <c r="A98" s="855"/>
      <c r="B98" s="553">
        <v>53205070100000</v>
      </c>
      <c r="C98" s="535" t="s">
        <v>29</v>
      </c>
      <c r="D98" s="557">
        <f t="shared" si="17"/>
        <v>66896</v>
      </c>
      <c r="E98" s="557">
        <v>0</v>
      </c>
      <c r="F98" s="562">
        <v>0</v>
      </c>
      <c r="G98" s="557">
        <f t="shared" si="15"/>
        <v>0</v>
      </c>
      <c r="H98" s="558">
        <f t="shared" si="16"/>
        <v>66896</v>
      </c>
      <c r="I98" s="448"/>
    </row>
    <row r="99" spans="1:9" x14ac:dyDescent="0.2">
      <c r="A99" s="855"/>
      <c r="B99" s="553">
        <v>53208010100000</v>
      </c>
      <c r="C99" s="535" t="s">
        <v>30</v>
      </c>
      <c r="D99" s="557">
        <f t="shared" si="17"/>
        <v>53336</v>
      </c>
      <c r="E99" s="557">
        <v>0</v>
      </c>
      <c r="F99" s="562">
        <v>0</v>
      </c>
      <c r="G99" s="557">
        <f t="shared" si="15"/>
        <v>0</v>
      </c>
      <c r="H99" s="558">
        <f t="shared" si="16"/>
        <v>53336</v>
      </c>
      <c r="I99" s="448"/>
    </row>
    <row r="100" spans="1:9" x14ac:dyDescent="0.2">
      <c r="A100" s="855"/>
      <c r="B100" s="553">
        <v>53208070100001</v>
      </c>
      <c r="C100" s="535" t="s">
        <v>31</v>
      </c>
      <c r="D100" s="557">
        <f t="shared" si="17"/>
        <v>0</v>
      </c>
      <c r="E100" s="557">
        <v>0</v>
      </c>
      <c r="F100" s="562">
        <v>0</v>
      </c>
      <c r="G100" s="557">
        <f t="shared" si="15"/>
        <v>0</v>
      </c>
      <c r="H100" s="558">
        <f t="shared" si="16"/>
        <v>0</v>
      </c>
      <c r="I100" s="448"/>
    </row>
    <row r="101" spans="1:9" x14ac:dyDescent="0.2">
      <c r="A101" s="855"/>
      <c r="B101" s="553">
        <v>53208100100001</v>
      </c>
      <c r="C101" s="535" t="s">
        <v>175</v>
      </c>
      <c r="D101" s="557">
        <f t="shared" si="17"/>
        <v>0</v>
      </c>
      <c r="E101" s="557">
        <v>0</v>
      </c>
      <c r="F101" s="562">
        <v>0</v>
      </c>
      <c r="G101" s="557">
        <f t="shared" si="15"/>
        <v>0</v>
      </c>
      <c r="H101" s="558">
        <f t="shared" si="16"/>
        <v>0</v>
      </c>
      <c r="I101" s="448"/>
    </row>
    <row r="102" spans="1:9" x14ac:dyDescent="0.2">
      <c r="A102" s="855"/>
      <c r="B102" s="553">
        <v>53211030000000</v>
      </c>
      <c r="C102" s="535" t="s">
        <v>32</v>
      </c>
      <c r="D102" s="557">
        <f t="shared" si="17"/>
        <v>0</v>
      </c>
      <c r="E102" s="557">
        <v>0</v>
      </c>
      <c r="F102" s="562">
        <v>0</v>
      </c>
      <c r="G102" s="557">
        <f t="shared" si="15"/>
        <v>0</v>
      </c>
      <c r="H102" s="558">
        <f t="shared" si="16"/>
        <v>0</v>
      </c>
      <c r="I102" s="448"/>
    </row>
    <row r="103" spans="1:9" x14ac:dyDescent="0.2">
      <c r="A103" s="855"/>
      <c r="B103" s="553">
        <v>53212020100000</v>
      </c>
      <c r="C103" s="535" t="s">
        <v>176</v>
      </c>
      <c r="D103" s="557">
        <f t="shared" si="17"/>
        <v>128800</v>
      </c>
      <c r="E103" s="557">
        <v>0</v>
      </c>
      <c r="F103" s="562">
        <v>0</v>
      </c>
      <c r="G103" s="557">
        <f t="shared" si="15"/>
        <v>0</v>
      </c>
      <c r="H103" s="558">
        <f t="shared" si="16"/>
        <v>128800</v>
      </c>
      <c r="I103" s="448"/>
    </row>
    <row r="104" spans="1:9" x14ac:dyDescent="0.2">
      <c r="A104" s="855"/>
      <c r="B104" s="553">
        <v>53214020000000</v>
      </c>
      <c r="C104" s="535" t="s">
        <v>177</v>
      </c>
      <c r="D104" s="557">
        <f t="shared" si="17"/>
        <v>0</v>
      </c>
      <c r="E104" s="557">
        <v>0</v>
      </c>
      <c r="F104" s="562">
        <v>0</v>
      </c>
      <c r="G104" s="557">
        <f t="shared" si="15"/>
        <v>0</v>
      </c>
      <c r="H104" s="558">
        <f t="shared" si="16"/>
        <v>0</v>
      </c>
      <c r="I104" s="448"/>
    </row>
    <row r="105" spans="1:9" x14ac:dyDescent="0.2">
      <c r="A105" s="855"/>
      <c r="B105" s="474"/>
      <c r="C105" s="537" t="s">
        <v>34</v>
      </c>
      <c r="D105" s="546">
        <v>0</v>
      </c>
      <c r="E105" s="547"/>
      <c r="F105" s="547"/>
      <c r="G105" s="546">
        <f>SUM(G106,G111,G113,G122,G131,G139)</f>
        <v>526700</v>
      </c>
      <c r="H105" s="211">
        <f>SUM(H106,H111,H113,H122,H131,H139)</f>
        <v>1809783</v>
      </c>
      <c r="I105" s="448"/>
    </row>
    <row r="106" spans="1:9" x14ac:dyDescent="0.2">
      <c r="A106" s="855"/>
      <c r="B106" s="475"/>
      <c r="C106" s="539" t="s">
        <v>35</v>
      </c>
      <c r="D106" s="550">
        <f>SUM(D107:D110)</f>
        <v>120000</v>
      </c>
      <c r="E106" s="551"/>
      <c r="F106" s="551"/>
      <c r="G106" s="563">
        <f>SUM(G107:G110)</f>
        <v>128300</v>
      </c>
      <c r="H106" s="564">
        <f>SUM(H107:H110)</f>
        <v>248300</v>
      </c>
      <c r="I106" s="448"/>
    </row>
    <row r="107" spans="1:9" x14ac:dyDescent="0.2">
      <c r="A107" s="855"/>
      <c r="B107" s="553">
        <v>53202020100000</v>
      </c>
      <c r="C107" s="535" t="s">
        <v>178</v>
      </c>
      <c r="D107" s="438">
        <v>0</v>
      </c>
      <c r="E107" s="741">
        <v>17060</v>
      </c>
      <c r="F107" s="742">
        <v>5</v>
      </c>
      <c r="G107" s="557">
        <f>E107*F107</f>
        <v>85300</v>
      </c>
      <c r="H107" s="558">
        <f t="shared" ref="H107:H140" si="18">D107+G107</f>
        <v>85300</v>
      </c>
      <c r="I107" s="448"/>
    </row>
    <row r="108" spans="1:9" x14ac:dyDescent="0.2">
      <c r="A108" s="855"/>
      <c r="B108" s="553">
        <v>53202030000000</v>
      </c>
      <c r="C108" s="535" t="s">
        <v>179</v>
      </c>
      <c r="D108" s="438"/>
      <c r="E108" s="439">
        <v>43000</v>
      </c>
      <c r="F108" s="440">
        <v>1</v>
      </c>
      <c r="G108" s="557">
        <f t="shared" ref="G108:G140" si="19">E108*F108</f>
        <v>43000</v>
      </c>
      <c r="H108" s="558">
        <f t="shared" si="18"/>
        <v>43000</v>
      </c>
      <c r="I108" s="448"/>
    </row>
    <row r="109" spans="1:9" x14ac:dyDescent="0.2">
      <c r="A109" s="855"/>
      <c r="B109" s="553">
        <v>53211020000000</v>
      </c>
      <c r="C109" s="535" t="s">
        <v>41</v>
      </c>
      <c r="D109" s="561">
        <f>+P33</f>
        <v>120000</v>
      </c>
      <c r="E109" s="557">
        <v>0</v>
      </c>
      <c r="F109" s="562">
        <v>0</v>
      </c>
      <c r="G109" s="557">
        <f t="shared" si="19"/>
        <v>0</v>
      </c>
      <c r="H109" s="558">
        <f t="shared" si="18"/>
        <v>120000</v>
      </c>
      <c r="I109" s="448"/>
    </row>
    <row r="110" spans="1:9" x14ac:dyDescent="0.2">
      <c r="A110" s="855"/>
      <c r="B110" s="553">
        <v>53101040600000</v>
      </c>
      <c r="C110" s="535" t="s">
        <v>180</v>
      </c>
      <c r="D110" s="561">
        <f>+P34</f>
        <v>0</v>
      </c>
      <c r="E110" s="557">
        <v>0</v>
      </c>
      <c r="F110" s="562">
        <v>0</v>
      </c>
      <c r="G110" s="557">
        <f t="shared" si="19"/>
        <v>0</v>
      </c>
      <c r="H110" s="558">
        <f t="shared" si="18"/>
        <v>0</v>
      </c>
      <c r="I110" s="448"/>
    </row>
    <row r="111" spans="1:9" x14ac:dyDescent="0.2">
      <c r="A111" s="855"/>
      <c r="B111" s="475"/>
      <c r="C111" s="539" t="s">
        <v>42</v>
      </c>
      <c r="D111" s="550">
        <f>SUM(D112:D112)</f>
        <v>0</v>
      </c>
      <c r="E111" s="551"/>
      <c r="F111" s="551"/>
      <c r="G111" s="563">
        <f>SUM(G112:G112)</f>
        <v>0</v>
      </c>
      <c r="H111" s="564">
        <f>SUM(H112:H112)</f>
        <v>0</v>
      </c>
      <c r="I111" s="448"/>
    </row>
    <row r="112" spans="1:9" x14ac:dyDescent="0.2">
      <c r="A112" s="855"/>
      <c r="B112" s="565">
        <v>53205990000000</v>
      </c>
      <c r="C112" s="535" t="s">
        <v>44</v>
      </c>
      <c r="D112" s="561">
        <f>+P36</f>
        <v>0</v>
      </c>
      <c r="E112" s="557">
        <v>0</v>
      </c>
      <c r="F112" s="562">
        <v>0</v>
      </c>
      <c r="G112" s="557">
        <f t="shared" si="19"/>
        <v>0</v>
      </c>
      <c r="H112" s="558">
        <f t="shared" si="18"/>
        <v>0</v>
      </c>
      <c r="I112" s="448"/>
    </row>
    <row r="113" spans="1:9" x14ac:dyDescent="0.2">
      <c r="A113" s="855"/>
      <c r="B113" s="475"/>
      <c r="C113" s="539" t="s">
        <v>45</v>
      </c>
      <c r="D113" s="550">
        <f>SUM(D114:D121)</f>
        <v>337200</v>
      </c>
      <c r="E113" s="551"/>
      <c r="F113" s="551"/>
      <c r="G113" s="550">
        <f>SUM(G114:G121)</f>
        <v>0</v>
      </c>
      <c r="H113" s="210">
        <f>SUM(H114:H121)</f>
        <v>337200</v>
      </c>
      <c r="I113" s="448"/>
    </row>
    <row r="114" spans="1:9" x14ac:dyDescent="0.2">
      <c r="A114" s="855"/>
      <c r="B114" s="553">
        <v>53204010000000</v>
      </c>
      <c r="C114" s="535" t="s">
        <v>47</v>
      </c>
      <c r="D114" s="561">
        <f>+P38</f>
        <v>60000</v>
      </c>
      <c r="E114" s="561">
        <v>0</v>
      </c>
      <c r="F114" s="562">
        <v>0</v>
      </c>
      <c r="G114" s="557">
        <f t="shared" si="19"/>
        <v>0</v>
      </c>
      <c r="H114" s="558">
        <f t="shared" si="18"/>
        <v>60000</v>
      </c>
      <c r="I114" s="448"/>
    </row>
    <row r="115" spans="1:9" x14ac:dyDescent="0.2">
      <c r="A115" s="855"/>
      <c r="B115" s="565">
        <v>53204040200000</v>
      </c>
      <c r="C115" s="535" t="s">
        <v>209</v>
      </c>
      <c r="D115" s="561">
        <f t="shared" ref="D115:D121" si="20">+P39</f>
        <v>20000</v>
      </c>
      <c r="E115" s="561">
        <v>0</v>
      </c>
      <c r="F115" s="562">
        <v>0</v>
      </c>
      <c r="G115" s="557">
        <f t="shared" si="19"/>
        <v>0</v>
      </c>
      <c r="H115" s="558">
        <f t="shared" si="18"/>
        <v>20000</v>
      </c>
      <c r="I115" s="448"/>
    </row>
    <row r="116" spans="1:9" x14ac:dyDescent="0.2">
      <c r="A116" s="855"/>
      <c r="B116" s="553">
        <v>53204060000000</v>
      </c>
      <c r="C116" s="535" t="s">
        <v>49</v>
      </c>
      <c r="D116" s="561">
        <f t="shared" si="20"/>
        <v>0</v>
      </c>
      <c r="E116" s="561">
        <v>0</v>
      </c>
      <c r="F116" s="562">
        <v>0</v>
      </c>
      <c r="G116" s="557">
        <f t="shared" si="19"/>
        <v>0</v>
      </c>
      <c r="H116" s="558">
        <f t="shared" si="18"/>
        <v>0</v>
      </c>
      <c r="I116" s="448"/>
    </row>
    <row r="117" spans="1:9" x14ac:dyDescent="0.2">
      <c r="A117" s="855"/>
      <c r="B117" s="553">
        <v>53204070000000</v>
      </c>
      <c r="C117" s="535" t="s">
        <v>50</v>
      </c>
      <c r="D117" s="561">
        <f t="shared" si="20"/>
        <v>257200</v>
      </c>
      <c r="E117" s="561">
        <v>0</v>
      </c>
      <c r="F117" s="562">
        <v>0</v>
      </c>
      <c r="G117" s="557">
        <f t="shared" si="19"/>
        <v>0</v>
      </c>
      <c r="H117" s="558">
        <f t="shared" si="18"/>
        <v>257200</v>
      </c>
      <c r="I117" s="448"/>
    </row>
    <row r="118" spans="1:9" x14ac:dyDescent="0.2">
      <c r="A118" s="855"/>
      <c r="B118" s="553">
        <v>53204080000000</v>
      </c>
      <c r="C118" s="535" t="s">
        <v>51</v>
      </c>
      <c r="D118" s="561">
        <f t="shared" si="20"/>
        <v>0</v>
      </c>
      <c r="E118" s="561">
        <v>0</v>
      </c>
      <c r="F118" s="562">
        <v>0</v>
      </c>
      <c r="G118" s="557">
        <f t="shared" si="19"/>
        <v>0</v>
      </c>
      <c r="H118" s="558">
        <f t="shared" si="18"/>
        <v>0</v>
      </c>
      <c r="I118" s="448"/>
    </row>
    <row r="119" spans="1:9" x14ac:dyDescent="0.2">
      <c r="A119" s="855"/>
      <c r="B119" s="553">
        <v>53214010000000</v>
      </c>
      <c r="C119" s="535" t="s">
        <v>52</v>
      </c>
      <c r="D119" s="561">
        <f t="shared" si="20"/>
        <v>0</v>
      </c>
      <c r="E119" s="561">
        <v>0</v>
      </c>
      <c r="F119" s="562">
        <v>0</v>
      </c>
      <c r="G119" s="557">
        <f t="shared" si="19"/>
        <v>0</v>
      </c>
      <c r="H119" s="558">
        <f t="shared" si="18"/>
        <v>0</v>
      </c>
      <c r="I119" s="448"/>
    </row>
    <row r="120" spans="1:9" x14ac:dyDescent="0.2">
      <c r="A120" s="855"/>
      <c r="B120" s="553">
        <v>53214040000000</v>
      </c>
      <c r="C120" s="535" t="s">
        <v>181</v>
      </c>
      <c r="D120" s="561">
        <f t="shared" si="20"/>
        <v>0</v>
      </c>
      <c r="E120" s="561">
        <v>0</v>
      </c>
      <c r="F120" s="562">
        <v>0</v>
      </c>
      <c r="G120" s="557">
        <f t="shared" si="19"/>
        <v>0</v>
      </c>
      <c r="H120" s="558">
        <f t="shared" si="18"/>
        <v>0</v>
      </c>
      <c r="I120" s="448"/>
    </row>
    <row r="121" spans="1:9" x14ac:dyDescent="0.2">
      <c r="A121" s="855"/>
      <c r="B121" s="477">
        <v>53204020100000</v>
      </c>
      <c r="C121" s="535" t="s">
        <v>173</v>
      </c>
      <c r="D121" s="561">
        <f t="shared" si="20"/>
        <v>0</v>
      </c>
      <c r="E121" s="561">
        <v>0</v>
      </c>
      <c r="F121" s="562">
        <v>0</v>
      </c>
      <c r="G121" s="557">
        <f t="shared" si="19"/>
        <v>0</v>
      </c>
      <c r="H121" s="558">
        <f t="shared" si="18"/>
        <v>0</v>
      </c>
      <c r="I121" s="448"/>
    </row>
    <row r="122" spans="1:9" x14ac:dyDescent="0.2">
      <c r="A122" s="855"/>
      <c r="B122" s="475"/>
      <c r="C122" s="539" t="s">
        <v>55</v>
      </c>
      <c r="D122" s="550">
        <f>SUM(D123:D130)</f>
        <v>392365</v>
      </c>
      <c r="E122" s="551"/>
      <c r="F122" s="551"/>
      <c r="G122" s="550">
        <f>SUM(G123:G130)</f>
        <v>98400</v>
      </c>
      <c r="H122" s="210">
        <f>SUM(H123:H130)</f>
        <v>490765</v>
      </c>
      <c r="I122" s="448"/>
    </row>
    <row r="123" spans="1:9" x14ac:dyDescent="0.2">
      <c r="A123" s="855"/>
      <c r="B123" s="553">
        <v>53207010000000</v>
      </c>
      <c r="C123" s="535" t="s">
        <v>56</v>
      </c>
      <c r="D123" s="561">
        <f>+P47</f>
        <v>0</v>
      </c>
      <c r="E123" s="561">
        <v>0</v>
      </c>
      <c r="F123" s="562">
        <v>0</v>
      </c>
      <c r="G123" s="557">
        <f t="shared" si="19"/>
        <v>0</v>
      </c>
      <c r="H123" s="558">
        <f t="shared" si="18"/>
        <v>0</v>
      </c>
      <c r="I123" s="448"/>
    </row>
    <row r="124" spans="1:9" x14ac:dyDescent="0.2">
      <c r="A124" s="855"/>
      <c r="B124" s="553">
        <v>53207020000000</v>
      </c>
      <c r="C124" s="535" t="s">
        <v>57</v>
      </c>
      <c r="D124" s="561">
        <f t="shared" ref="D124:D126" si="21">+P48</f>
        <v>122266</v>
      </c>
      <c r="E124" s="561">
        <v>0</v>
      </c>
      <c r="F124" s="562">
        <v>0</v>
      </c>
      <c r="G124" s="557">
        <f t="shared" si="19"/>
        <v>0</v>
      </c>
      <c r="H124" s="558">
        <f t="shared" si="18"/>
        <v>122266</v>
      </c>
      <c r="I124" s="448"/>
    </row>
    <row r="125" spans="1:9" x14ac:dyDescent="0.2">
      <c r="A125" s="855"/>
      <c r="B125" s="553">
        <v>53208020000000</v>
      </c>
      <c r="C125" s="535" t="s">
        <v>164</v>
      </c>
      <c r="D125" s="561">
        <f t="shared" si="21"/>
        <v>0</v>
      </c>
      <c r="E125" s="561">
        <v>0</v>
      </c>
      <c r="F125" s="562">
        <v>0</v>
      </c>
      <c r="G125" s="557">
        <f t="shared" si="19"/>
        <v>0</v>
      </c>
      <c r="H125" s="558">
        <f t="shared" si="18"/>
        <v>0</v>
      </c>
      <c r="I125" s="448"/>
    </row>
    <row r="126" spans="1:9" x14ac:dyDescent="0.2">
      <c r="A126" s="855"/>
      <c r="B126" s="553">
        <v>53208990000000</v>
      </c>
      <c r="C126" s="535" t="s">
        <v>182</v>
      </c>
      <c r="D126" s="561">
        <f t="shared" si="21"/>
        <v>20000</v>
      </c>
      <c r="E126" s="561">
        <v>0</v>
      </c>
      <c r="F126" s="562">
        <v>0</v>
      </c>
      <c r="G126" s="557">
        <f t="shared" si="19"/>
        <v>0</v>
      </c>
      <c r="H126" s="558">
        <f t="shared" si="18"/>
        <v>20000</v>
      </c>
      <c r="I126" s="448"/>
    </row>
    <row r="127" spans="1:9" x14ac:dyDescent="0.2">
      <c r="A127" s="855"/>
      <c r="B127" s="477">
        <v>53210020300000</v>
      </c>
      <c r="C127" s="535" t="s">
        <v>184</v>
      </c>
      <c r="D127" s="561">
        <v>0</v>
      </c>
      <c r="E127" s="561">
        <v>8200</v>
      </c>
      <c r="F127" s="562">
        <f>+'B) Reajuste Tarifas y Ocupación'!I33</f>
        <v>12</v>
      </c>
      <c r="G127" s="557">
        <f t="shared" si="19"/>
        <v>98400</v>
      </c>
      <c r="H127" s="558">
        <f t="shared" si="18"/>
        <v>98400</v>
      </c>
      <c r="I127" s="448"/>
    </row>
    <row r="128" spans="1:9" x14ac:dyDescent="0.2">
      <c r="A128" s="855"/>
      <c r="B128" s="553">
        <v>53208990000000</v>
      </c>
      <c r="C128" s="535" t="s">
        <v>185</v>
      </c>
      <c r="D128" s="561">
        <f>+P51</f>
        <v>0</v>
      </c>
      <c r="E128" s="561">
        <v>0</v>
      </c>
      <c r="F128" s="562">
        <v>0</v>
      </c>
      <c r="G128" s="557">
        <f t="shared" si="19"/>
        <v>0</v>
      </c>
      <c r="H128" s="558">
        <f t="shared" si="18"/>
        <v>0</v>
      </c>
      <c r="I128" s="448"/>
    </row>
    <row r="129" spans="1:11" x14ac:dyDescent="0.2">
      <c r="A129" s="855"/>
      <c r="B129" s="553">
        <v>53209990000000</v>
      </c>
      <c r="C129" s="535" t="s">
        <v>183</v>
      </c>
      <c r="D129" s="561">
        <f>+P52</f>
        <v>0</v>
      </c>
      <c r="E129" s="561">
        <v>0</v>
      </c>
      <c r="F129" s="562">
        <v>0</v>
      </c>
      <c r="G129" s="557">
        <f t="shared" si="19"/>
        <v>0</v>
      </c>
      <c r="H129" s="558">
        <f t="shared" si="18"/>
        <v>0</v>
      </c>
      <c r="I129" s="448"/>
    </row>
    <row r="130" spans="1:11" x14ac:dyDescent="0.2">
      <c r="A130" s="855"/>
      <c r="B130" s="553">
        <v>53210020100000</v>
      </c>
      <c r="C130" s="535" t="s">
        <v>64</v>
      </c>
      <c r="D130" s="561">
        <f>+P53</f>
        <v>250099</v>
      </c>
      <c r="E130" s="561">
        <v>0</v>
      </c>
      <c r="F130" s="562">
        <v>0</v>
      </c>
      <c r="G130" s="557">
        <f t="shared" si="19"/>
        <v>0</v>
      </c>
      <c r="H130" s="558">
        <f t="shared" si="18"/>
        <v>250099</v>
      </c>
      <c r="I130" s="448"/>
    </row>
    <row r="131" spans="1:11" x14ac:dyDescent="0.2">
      <c r="A131" s="855"/>
      <c r="B131" s="475"/>
      <c r="C131" s="539" t="s">
        <v>65</v>
      </c>
      <c r="D131" s="550">
        <f>SUM(D132:D138)</f>
        <v>433518</v>
      </c>
      <c r="E131" s="551"/>
      <c r="F131" s="551"/>
      <c r="G131" s="550">
        <f>SUM(G132:G138)</f>
        <v>0</v>
      </c>
      <c r="H131" s="210">
        <f>SUM(H132:H138)</f>
        <v>433518</v>
      </c>
      <c r="I131" s="448"/>
    </row>
    <row r="132" spans="1:11" x14ac:dyDescent="0.2">
      <c r="A132" s="855"/>
      <c r="B132" s="553">
        <v>53206030000000</v>
      </c>
      <c r="C132" s="535" t="s">
        <v>100</v>
      </c>
      <c r="D132" s="561">
        <f>+P55</f>
        <v>0</v>
      </c>
      <c r="E132" s="561">
        <v>0</v>
      </c>
      <c r="F132" s="562">
        <v>0</v>
      </c>
      <c r="G132" s="557">
        <f t="shared" si="19"/>
        <v>0</v>
      </c>
      <c r="H132" s="558">
        <f t="shared" si="18"/>
        <v>0</v>
      </c>
      <c r="I132" s="448"/>
    </row>
    <row r="133" spans="1:11" x14ac:dyDescent="0.2">
      <c r="A133" s="855"/>
      <c r="B133" s="553">
        <v>53206040000000</v>
      </c>
      <c r="C133" s="535" t="s">
        <v>101</v>
      </c>
      <c r="D133" s="561">
        <f t="shared" ref="D133:D138" si="22">+P56</f>
        <v>0</v>
      </c>
      <c r="E133" s="561">
        <v>0</v>
      </c>
      <c r="F133" s="562">
        <v>0</v>
      </c>
      <c r="G133" s="557">
        <f t="shared" si="19"/>
        <v>0</v>
      </c>
      <c r="H133" s="558">
        <f t="shared" si="18"/>
        <v>0</v>
      </c>
      <c r="I133" s="448"/>
    </row>
    <row r="134" spans="1:11" x14ac:dyDescent="0.2">
      <c r="A134" s="855"/>
      <c r="B134" s="553">
        <v>53206060000000</v>
      </c>
      <c r="C134" s="535" t="s">
        <v>186</v>
      </c>
      <c r="D134" s="561">
        <f t="shared" si="22"/>
        <v>340000</v>
      </c>
      <c r="E134" s="561">
        <v>0</v>
      </c>
      <c r="F134" s="562">
        <v>0</v>
      </c>
      <c r="G134" s="557">
        <f t="shared" si="19"/>
        <v>0</v>
      </c>
      <c r="H134" s="558">
        <f t="shared" si="18"/>
        <v>340000</v>
      </c>
      <c r="I134" s="448"/>
    </row>
    <row r="135" spans="1:11" x14ac:dyDescent="0.2">
      <c r="A135" s="855"/>
      <c r="B135" s="553">
        <v>53206070000000</v>
      </c>
      <c r="C135" s="535" t="s">
        <v>103</v>
      </c>
      <c r="D135" s="561">
        <f t="shared" si="22"/>
        <v>0</v>
      </c>
      <c r="E135" s="561">
        <v>0</v>
      </c>
      <c r="F135" s="562">
        <v>0</v>
      </c>
      <c r="G135" s="557">
        <f t="shared" si="19"/>
        <v>0</v>
      </c>
      <c r="H135" s="558">
        <f t="shared" si="18"/>
        <v>0</v>
      </c>
      <c r="I135" s="448"/>
    </row>
    <row r="136" spans="1:11" x14ac:dyDescent="0.2">
      <c r="A136" s="855"/>
      <c r="B136" s="553">
        <v>53206990000000</v>
      </c>
      <c r="C136" s="535" t="s">
        <v>187</v>
      </c>
      <c r="D136" s="561">
        <f t="shared" si="22"/>
        <v>16000</v>
      </c>
      <c r="E136" s="561">
        <v>0</v>
      </c>
      <c r="F136" s="562">
        <v>0</v>
      </c>
      <c r="G136" s="557">
        <f t="shared" si="19"/>
        <v>0</v>
      </c>
      <c r="H136" s="558">
        <f t="shared" si="18"/>
        <v>16000</v>
      </c>
      <c r="I136" s="448"/>
    </row>
    <row r="137" spans="1:11" x14ac:dyDescent="0.2">
      <c r="A137" s="855"/>
      <c r="B137" s="553">
        <v>53208030000000</v>
      </c>
      <c r="C137" s="535" t="s">
        <v>105</v>
      </c>
      <c r="D137" s="561">
        <f t="shared" si="22"/>
        <v>77518</v>
      </c>
      <c r="E137" s="561">
        <v>0</v>
      </c>
      <c r="F137" s="562">
        <v>0</v>
      </c>
      <c r="G137" s="557">
        <f t="shared" si="19"/>
        <v>0</v>
      </c>
      <c r="H137" s="558">
        <f t="shared" si="18"/>
        <v>77518</v>
      </c>
      <c r="I137" s="448"/>
    </row>
    <row r="138" spans="1:11" x14ac:dyDescent="0.2">
      <c r="A138" s="855"/>
      <c r="B138" s="553">
        <v>53206990000000</v>
      </c>
      <c r="C138" s="535" t="s">
        <v>208</v>
      </c>
      <c r="D138" s="561">
        <f t="shared" si="22"/>
        <v>0</v>
      </c>
      <c r="E138" s="561">
        <v>0</v>
      </c>
      <c r="F138" s="562">
        <v>0</v>
      </c>
      <c r="G138" s="557">
        <f t="shared" si="19"/>
        <v>0</v>
      </c>
      <c r="H138" s="558">
        <f t="shared" si="18"/>
        <v>0</v>
      </c>
      <c r="I138" s="445"/>
    </row>
    <row r="139" spans="1:11" x14ac:dyDescent="0.2">
      <c r="A139" s="855"/>
      <c r="B139" s="475"/>
      <c r="C139" s="539" t="s">
        <v>66</v>
      </c>
      <c r="D139" s="550">
        <f>SUM(D140:D140)</f>
        <v>0</v>
      </c>
      <c r="E139" s="551"/>
      <c r="F139" s="551"/>
      <c r="G139" s="550">
        <f>SUM(G140:G140)</f>
        <v>300000</v>
      </c>
      <c r="H139" s="210">
        <f>SUM(H140:H140)</f>
        <v>300000</v>
      </c>
      <c r="I139" s="445"/>
    </row>
    <row r="140" spans="1:11" x14ac:dyDescent="0.2">
      <c r="A140" s="855"/>
      <c r="B140" s="566"/>
      <c r="C140" s="567" t="s">
        <v>211</v>
      </c>
      <c r="D140" s="438">
        <v>0</v>
      </c>
      <c r="E140" s="438">
        <v>25000</v>
      </c>
      <c r="F140" s="440">
        <v>12</v>
      </c>
      <c r="G140" s="557">
        <f t="shared" si="19"/>
        <v>300000</v>
      </c>
      <c r="H140" s="568">
        <f t="shared" si="18"/>
        <v>300000</v>
      </c>
      <c r="I140" s="446"/>
      <c r="J140" s="481" t="s">
        <v>212</v>
      </c>
      <c r="K140" s="346">
        <f>+H138+H137+H136+H135+H134+H133+H132+H130+H129+H128+H127+H126+H125+H124+H123+H121+H118+H117+H116+H115+H114+H112+H110+H109+H103+H102+H101+H99+H98+H97+H96+H95+H94+H93+H92+H91+H90+H89</f>
        <v>2745455</v>
      </c>
    </row>
    <row r="141" spans="1:11" x14ac:dyDescent="0.2">
      <c r="A141" s="855"/>
      <c r="B141" s="480"/>
      <c r="C141" s="569" t="s">
        <v>106</v>
      </c>
      <c r="D141" s="570">
        <f>SUM(D78,D105)</f>
        <v>27872111.829999998</v>
      </c>
      <c r="E141" s="571"/>
      <c r="F141" s="571"/>
      <c r="G141" s="570">
        <f>SUM(G78,G105)</f>
        <v>8543260</v>
      </c>
      <c r="H141" s="49">
        <f>SUM(H78,H105)</f>
        <v>37698454.829999998</v>
      </c>
      <c r="I141" s="449"/>
      <c r="J141" s="473" t="s">
        <v>213</v>
      </c>
      <c r="K141" s="542">
        <f>+H142-K140</f>
        <v>154698222.5194</v>
      </c>
    </row>
    <row r="142" spans="1:11" ht="15.75" x14ac:dyDescent="0.2">
      <c r="A142" s="849" t="s">
        <v>110</v>
      </c>
      <c r="B142" s="849"/>
      <c r="C142" s="849"/>
      <c r="D142" s="849"/>
      <c r="E142" s="849"/>
      <c r="F142" s="849"/>
      <c r="G142" s="850"/>
      <c r="H142" s="48">
        <f>+H141+H75</f>
        <v>157443677.5194</v>
      </c>
    </row>
  </sheetData>
  <sheetProtection algorithmName="SHA-512" hashValue="wcUWJSF5uusfPxR9br0zfNNry4MwcWgDEURKwO1zPGNFE6E14gF/aFjk1zTK8Cyic+wXnDJaRxoEtjxwpzJ7pg==" saltValue="8sYqKosX2xrt70Iv3f/PBA==" spinCount="100000" sheet="1" objects="1" scenarios="1"/>
  <mergeCells count="23">
    <mergeCell ref="D4:E4"/>
    <mergeCell ref="A8:C8"/>
    <mergeCell ref="A12:A75"/>
    <mergeCell ref="I10:I11"/>
    <mergeCell ref="B10:B11"/>
    <mergeCell ref="A10:A11"/>
    <mergeCell ref="E10:G10"/>
    <mergeCell ref="D10:D11"/>
    <mergeCell ref="H10:H11"/>
    <mergeCell ref="C10:C11"/>
    <mergeCell ref="M10:M11"/>
    <mergeCell ref="N10:N11"/>
    <mergeCell ref="O10:O11"/>
    <mergeCell ref="P10:P11"/>
    <mergeCell ref="A142:G142"/>
    <mergeCell ref="H76:H77"/>
    <mergeCell ref="I76:I77"/>
    <mergeCell ref="A78:A141"/>
    <mergeCell ref="A76:A77"/>
    <mergeCell ref="B76:B77"/>
    <mergeCell ref="C76:C77"/>
    <mergeCell ref="D76:D77"/>
    <mergeCell ref="E76:G76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D.B.S.A.ORDINARIO&amp;R02-BS/0307/02pag &amp;P de &amp;N</oddHeader>
  </headerFooter>
  <ignoredErrors>
    <ignoredError sqref="G19:H19 G45:H45 G47:H47 G65:H65 G73:H73 G56:H5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101"/>
  <sheetViews>
    <sheetView showGridLines="0" topLeftCell="AK1" zoomScale="80" zoomScaleNormal="80" workbookViewId="0">
      <selection activeCell="AN16" sqref="AN16"/>
    </sheetView>
  </sheetViews>
  <sheetFormatPr baseColWidth="10" defaultColWidth="11.42578125" defaultRowHeight="12.75" x14ac:dyDescent="0.2"/>
  <cols>
    <col min="1" max="1" width="11.42578125" style="27" customWidth="1"/>
    <col min="2" max="2" width="28" style="27" customWidth="1"/>
    <col min="3" max="3" width="28.7109375" style="27" customWidth="1"/>
    <col min="4" max="4" width="24.140625" style="27" customWidth="1"/>
    <col min="5" max="5" width="25.140625" style="27" customWidth="1"/>
    <col min="6" max="6" width="22.140625" style="27" customWidth="1"/>
    <col min="7" max="7" width="14.85546875" style="27" customWidth="1"/>
    <col min="8" max="8" width="15" style="27" customWidth="1"/>
    <col min="9" max="9" width="15.140625" style="27" customWidth="1"/>
    <col min="10" max="10" width="17.42578125" style="27" customWidth="1"/>
    <col min="11" max="11" width="19.140625" style="27" customWidth="1"/>
    <col min="12" max="12" width="4.85546875" style="27" customWidth="1"/>
    <col min="13" max="13" width="19.140625" style="27" customWidth="1"/>
    <col min="14" max="14" width="16.140625" style="27" customWidth="1"/>
    <col min="15" max="15" width="17.140625" style="27" customWidth="1"/>
    <col min="16" max="16" width="14.85546875" style="27" customWidth="1"/>
    <col min="17" max="17" width="17.7109375" style="27" customWidth="1"/>
    <col min="18" max="18" width="17.140625" style="27" customWidth="1"/>
    <col min="19" max="19" width="17.42578125" style="27" customWidth="1"/>
    <col min="20" max="20" width="5" style="27" customWidth="1"/>
    <col min="21" max="21" width="19.85546875" style="27" bestFit="1" customWidth="1"/>
    <col min="22" max="22" width="52.140625" style="27" bestFit="1" customWidth="1"/>
    <col min="23" max="23" width="18.28515625" style="27" customWidth="1"/>
    <col min="24" max="24" width="5.7109375" style="27" customWidth="1"/>
    <col min="25" max="25" width="11.42578125" style="27" customWidth="1"/>
    <col min="26" max="31" width="14.28515625" style="27" customWidth="1"/>
    <col min="32" max="32" width="11.28515625" style="27" customWidth="1"/>
    <col min="33" max="38" width="14.28515625" style="27" customWidth="1"/>
    <col min="39" max="39" width="11.42578125" style="27"/>
    <col min="40" max="45" width="14.28515625" style="27" customWidth="1"/>
    <col min="46" max="16384" width="11.42578125" style="27"/>
  </cols>
  <sheetData>
    <row r="1" spans="1:242" s="6" customFormat="1" x14ac:dyDescent="0.2">
      <c r="C1" s="7"/>
      <c r="D1" s="7"/>
      <c r="E1" s="40" t="s">
        <v>198</v>
      </c>
      <c r="F1" s="40"/>
      <c r="G1" s="40"/>
      <c r="H1" s="40"/>
      <c r="I1" s="40"/>
      <c r="J1" s="7"/>
      <c r="K1" s="7"/>
      <c r="L1" s="7"/>
      <c r="IG1" s="4"/>
      <c r="IH1" s="4"/>
    </row>
    <row r="2" spans="1:242" s="6" customFormat="1" x14ac:dyDescent="0.2">
      <c r="E2" s="40" t="s">
        <v>190</v>
      </c>
      <c r="F2" s="40"/>
      <c r="G2" s="40"/>
      <c r="H2" s="40"/>
      <c r="I2" s="40"/>
      <c r="IG2" s="4"/>
      <c r="IH2" s="4"/>
    </row>
    <row r="3" spans="1:242" s="6" customFormat="1" x14ac:dyDescent="0.2">
      <c r="B3" s="2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3"/>
      <c r="D4" s="77" t="s">
        <v>0</v>
      </c>
      <c r="E4" s="133" t="str">
        <f>+'B) Reajuste Tarifas y Ocupación'!F5</f>
        <v xml:space="preserve">BIENMAG </v>
      </c>
      <c r="F4" s="52"/>
      <c r="G4" s="53"/>
      <c r="H4" s="53"/>
      <c r="I4" s="53"/>
      <c r="J4" s="53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3"/>
      <c r="D5" s="78"/>
      <c r="E5" s="81"/>
      <c r="F5" s="81"/>
      <c r="G5" s="81"/>
      <c r="H5" s="81"/>
      <c r="I5" s="81"/>
      <c r="J5" s="81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3"/>
      <c r="D6" s="78"/>
      <c r="E6" s="81"/>
      <c r="F6" s="81"/>
      <c r="G6" s="81"/>
      <c r="H6" s="81"/>
      <c r="I6" s="81"/>
      <c r="J6" s="81"/>
      <c r="O6" s="3"/>
      <c r="HX6" s="4"/>
      <c r="HY6" s="4"/>
      <c r="HZ6" s="4"/>
      <c r="IA6" s="4"/>
      <c r="IB6" s="4"/>
      <c r="IC6" s="4"/>
    </row>
    <row r="7" spans="1:242" x14ac:dyDescent="0.2">
      <c r="B7" s="25"/>
      <c r="C7" s="25"/>
      <c r="D7" s="25"/>
      <c r="E7" s="25"/>
      <c r="F7" s="25"/>
      <c r="G7" s="25"/>
      <c r="H7" s="25"/>
      <c r="I7" s="25"/>
      <c r="J7" s="34"/>
      <c r="K7" s="34"/>
      <c r="L7" s="34"/>
      <c r="M7" s="34"/>
      <c r="N7" s="34"/>
      <c r="O7" s="34"/>
      <c r="P7" s="34"/>
      <c r="Q7" s="34"/>
      <c r="R7" s="34"/>
      <c r="Y7" s="156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8"/>
    </row>
    <row r="8" spans="1:242" x14ac:dyDescent="0.2">
      <c r="B8" s="25"/>
      <c r="C8" s="25"/>
      <c r="D8" s="25"/>
      <c r="E8" s="25"/>
      <c r="F8" s="25"/>
      <c r="G8" s="25"/>
      <c r="H8" s="25"/>
      <c r="I8" s="25"/>
      <c r="J8" s="34"/>
      <c r="K8" s="34"/>
      <c r="L8" s="34"/>
      <c r="M8" s="34"/>
      <c r="N8" s="34"/>
      <c r="O8" s="34"/>
      <c r="P8" s="34"/>
      <c r="Q8" s="34"/>
      <c r="R8" s="34"/>
      <c r="Y8" s="159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160"/>
    </row>
    <row r="9" spans="1:242" ht="15.75" customHeight="1" x14ac:dyDescent="0.2">
      <c r="A9" s="914" t="s">
        <v>147</v>
      </c>
      <c r="B9" s="914"/>
      <c r="C9" s="914"/>
      <c r="D9" s="914"/>
      <c r="E9" s="914"/>
      <c r="F9" s="914"/>
      <c r="G9" s="914"/>
      <c r="H9" s="914"/>
      <c r="I9" s="80"/>
      <c r="J9" s="80"/>
      <c r="K9" s="80"/>
      <c r="L9" s="80"/>
      <c r="M9" s="882" t="s">
        <v>148</v>
      </c>
      <c r="N9" s="882"/>
      <c r="O9" s="882"/>
      <c r="P9" s="882"/>
      <c r="Q9" s="882"/>
      <c r="R9" s="882"/>
      <c r="S9" s="882"/>
      <c r="U9" s="882" t="s">
        <v>149</v>
      </c>
      <c r="V9" s="882"/>
      <c r="W9" s="882"/>
      <c r="X9" s="114"/>
      <c r="Y9" s="161"/>
      <c r="Z9" s="882" t="s">
        <v>202</v>
      </c>
      <c r="AA9" s="882"/>
      <c r="AB9" s="882"/>
      <c r="AC9" s="882"/>
      <c r="AD9" s="882"/>
      <c r="AE9" s="882"/>
      <c r="AF9" s="114"/>
      <c r="AG9" s="882" t="s">
        <v>151</v>
      </c>
      <c r="AH9" s="882"/>
      <c r="AI9" s="882"/>
      <c r="AJ9" s="882"/>
      <c r="AK9" s="882"/>
      <c r="AL9" s="882"/>
      <c r="AM9" s="36"/>
      <c r="AN9" s="882" t="s">
        <v>152</v>
      </c>
      <c r="AO9" s="882"/>
      <c r="AP9" s="882"/>
      <c r="AQ9" s="882"/>
      <c r="AR9" s="882"/>
      <c r="AS9" s="882"/>
      <c r="AT9" s="160"/>
    </row>
    <row r="10" spans="1:242" ht="13.5" customHeight="1" x14ac:dyDescent="0.2">
      <c r="B10" s="23"/>
      <c r="C10" s="78"/>
      <c r="D10" s="78"/>
      <c r="E10" s="81"/>
      <c r="F10" s="81"/>
      <c r="G10" s="81"/>
      <c r="H10" s="81"/>
      <c r="I10" s="81"/>
      <c r="J10" s="81"/>
      <c r="M10" s="882"/>
      <c r="N10" s="882"/>
      <c r="O10" s="882"/>
      <c r="P10" s="882"/>
      <c r="Q10" s="882"/>
      <c r="R10" s="882"/>
      <c r="S10" s="882"/>
      <c r="U10" s="882"/>
      <c r="V10" s="882"/>
      <c r="W10" s="882"/>
      <c r="Y10" s="159"/>
      <c r="Z10" s="882"/>
      <c r="AA10" s="882"/>
      <c r="AB10" s="882"/>
      <c r="AC10" s="882"/>
      <c r="AD10" s="882"/>
      <c r="AE10" s="882"/>
      <c r="AF10" s="36"/>
      <c r="AG10" s="882"/>
      <c r="AH10" s="882"/>
      <c r="AI10" s="882"/>
      <c r="AJ10" s="882"/>
      <c r="AK10" s="882"/>
      <c r="AL10" s="882"/>
      <c r="AM10" s="36"/>
      <c r="AN10" s="882"/>
      <c r="AO10" s="882"/>
      <c r="AP10" s="882"/>
      <c r="AQ10" s="882"/>
      <c r="AR10" s="882"/>
      <c r="AS10" s="882"/>
      <c r="AT10" s="160"/>
    </row>
    <row r="11" spans="1:242" x14ac:dyDescent="0.2">
      <c r="J11" s="56" t="s">
        <v>4</v>
      </c>
      <c r="K11" s="55">
        <v>0.13</v>
      </c>
      <c r="Y11" s="159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160"/>
    </row>
    <row r="12" spans="1:242" ht="12.75" customHeight="1" thickBot="1" x14ac:dyDescent="0.25">
      <c r="K12" s="36"/>
      <c r="L12" s="36"/>
      <c r="M12" s="935"/>
      <c r="N12" s="935"/>
      <c r="O12" s="935"/>
      <c r="P12" s="935"/>
      <c r="Q12" s="935"/>
      <c r="R12" s="935"/>
      <c r="Y12" s="159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160"/>
    </row>
    <row r="13" spans="1:242" ht="21.75" customHeight="1" x14ac:dyDescent="0.2">
      <c r="A13" s="924" t="s">
        <v>118</v>
      </c>
      <c r="B13" s="925"/>
      <c r="C13" s="928" t="s">
        <v>73</v>
      </c>
      <c r="D13" s="928" t="s">
        <v>74</v>
      </c>
      <c r="E13" s="930" t="s">
        <v>3</v>
      </c>
      <c r="F13" s="930" t="s">
        <v>82</v>
      </c>
      <c r="G13" s="932" t="s">
        <v>260</v>
      </c>
      <c r="H13" s="933"/>
      <c r="I13" s="933"/>
      <c r="J13" s="934"/>
      <c r="K13" s="919" t="s">
        <v>262</v>
      </c>
      <c r="L13" s="34"/>
      <c r="M13" s="896" t="s">
        <v>69</v>
      </c>
      <c r="N13" s="921"/>
      <c r="O13" s="884" t="s">
        <v>70</v>
      </c>
      <c r="P13" s="885"/>
      <c r="Q13" s="922" t="s">
        <v>71</v>
      </c>
      <c r="R13" s="923"/>
      <c r="S13" s="880" t="s">
        <v>138</v>
      </c>
      <c r="U13" s="915" t="s">
        <v>76</v>
      </c>
      <c r="V13" s="917" t="s">
        <v>77</v>
      </c>
      <c r="W13" s="883" t="s">
        <v>263</v>
      </c>
      <c r="Y13" s="159"/>
      <c r="Z13" s="890" t="s">
        <v>69</v>
      </c>
      <c r="AA13" s="891"/>
      <c r="AB13" s="892" t="s">
        <v>70</v>
      </c>
      <c r="AC13" s="893"/>
      <c r="AD13" s="894" t="s">
        <v>71</v>
      </c>
      <c r="AE13" s="895"/>
      <c r="AF13" s="36"/>
      <c r="AG13" s="896" t="s">
        <v>69</v>
      </c>
      <c r="AH13" s="897"/>
      <c r="AI13" s="884" t="s">
        <v>70</v>
      </c>
      <c r="AJ13" s="885"/>
      <c r="AK13" s="886" t="s">
        <v>71</v>
      </c>
      <c r="AL13" s="887"/>
      <c r="AM13" s="36"/>
      <c r="AN13" s="896" t="s">
        <v>69</v>
      </c>
      <c r="AO13" s="897"/>
      <c r="AP13" s="884" t="s">
        <v>70</v>
      </c>
      <c r="AQ13" s="885"/>
      <c r="AR13" s="886" t="s">
        <v>71</v>
      </c>
      <c r="AS13" s="887"/>
      <c r="AT13" s="160"/>
    </row>
    <row r="14" spans="1:242" s="36" customFormat="1" ht="39" thickBot="1" x14ac:dyDescent="0.25">
      <c r="A14" s="926"/>
      <c r="B14" s="927"/>
      <c r="C14" s="929"/>
      <c r="D14" s="929"/>
      <c r="E14" s="931"/>
      <c r="F14" s="931"/>
      <c r="G14" s="99" t="s">
        <v>207</v>
      </c>
      <c r="H14" s="99" t="s">
        <v>116</v>
      </c>
      <c r="I14" s="100" t="s">
        <v>117</v>
      </c>
      <c r="J14" s="101" t="s">
        <v>261</v>
      </c>
      <c r="K14" s="920"/>
      <c r="L14" s="34"/>
      <c r="M14" s="140" t="s">
        <v>36</v>
      </c>
      <c r="N14" s="142" t="s">
        <v>37</v>
      </c>
      <c r="O14" s="150" t="s">
        <v>36</v>
      </c>
      <c r="P14" s="151" t="s">
        <v>37</v>
      </c>
      <c r="Q14" s="143" t="s">
        <v>36</v>
      </c>
      <c r="R14" s="572" t="s">
        <v>37</v>
      </c>
      <c r="S14" s="881"/>
      <c r="U14" s="916"/>
      <c r="V14" s="918"/>
      <c r="W14" s="883"/>
      <c r="Y14" s="159"/>
      <c r="Z14" s="140" t="s">
        <v>36</v>
      </c>
      <c r="AA14" s="142" t="s">
        <v>37</v>
      </c>
      <c r="AB14" s="150" t="s">
        <v>36</v>
      </c>
      <c r="AC14" s="151" t="s">
        <v>37</v>
      </c>
      <c r="AD14" s="143" t="s">
        <v>36</v>
      </c>
      <c r="AE14" s="141" t="s">
        <v>37</v>
      </c>
      <c r="AG14" s="162" t="s">
        <v>36</v>
      </c>
      <c r="AH14" s="163" t="s">
        <v>37</v>
      </c>
      <c r="AI14" s="164" t="s">
        <v>36</v>
      </c>
      <c r="AJ14" s="165" t="s">
        <v>37</v>
      </c>
      <c r="AK14" s="166" t="s">
        <v>36</v>
      </c>
      <c r="AL14" s="167" t="s">
        <v>37</v>
      </c>
      <c r="AN14" s="888" t="s">
        <v>139</v>
      </c>
      <c r="AO14" s="889"/>
      <c r="AP14" s="875" t="s">
        <v>139</v>
      </c>
      <c r="AQ14" s="876"/>
      <c r="AR14" s="877" t="s">
        <v>140</v>
      </c>
      <c r="AS14" s="878"/>
      <c r="AT14" s="160"/>
    </row>
    <row r="15" spans="1:242" s="36" customFormat="1" ht="12.75" customHeight="1" thickBot="1" x14ac:dyDescent="0.25">
      <c r="A15" s="904" t="s">
        <v>135</v>
      </c>
      <c r="B15" s="907" t="s">
        <v>94</v>
      </c>
      <c r="C15" s="700" t="s">
        <v>305</v>
      </c>
      <c r="D15" s="579" t="s">
        <v>320</v>
      </c>
      <c r="E15" s="701" t="s">
        <v>321</v>
      </c>
      <c r="F15" s="702" t="s">
        <v>322</v>
      </c>
      <c r="G15" s="703">
        <f>694292*12</f>
        <v>8331504</v>
      </c>
      <c r="H15" s="703">
        <v>272746</v>
      </c>
      <c r="I15" s="704">
        <f>73174*2</f>
        <v>146348</v>
      </c>
      <c r="J15" s="105">
        <f>SUM(G15:I15)</f>
        <v>8750598</v>
      </c>
      <c r="K15" s="97">
        <f t="shared" ref="K15:K69" si="0">+J15*(1+$K$11)</f>
        <v>9888175.7399999984</v>
      </c>
      <c r="L15" s="34"/>
      <c r="M15" s="714">
        <v>0.77</v>
      </c>
      <c r="N15" s="136">
        <f t="shared" ref="N15:N61" si="1">+$K15*M15</f>
        <v>7613895.3197999988</v>
      </c>
      <c r="O15" s="714">
        <v>0.12</v>
      </c>
      <c r="P15" s="147">
        <f t="shared" ref="P15:P61" si="2">+$K15*O15</f>
        <v>1186581.0887999998</v>
      </c>
      <c r="Q15" s="716">
        <v>0.11</v>
      </c>
      <c r="R15" s="573">
        <f t="shared" ref="R15:R61" si="3">+$K15*Q15</f>
        <v>1087699.3313999998</v>
      </c>
      <c r="S15" s="576">
        <f>+M15+O15+Q15</f>
        <v>1</v>
      </c>
      <c r="U15" s="118"/>
      <c r="V15" s="115" t="s">
        <v>11</v>
      </c>
      <c r="W15" s="121">
        <f>SUM(W16,W20)</f>
        <v>49131000</v>
      </c>
      <c r="Y15" s="159"/>
      <c r="Z15" s="152">
        <f t="shared" ref="Z15:AE15" si="4">+M62</f>
        <v>0.59220408827353066</v>
      </c>
      <c r="AA15" s="154">
        <f t="shared" si="4"/>
        <v>51951252.630499996</v>
      </c>
      <c r="AB15" s="152">
        <f t="shared" si="4"/>
        <v>0.20304216716388243</v>
      </c>
      <c r="AC15" s="155">
        <f t="shared" si="4"/>
        <v>17811925.195799999</v>
      </c>
      <c r="AD15" s="153">
        <f t="shared" si="4"/>
        <v>0.20475374456258702</v>
      </c>
      <c r="AE15" s="155">
        <f t="shared" si="4"/>
        <v>17962073.753699999</v>
      </c>
      <c r="AG15" s="174">
        <f>+Z15</f>
        <v>0.59220408827353066</v>
      </c>
      <c r="AH15" s="168">
        <f>+AG15*W80</f>
        <v>38033715.365279235</v>
      </c>
      <c r="AI15" s="175">
        <f>+AB15</f>
        <v>0.20304216716388243</v>
      </c>
      <c r="AJ15" s="168">
        <f>+AI15*W80</f>
        <v>13040180.143933184</v>
      </c>
      <c r="AK15" s="176">
        <f>+AD15</f>
        <v>0.20475374456258702</v>
      </c>
      <c r="AL15" s="169">
        <f>+AK15*W80</f>
        <v>13150104.490787588</v>
      </c>
      <c r="AN15" s="873">
        <f>+AH15+AA15+K70</f>
        <v>117273115.38577923</v>
      </c>
      <c r="AO15" s="874"/>
      <c r="AP15" s="873">
        <f>+AJ15+AC15</f>
        <v>30852105.339733183</v>
      </c>
      <c r="AQ15" s="874"/>
      <c r="AR15" s="873">
        <f>+AL15+AE15</f>
        <v>31112178.244487587</v>
      </c>
      <c r="AS15" s="879"/>
      <c r="AT15" s="160"/>
    </row>
    <row r="16" spans="1:242" s="36" customFormat="1" x14ac:dyDescent="0.2">
      <c r="A16" s="905"/>
      <c r="B16" s="908"/>
      <c r="C16" s="705" t="s">
        <v>303</v>
      </c>
      <c r="D16" s="436" t="s">
        <v>323</v>
      </c>
      <c r="E16" s="706" t="s">
        <v>304</v>
      </c>
      <c r="F16" s="707" t="s">
        <v>322</v>
      </c>
      <c r="G16" s="708">
        <f>678745*12</f>
        <v>8144940</v>
      </c>
      <c r="H16" s="708">
        <v>272746</v>
      </c>
      <c r="I16" s="709">
        <f t="shared" ref="I16:I21" si="5">74515*2</f>
        <v>149030</v>
      </c>
      <c r="J16" s="106">
        <f t="shared" ref="J16:J69" si="6">SUM(G16:I16)</f>
        <v>8566716</v>
      </c>
      <c r="K16" s="98">
        <f t="shared" si="0"/>
        <v>9680389.0799999982</v>
      </c>
      <c r="L16" s="34"/>
      <c r="M16" s="715">
        <v>0.52</v>
      </c>
      <c r="N16" s="137">
        <f t="shared" si="1"/>
        <v>5033802.3215999994</v>
      </c>
      <c r="O16" s="715">
        <v>0.24</v>
      </c>
      <c r="P16" s="135">
        <f t="shared" si="2"/>
        <v>2323293.3791999994</v>
      </c>
      <c r="Q16" s="717">
        <v>0.24</v>
      </c>
      <c r="R16" s="574">
        <f t="shared" si="3"/>
        <v>2323293.3791999994</v>
      </c>
      <c r="S16" s="577">
        <f t="shared" ref="S16:S61" si="7">+M16+O16+Q16</f>
        <v>1</v>
      </c>
      <c r="U16" s="119"/>
      <c r="V16" s="116" t="s">
        <v>12</v>
      </c>
      <c r="W16" s="122">
        <f>SUM(W17:W19)</f>
        <v>25000000</v>
      </c>
      <c r="Y16" s="159"/>
      <c r="AT16" s="160"/>
    </row>
    <row r="17" spans="1:46" s="36" customFormat="1" ht="12.75" customHeight="1" x14ac:dyDescent="0.2">
      <c r="A17" s="905"/>
      <c r="B17" s="908"/>
      <c r="C17" s="705" t="s">
        <v>302</v>
      </c>
      <c r="D17" s="436" t="s">
        <v>324</v>
      </c>
      <c r="E17" s="706" t="s">
        <v>325</v>
      </c>
      <c r="F17" s="707" t="s">
        <v>322</v>
      </c>
      <c r="G17" s="708">
        <f>879867*12</f>
        <v>10558404</v>
      </c>
      <c r="H17" s="708">
        <v>272746</v>
      </c>
      <c r="I17" s="709">
        <f t="shared" si="5"/>
        <v>149030</v>
      </c>
      <c r="J17" s="106">
        <f t="shared" si="6"/>
        <v>10980180</v>
      </c>
      <c r="K17" s="98">
        <f t="shared" si="0"/>
        <v>12407603.399999999</v>
      </c>
      <c r="L17" s="34"/>
      <c r="M17" s="715">
        <v>0.47</v>
      </c>
      <c r="N17" s="137">
        <f t="shared" si="1"/>
        <v>5831573.5979999993</v>
      </c>
      <c r="O17" s="715">
        <v>0.35</v>
      </c>
      <c r="P17" s="135">
        <f t="shared" si="2"/>
        <v>4342661.1899999995</v>
      </c>
      <c r="Q17" s="717">
        <v>0.18</v>
      </c>
      <c r="R17" s="574">
        <f t="shared" si="3"/>
        <v>2233368.6119999997</v>
      </c>
      <c r="S17" s="577">
        <f t="shared" si="7"/>
        <v>1</v>
      </c>
      <c r="U17" s="120">
        <v>53103050000000</v>
      </c>
      <c r="V17" s="117" t="s">
        <v>13</v>
      </c>
      <c r="W17" s="123"/>
      <c r="Y17" s="159"/>
      <c r="AT17" s="160"/>
    </row>
    <row r="18" spans="1:46" s="36" customFormat="1" ht="13.5" customHeight="1" thickBot="1" x14ac:dyDescent="0.25">
      <c r="A18" s="905"/>
      <c r="B18" s="908"/>
      <c r="C18" s="705" t="s">
        <v>326</v>
      </c>
      <c r="D18" s="436" t="s">
        <v>327</v>
      </c>
      <c r="E18" s="706" t="s">
        <v>328</v>
      </c>
      <c r="F18" s="707" t="s">
        <v>322</v>
      </c>
      <c r="G18" s="708">
        <f>1023734*12</f>
        <v>12284808</v>
      </c>
      <c r="H18" s="708">
        <v>272746</v>
      </c>
      <c r="I18" s="709">
        <f t="shared" si="5"/>
        <v>149030</v>
      </c>
      <c r="J18" s="106">
        <f t="shared" si="6"/>
        <v>12706584</v>
      </c>
      <c r="K18" s="98">
        <f t="shared" si="0"/>
        <v>14358439.919999998</v>
      </c>
      <c r="L18" s="34"/>
      <c r="M18" s="715">
        <v>0.61</v>
      </c>
      <c r="N18" s="137">
        <f t="shared" si="1"/>
        <v>8758648.3511999995</v>
      </c>
      <c r="O18" s="715">
        <v>0.08</v>
      </c>
      <c r="P18" s="135">
        <f t="shared" si="2"/>
        <v>1148675.1935999999</v>
      </c>
      <c r="Q18" s="717">
        <v>0.31</v>
      </c>
      <c r="R18" s="574">
        <f t="shared" si="3"/>
        <v>4451116.3751999997</v>
      </c>
      <c r="S18" s="577">
        <f t="shared" si="7"/>
        <v>1</v>
      </c>
      <c r="U18" s="120">
        <v>53103060000000</v>
      </c>
      <c r="V18" s="117" t="s">
        <v>14</v>
      </c>
      <c r="W18" s="123">
        <v>0</v>
      </c>
      <c r="Y18" s="170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2"/>
    </row>
    <row r="19" spans="1:46" s="36" customFormat="1" x14ac:dyDescent="0.2">
      <c r="A19" s="905"/>
      <c r="B19" s="908"/>
      <c r="C19" s="705" t="s">
        <v>306</v>
      </c>
      <c r="D19" s="436" t="s">
        <v>329</v>
      </c>
      <c r="E19" s="706" t="s">
        <v>307</v>
      </c>
      <c r="F19" s="707" t="s">
        <v>322</v>
      </c>
      <c r="G19" s="708">
        <v>1162665</v>
      </c>
      <c r="H19" s="708">
        <v>151001</v>
      </c>
      <c r="I19" s="709">
        <f t="shared" si="5"/>
        <v>149030</v>
      </c>
      <c r="J19" s="106">
        <f t="shared" si="6"/>
        <v>1462696</v>
      </c>
      <c r="K19" s="98">
        <f t="shared" si="0"/>
        <v>1652846.4799999997</v>
      </c>
      <c r="L19" s="34"/>
      <c r="M19" s="715">
        <v>0.66</v>
      </c>
      <c r="N19" s="137">
        <f t="shared" si="1"/>
        <v>1090878.6767999998</v>
      </c>
      <c r="O19" s="715">
        <v>0.17</v>
      </c>
      <c r="P19" s="135">
        <f t="shared" si="2"/>
        <v>280983.90159999998</v>
      </c>
      <c r="Q19" s="717">
        <v>0.17</v>
      </c>
      <c r="R19" s="574">
        <f t="shared" si="3"/>
        <v>280983.90159999998</v>
      </c>
      <c r="S19" s="577">
        <f t="shared" si="7"/>
        <v>1</v>
      </c>
      <c r="U19" s="120">
        <v>53103080010000</v>
      </c>
      <c r="V19" s="117" t="s">
        <v>15</v>
      </c>
      <c r="W19" s="718">
        <v>25000000</v>
      </c>
    </row>
    <row r="20" spans="1:46" s="36" customFormat="1" x14ac:dyDescent="0.2">
      <c r="A20" s="905"/>
      <c r="B20" s="908"/>
      <c r="C20" s="705" t="s">
        <v>330</v>
      </c>
      <c r="D20" s="436" t="s">
        <v>331</v>
      </c>
      <c r="E20" s="706" t="s">
        <v>332</v>
      </c>
      <c r="F20" s="707" t="s">
        <v>322</v>
      </c>
      <c r="G20" s="708">
        <f>603213*12</f>
        <v>7238556</v>
      </c>
      <c r="H20" s="708">
        <v>272746</v>
      </c>
      <c r="I20" s="709">
        <f t="shared" si="5"/>
        <v>149030</v>
      </c>
      <c r="J20" s="106">
        <f t="shared" si="6"/>
        <v>7660332</v>
      </c>
      <c r="K20" s="98">
        <f t="shared" si="0"/>
        <v>8656175.1599999983</v>
      </c>
      <c r="L20" s="34"/>
      <c r="M20" s="715">
        <v>0.6</v>
      </c>
      <c r="N20" s="137">
        <f t="shared" si="1"/>
        <v>5193705.095999999</v>
      </c>
      <c r="O20" s="715">
        <v>0.12</v>
      </c>
      <c r="P20" s="135">
        <f t="shared" si="2"/>
        <v>1038741.0191999997</v>
      </c>
      <c r="Q20" s="717">
        <v>0.28000000000000003</v>
      </c>
      <c r="R20" s="574">
        <f t="shared" si="3"/>
        <v>2423729.0447999998</v>
      </c>
      <c r="S20" s="577">
        <f t="shared" si="7"/>
        <v>1</v>
      </c>
      <c r="U20" s="119"/>
      <c r="V20" s="116" t="s">
        <v>16</v>
      </c>
      <c r="W20" s="173">
        <f>SUM(W21:W39)</f>
        <v>24131000</v>
      </c>
    </row>
    <row r="21" spans="1:46" s="36" customFormat="1" x14ac:dyDescent="0.2">
      <c r="A21" s="905"/>
      <c r="B21" s="908"/>
      <c r="C21" s="705" t="s">
        <v>333</v>
      </c>
      <c r="D21" s="436" t="s">
        <v>333</v>
      </c>
      <c r="E21" s="706" t="s">
        <v>301</v>
      </c>
      <c r="F21" s="707" t="s">
        <v>334</v>
      </c>
      <c r="G21" s="708">
        <f>603213*12</f>
        <v>7238556</v>
      </c>
      <c r="H21" s="708">
        <v>272747</v>
      </c>
      <c r="I21" s="709">
        <f t="shared" si="5"/>
        <v>149030</v>
      </c>
      <c r="J21" s="106">
        <f t="shared" si="6"/>
        <v>7660333</v>
      </c>
      <c r="K21" s="98">
        <f t="shared" si="0"/>
        <v>8656176.2899999991</v>
      </c>
      <c r="L21" s="34"/>
      <c r="M21" s="715">
        <v>0.73</v>
      </c>
      <c r="N21" s="137">
        <f t="shared" si="1"/>
        <v>6319008.6916999994</v>
      </c>
      <c r="O21" s="715">
        <v>0.14000000000000001</v>
      </c>
      <c r="P21" s="135">
        <f t="shared" si="2"/>
        <v>1211864.6806000001</v>
      </c>
      <c r="Q21" s="717">
        <v>0.13</v>
      </c>
      <c r="R21" s="574">
        <f t="shared" si="3"/>
        <v>1125302.9176999999</v>
      </c>
      <c r="S21" s="577">
        <f t="shared" si="7"/>
        <v>1</v>
      </c>
      <c r="U21" s="120">
        <v>53201010100000</v>
      </c>
      <c r="V21" s="117" t="s">
        <v>17</v>
      </c>
      <c r="W21" s="718">
        <v>8182000</v>
      </c>
    </row>
    <row r="22" spans="1:46" s="36" customFormat="1" x14ac:dyDescent="0.2">
      <c r="A22" s="905"/>
      <c r="B22" s="908"/>
      <c r="C22" s="581"/>
      <c r="D22" s="371"/>
      <c r="E22" s="372"/>
      <c r="F22" s="683"/>
      <c r="G22" s="387"/>
      <c r="H22" s="684"/>
      <c r="I22" s="684"/>
      <c r="J22" s="106">
        <f t="shared" si="6"/>
        <v>0</v>
      </c>
      <c r="K22" s="98">
        <f t="shared" si="0"/>
        <v>0</v>
      </c>
      <c r="L22" s="34"/>
      <c r="M22" s="134">
        <v>0</v>
      </c>
      <c r="N22" s="137">
        <f t="shared" si="1"/>
        <v>0</v>
      </c>
      <c r="O22" s="134">
        <v>0</v>
      </c>
      <c r="P22" s="135">
        <f t="shared" si="2"/>
        <v>0</v>
      </c>
      <c r="Q22" s="145">
        <v>0</v>
      </c>
      <c r="R22" s="574">
        <f t="shared" si="3"/>
        <v>0</v>
      </c>
      <c r="S22" s="577">
        <f t="shared" si="7"/>
        <v>0</v>
      </c>
      <c r="U22" s="120">
        <v>53202010100000</v>
      </c>
      <c r="V22" s="117" t="s">
        <v>18</v>
      </c>
      <c r="W22" s="718">
        <v>0</v>
      </c>
    </row>
    <row r="23" spans="1:46" s="36" customFormat="1" x14ac:dyDescent="0.2">
      <c r="A23" s="905"/>
      <c r="B23" s="908"/>
      <c r="C23" s="63"/>
      <c r="D23" s="93"/>
      <c r="E23" s="94"/>
      <c r="F23" s="95"/>
      <c r="G23" s="83">
        <v>0</v>
      </c>
      <c r="H23" s="83">
        <v>0</v>
      </c>
      <c r="I23" s="103">
        <v>0</v>
      </c>
      <c r="J23" s="106">
        <f t="shared" si="6"/>
        <v>0</v>
      </c>
      <c r="K23" s="98">
        <f t="shared" si="0"/>
        <v>0</v>
      </c>
      <c r="L23" s="34"/>
      <c r="M23" s="134">
        <v>0</v>
      </c>
      <c r="N23" s="137">
        <f t="shared" si="1"/>
        <v>0</v>
      </c>
      <c r="O23" s="134">
        <v>0</v>
      </c>
      <c r="P23" s="135">
        <f t="shared" si="2"/>
        <v>0</v>
      </c>
      <c r="Q23" s="145">
        <v>0</v>
      </c>
      <c r="R23" s="574">
        <f t="shared" si="3"/>
        <v>0</v>
      </c>
      <c r="S23" s="577">
        <f t="shared" si="7"/>
        <v>0</v>
      </c>
      <c r="U23" s="120">
        <v>53203010100000</v>
      </c>
      <c r="V23" s="117" t="s">
        <v>19</v>
      </c>
      <c r="W23" s="718">
        <v>4657000</v>
      </c>
    </row>
    <row r="24" spans="1:46" s="36" customFormat="1" ht="13.5" thickBot="1" x14ac:dyDescent="0.25">
      <c r="A24" s="905"/>
      <c r="B24" s="909"/>
      <c r="C24" s="113"/>
      <c r="D24" s="84"/>
      <c r="E24" s="85"/>
      <c r="F24" s="86"/>
      <c r="G24" s="87">
        <v>0</v>
      </c>
      <c r="H24" s="87">
        <v>0</v>
      </c>
      <c r="I24" s="104">
        <v>0</v>
      </c>
      <c r="J24" s="107">
        <f t="shared" si="6"/>
        <v>0</v>
      </c>
      <c r="K24" s="96">
        <f t="shared" si="0"/>
        <v>0</v>
      </c>
      <c r="L24" s="34"/>
      <c r="M24" s="139">
        <v>0</v>
      </c>
      <c r="N24" s="138">
        <f t="shared" si="1"/>
        <v>0</v>
      </c>
      <c r="O24" s="139">
        <v>0</v>
      </c>
      <c r="P24" s="148">
        <f t="shared" si="2"/>
        <v>0</v>
      </c>
      <c r="Q24" s="146">
        <v>0</v>
      </c>
      <c r="R24" s="138">
        <f t="shared" si="3"/>
        <v>0</v>
      </c>
      <c r="S24" s="578">
        <f t="shared" si="7"/>
        <v>0</v>
      </c>
      <c r="U24" s="120">
        <v>53203030000000</v>
      </c>
      <c r="V24" s="117" t="s">
        <v>20</v>
      </c>
      <c r="W24" s="718">
        <v>0</v>
      </c>
    </row>
    <row r="25" spans="1:46" s="36" customFormat="1" ht="12.75" customHeight="1" x14ac:dyDescent="0.2">
      <c r="A25" s="905"/>
      <c r="B25" s="907" t="s">
        <v>93</v>
      </c>
      <c r="C25" s="700" t="s">
        <v>308</v>
      </c>
      <c r="D25" s="579" t="s">
        <v>335</v>
      </c>
      <c r="E25" s="701" t="s">
        <v>309</v>
      </c>
      <c r="F25" s="702" t="s">
        <v>322</v>
      </c>
      <c r="G25" s="703">
        <f>1629074*12</f>
        <v>19548888</v>
      </c>
      <c r="H25" s="703">
        <v>151001</v>
      </c>
      <c r="I25" s="704">
        <f>72819*2</f>
        <v>145638</v>
      </c>
      <c r="J25" s="105">
        <f t="shared" si="6"/>
        <v>19845527</v>
      </c>
      <c r="K25" s="97">
        <f t="shared" si="0"/>
        <v>22425445.509999998</v>
      </c>
      <c r="L25" s="34"/>
      <c r="M25" s="714">
        <v>0.54</v>
      </c>
      <c r="N25" s="136">
        <f t="shared" si="1"/>
        <v>12109740.5754</v>
      </c>
      <c r="O25" s="714">
        <v>0.28000000000000003</v>
      </c>
      <c r="P25" s="147">
        <f t="shared" si="2"/>
        <v>6279124.7428000001</v>
      </c>
      <c r="Q25" s="716">
        <v>0.18</v>
      </c>
      <c r="R25" s="573">
        <f t="shared" si="3"/>
        <v>4036580.1917999997</v>
      </c>
      <c r="S25" s="576">
        <f t="shared" si="7"/>
        <v>1</v>
      </c>
      <c r="U25" s="120">
        <v>53204030000000</v>
      </c>
      <c r="V25" s="117" t="s">
        <v>21</v>
      </c>
      <c r="W25" s="718">
        <v>0</v>
      </c>
      <c r="AG25" s="27"/>
    </row>
    <row r="26" spans="1:46" s="36" customFormat="1" ht="12.75" customHeight="1" x14ac:dyDescent="0.2">
      <c r="A26" s="905"/>
      <c r="B26" s="908"/>
      <c r="C26" s="370"/>
      <c r="D26" s="371"/>
      <c r="E26" s="372"/>
      <c r="F26" s="373"/>
      <c r="G26" s="83">
        <v>0</v>
      </c>
      <c r="H26" s="83">
        <v>0</v>
      </c>
      <c r="I26" s="103">
        <v>0</v>
      </c>
      <c r="J26" s="106">
        <f t="shared" si="6"/>
        <v>0</v>
      </c>
      <c r="K26" s="98">
        <f t="shared" si="0"/>
        <v>0</v>
      </c>
      <c r="L26" s="34"/>
      <c r="M26" s="134">
        <v>0</v>
      </c>
      <c r="N26" s="137">
        <f t="shared" si="1"/>
        <v>0</v>
      </c>
      <c r="O26" s="134">
        <v>0</v>
      </c>
      <c r="P26" s="135">
        <f t="shared" si="2"/>
        <v>0</v>
      </c>
      <c r="Q26" s="145">
        <v>0</v>
      </c>
      <c r="R26" s="574">
        <f t="shared" si="3"/>
        <v>0</v>
      </c>
      <c r="S26" s="577">
        <f t="shared" si="7"/>
        <v>0</v>
      </c>
      <c r="U26" s="120">
        <v>53204100100001</v>
      </c>
      <c r="V26" s="117" t="s">
        <v>22</v>
      </c>
      <c r="W26" s="718">
        <v>1844000</v>
      </c>
      <c r="AG26" s="27"/>
    </row>
    <row r="27" spans="1:46" s="36" customFormat="1" ht="12.75" customHeight="1" x14ac:dyDescent="0.2">
      <c r="A27" s="905"/>
      <c r="B27" s="908"/>
      <c r="C27" s="370"/>
      <c r="D27" s="371"/>
      <c r="E27" s="372"/>
      <c r="F27" s="373"/>
      <c r="G27" s="83">
        <v>0</v>
      </c>
      <c r="H27" s="83">
        <v>0</v>
      </c>
      <c r="I27" s="103">
        <v>0</v>
      </c>
      <c r="J27" s="106">
        <f t="shared" si="6"/>
        <v>0</v>
      </c>
      <c r="K27" s="98">
        <f t="shared" si="0"/>
        <v>0</v>
      </c>
      <c r="L27" s="34"/>
      <c r="M27" s="134">
        <v>0</v>
      </c>
      <c r="N27" s="137">
        <f t="shared" si="1"/>
        <v>0</v>
      </c>
      <c r="O27" s="134">
        <v>0</v>
      </c>
      <c r="P27" s="135">
        <f t="shared" si="2"/>
        <v>0</v>
      </c>
      <c r="Q27" s="145">
        <v>0</v>
      </c>
      <c r="R27" s="574">
        <f t="shared" si="3"/>
        <v>0</v>
      </c>
      <c r="S27" s="577">
        <f t="shared" si="7"/>
        <v>0</v>
      </c>
      <c r="U27" s="120">
        <v>53204130100000</v>
      </c>
      <c r="V27" s="117" t="s">
        <v>23</v>
      </c>
      <c r="W27" s="718">
        <v>0</v>
      </c>
      <c r="AG27" s="27"/>
    </row>
    <row r="28" spans="1:46" s="36" customFormat="1" ht="12.75" customHeight="1" x14ac:dyDescent="0.2">
      <c r="A28" s="905"/>
      <c r="B28" s="908"/>
      <c r="C28" s="370"/>
      <c r="D28" s="371"/>
      <c r="E28" s="372"/>
      <c r="F28" s="373"/>
      <c r="G28" s="83">
        <v>0</v>
      </c>
      <c r="H28" s="83">
        <v>0</v>
      </c>
      <c r="I28" s="103">
        <v>0</v>
      </c>
      <c r="J28" s="106">
        <f t="shared" si="6"/>
        <v>0</v>
      </c>
      <c r="K28" s="98">
        <f t="shared" si="0"/>
        <v>0</v>
      </c>
      <c r="L28" s="34"/>
      <c r="M28" s="134">
        <v>0</v>
      </c>
      <c r="N28" s="137">
        <f t="shared" si="1"/>
        <v>0</v>
      </c>
      <c r="O28" s="134">
        <v>0</v>
      </c>
      <c r="P28" s="135">
        <f t="shared" si="2"/>
        <v>0</v>
      </c>
      <c r="Q28" s="145">
        <v>0</v>
      </c>
      <c r="R28" s="574">
        <f t="shared" si="3"/>
        <v>0</v>
      </c>
      <c r="S28" s="577">
        <f t="shared" si="7"/>
        <v>0</v>
      </c>
      <c r="U28" s="120">
        <v>53205010100000</v>
      </c>
      <c r="V28" s="117" t="s">
        <v>24</v>
      </c>
      <c r="W28" s="718">
        <v>0</v>
      </c>
      <c r="AG28" s="27"/>
    </row>
    <row r="29" spans="1:46" s="36" customFormat="1" ht="12.75" customHeight="1" x14ac:dyDescent="0.2">
      <c r="A29" s="905"/>
      <c r="B29" s="908"/>
      <c r="C29" s="370"/>
      <c r="D29" s="371"/>
      <c r="E29" s="372"/>
      <c r="F29" s="373"/>
      <c r="G29" s="83">
        <v>0</v>
      </c>
      <c r="H29" s="83">
        <v>0</v>
      </c>
      <c r="I29" s="103">
        <v>0</v>
      </c>
      <c r="J29" s="106">
        <f t="shared" si="6"/>
        <v>0</v>
      </c>
      <c r="K29" s="98">
        <f t="shared" si="0"/>
        <v>0</v>
      </c>
      <c r="L29" s="34"/>
      <c r="M29" s="134">
        <v>0</v>
      </c>
      <c r="N29" s="137">
        <f t="shared" si="1"/>
        <v>0</v>
      </c>
      <c r="O29" s="134">
        <v>0</v>
      </c>
      <c r="P29" s="135">
        <f t="shared" si="2"/>
        <v>0</v>
      </c>
      <c r="Q29" s="145">
        <v>0</v>
      </c>
      <c r="R29" s="574">
        <f t="shared" si="3"/>
        <v>0</v>
      </c>
      <c r="S29" s="577">
        <f t="shared" si="7"/>
        <v>0</v>
      </c>
      <c r="U29" s="120">
        <v>53205020100000</v>
      </c>
      <c r="V29" s="117" t="s">
        <v>25</v>
      </c>
      <c r="W29" s="718">
        <v>0</v>
      </c>
      <c r="AG29" s="27"/>
    </row>
    <row r="30" spans="1:46" s="36" customFormat="1" ht="12.75" customHeight="1" x14ac:dyDescent="0.2">
      <c r="A30" s="905"/>
      <c r="B30" s="908"/>
      <c r="C30" s="370"/>
      <c r="D30" s="371"/>
      <c r="E30" s="372"/>
      <c r="F30" s="373"/>
      <c r="G30" s="83">
        <v>0</v>
      </c>
      <c r="H30" s="83">
        <v>0</v>
      </c>
      <c r="I30" s="103">
        <v>0</v>
      </c>
      <c r="J30" s="106">
        <f t="shared" si="6"/>
        <v>0</v>
      </c>
      <c r="K30" s="98">
        <f t="shared" si="0"/>
        <v>0</v>
      </c>
      <c r="L30" s="34"/>
      <c r="M30" s="134">
        <v>0</v>
      </c>
      <c r="N30" s="137">
        <f t="shared" si="1"/>
        <v>0</v>
      </c>
      <c r="O30" s="134">
        <v>0</v>
      </c>
      <c r="P30" s="135">
        <f t="shared" si="2"/>
        <v>0</v>
      </c>
      <c r="Q30" s="145">
        <v>0</v>
      </c>
      <c r="R30" s="574">
        <f t="shared" si="3"/>
        <v>0</v>
      </c>
      <c r="S30" s="577">
        <f t="shared" si="7"/>
        <v>0</v>
      </c>
      <c r="U30" s="120">
        <v>53205030100000</v>
      </c>
      <c r="V30" s="117" t="s">
        <v>26</v>
      </c>
      <c r="W30" s="718">
        <v>0</v>
      </c>
      <c r="AG30" s="27"/>
    </row>
    <row r="31" spans="1:46" s="36" customFormat="1" ht="12.75" customHeight="1" x14ac:dyDescent="0.2">
      <c r="A31" s="905"/>
      <c r="B31" s="908"/>
      <c r="C31" s="370"/>
      <c r="D31" s="371"/>
      <c r="E31" s="372"/>
      <c r="F31" s="373"/>
      <c r="G31" s="83">
        <v>0</v>
      </c>
      <c r="H31" s="83">
        <v>0</v>
      </c>
      <c r="I31" s="103">
        <v>0</v>
      </c>
      <c r="J31" s="106">
        <f t="shared" si="6"/>
        <v>0</v>
      </c>
      <c r="K31" s="98">
        <f t="shared" si="0"/>
        <v>0</v>
      </c>
      <c r="L31" s="34"/>
      <c r="M31" s="134">
        <v>0</v>
      </c>
      <c r="N31" s="137">
        <f t="shared" si="1"/>
        <v>0</v>
      </c>
      <c r="O31" s="134">
        <v>0</v>
      </c>
      <c r="P31" s="135">
        <f t="shared" si="2"/>
        <v>0</v>
      </c>
      <c r="Q31" s="145">
        <v>0</v>
      </c>
      <c r="R31" s="574">
        <f t="shared" si="3"/>
        <v>0</v>
      </c>
      <c r="S31" s="577">
        <f t="shared" si="7"/>
        <v>0</v>
      </c>
      <c r="U31" s="120">
        <v>53205050100000</v>
      </c>
      <c r="V31" s="117" t="s">
        <v>27</v>
      </c>
      <c r="W31" s="718">
        <v>734000</v>
      </c>
      <c r="AG31" s="27"/>
    </row>
    <row r="32" spans="1:46" s="36" customFormat="1" ht="12.75" customHeight="1" x14ac:dyDescent="0.2">
      <c r="A32" s="905"/>
      <c r="B32" s="908"/>
      <c r="C32" s="370"/>
      <c r="D32" s="371"/>
      <c r="E32" s="372"/>
      <c r="F32" s="373"/>
      <c r="G32" s="83">
        <v>0</v>
      </c>
      <c r="H32" s="83">
        <v>0</v>
      </c>
      <c r="I32" s="103">
        <v>0</v>
      </c>
      <c r="J32" s="106">
        <f t="shared" si="6"/>
        <v>0</v>
      </c>
      <c r="K32" s="98">
        <f t="shared" si="0"/>
        <v>0</v>
      </c>
      <c r="L32" s="34"/>
      <c r="M32" s="134">
        <v>0</v>
      </c>
      <c r="N32" s="137">
        <f t="shared" si="1"/>
        <v>0</v>
      </c>
      <c r="O32" s="134">
        <v>0</v>
      </c>
      <c r="P32" s="135">
        <f t="shared" si="2"/>
        <v>0</v>
      </c>
      <c r="Q32" s="145">
        <v>0</v>
      </c>
      <c r="R32" s="574">
        <f t="shared" si="3"/>
        <v>0</v>
      </c>
      <c r="S32" s="577">
        <f t="shared" si="7"/>
        <v>0</v>
      </c>
      <c r="U32" s="120">
        <v>53205060100000</v>
      </c>
      <c r="V32" s="117" t="s">
        <v>28</v>
      </c>
      <c r="W32" s="718">
        <v>309000</v>
      </c>
      <c r="AG32" s="27"/>
    </row>
    <row r="33" spans="1:33" s="36" customFormat="1" ht="12.75" customHeight="1" x14ac:dyDescent="0.2">
      <c r="A33" s="905"/>
      <c r="B33" s="908"/>
      <c r="C33" s="370"/>
      <c r="D33" s="371"/>
      <c r="E33" s="372"/>
      <c r="F33" s="373"/>
      <c r="G33" s="83">
        <v>0</v>
      </c>
      <c r="H33" s="83">
        <v>0</v>
      </c>
      <c r="I33" s="103">
        <v>0</v>
      </c>
      <c r="J33" s="106">
        <f t="shared" si="6"/>
        <v>0</v>
      </c>
      <c r="K33" s="98">
        <f t="shared" si="0"/>
        <v>0</v>
      </c>
      <c r="L33" s="34"/>
      <c r="M33" s="134">
        <v>0</v>
      </c>
      <c r="N33" s="137">
        <f t="shared" si="1"/>
        <v>0</v>
      </c>
      <c r="O33" s="134">
        <v>0</v>
      </c>
      <c r="P33" s="135">
        <f t="shared" si="2"/>
        <v>0</v>
      </c>
      <c r="Q33" s="145">
        <v>0</v>
      </c>
      <c r="R33" s="574">
        <f t="shared" si="3"/>
        <v>0</v>
      </c>
      <c r="S33" s="577">
        <f t="shared" si="7"/>
        <v>0</v>
      </c>
      <c r="U33" s="120">
        <v>53205070100000</v>
      </c>
      <c r="V33" s="117" t="s">
        <v>29</v>
      </c>
      <c r="W33" s="718">
        <v>0</v>
      </c>
      <c r="AG33" s="27"/>
    </row>
    <row r="34" spans="1:33" s="36" customFormat="1" ht="12.75" customHeight="1" thickBot="1" x14ac:dyDescent="0.25">
      <c r="A34" s="905"/>
      <c r="B34" s="909"/>
      <c r="C34" s="374"/>
      <c r="D34" s="178"/>
      <c r="E34" s="375"/>
      <c r="F34" s="376"/>
      <c r="G34" s="87">
        <v>0</v>
      </c>
      <c r="H34" s="87">
        <v>0</v>
      </c>
      <c r="I34" s="104">
        <v>0</v>
      </c>
      <c r="J34" s="107">
        <f t="shared" si="6"/>
        <v>0</v>
      </c>
      <c r="K34" s="96">
        <f t="shared" si="0"/>
        <v>0</v>
      </c>
      <c r="L34" s="34"/>
      <c r="M34" s="139">
        <v>0</v>
      </c>
      <c r="N34" s="138">
        <f t="shared" si="1"/>
        <v>0</v>
      </c>
      <c r="O34" s="139">
        <v>0</v>
      </c>
      <c r="P34" s="148">
        <f t="shared" si="2"/>
        <v>0</v>
      </c>
      <c r="Q34" s="146">
        <v>0</v>
      </c>
      <c r="R34" s="138">
        <f t="shared" si="3"/>
        <v>0</v>
      </c>
      <c r="S34" s="578">
        <f t="shared" si="7"/>
        <v>0</v>
      </c>
      <c r="U34" s="120">
        <v>53208010100000</v>
      </c>
      <c r="V34" s="117" t="s">
        <v>30</v>
      </c>
      <c r="W34" s="718">
        <v>1119500</v>
      </c>
      <c r="AG34" s="27"/>
    </row>
    <row r="35" spans="1:33" s="36" customFormat="1" ht="12.75" customHeight="1" x14ac:dyDescent="0.2">
      <c r="A35" s="905"/>
      <c r="B35" s="907" t="s">
        <v>92</v>
      </c>
      <c r="C35" s="366"/>
      <c r="D35" s="367"/>
      <c r="E35" s="368"/>
      <c r="F35" s="369"/>
      <c r="G35" s="82">
        <v>0</v>
      </c>
      <c r="H35" s="82">
        <v>0</v>
      </c>
      <c r="I35" s="102">
        <v>0</v>
      </c>
      <c r="J35" s="105">
        <f t="shared" si="6"/>
        <v>0</v>
      </c>
      <c r="K35" s="97">
        <f t="shared" si="0"/>
        <v>0</v>
      </c>
      <c r="L35" s="34"/>
      <c r="M35" s="127">
        <v>0</v>
      </c>
      <c r="N35" s="136">
        <f t="shared" si="1"/>
        <v>0</v>
      </c>
      <c r="O35" s="127">
        <v>0</v>
      </c>
      <c r="P35" s="147">
        <f t="shared" si="2"/>
        <v>0</v>
      </c>
      <c r="Q35" s="144">
        <v>0</v>
      </c>
      <c r="R35" s="573">
        <f t="shared" si="3"/>
        <v>0</v>
      </c>
      <c r="S35" s="576">
        <f t="shared" si="7"/>
        <v>0</v>
      </c>
      <c r="U35" s="120">
        <v>53208070100001</v>
      </c>
      <c r="V35" s="117" t="s">
        <v>31</v>
      </c>
      <c r="W35" s="718">
        <v>643500</v>
      </c>
      <c r="AG35" s="27"/>
    </row>
    <row r="36" spans="1:33" s="36" customFormat="1" ht="12.75" customHeight="1" x14ac:dyDescent="0.2">
      <c r="A36" s="905"/>
      <c r="B36" s="908"/>
      <c r="C36" s="370"/>
      <c r="D36" s="371"/>
      <c r="E36" s="372"/>
      <c r="F36" s="373"/>
      <c r="G36" s="83">
        <v>0</v>
      </c>
      <c r="H36" s="83">
        <v>0</v>
      </c>
      <c r="I36" s="103">
        <v>0</v>
      </c>
      <c r="J36" s="106">
        <f t="shared" si="6"/>
        <v>0</v>
      </c>
      <c r="K36" s="98">
        <f t="shared" si="0"/>
        <v>0</v>
      </c>
      <c r="L36" s="34"/>
      <c r="M36" s="134">
        <v>0</v>
      </c>
      <c r="N36" s="137">
        <f t="shared" si="1"/>
        <v>0</v>
      </c>
      <c r="O36" s="134">
        <v>0</v>
      </c>
      <c r="P36" s="135">
        <f t="shared" si="2"/>
        <v>0</v>
      </c>
      <c r="Q36" s="145">
        <v>0</v>
      </c>
      <c r="R36" s="574">
        <f t="shared" si="3"/>
        <v>0</v>
      </c>
      <c r="S36" s="577">
        <f t="shared" si="7"/>
        <v>0</v>
      </c>
      <c r="U36" s="120">
        <v>53208100100001</v>
      </c>
      <c r="V36" s="117" t="s">
        <v>129</v>
      </c>
      <c r="W36" s="718">
        <v>0</v>
      </c>
      <c r="AG36" s="27"/>
    </row>
    <row r="37" spans="1:33" s="36" customFormat="1" ht="12.75" customHeight="1" x14ac:dyDescent="0.2">
      <c r="A37" s="905"/>
      <c r="B37" s="908"/>
      <c r="C37" s="370"/>
      <c r="D37" s="371"/>
      <c r="E37" s="372"/>
      <c r="F37" s="373"/>
      <c r="G37" s="83">
        <v>0</v>
      </c>
      <c r="H37" s="83">
        <v>0</v>
      </c>
      <c r="I37" s="103">
        <v>0</v>
      </c>
      <c r="J37" s="106">
        <f t="shared" si="6"/>
        <v>0</v>
      </c>
      <c r="K37" s="98">
        <f t="shared" si="0"/>
        <v>0</v>
      </c>
      <c r="L37" s="34"/>
      <c r="M37" s="134">
        <v>0</v>
      </c>
      <c r="N37" s="137">
        <f t="shared" si="1"/>
        <v>0</v>
      </c>
      <c r="O37" s="134">
        <v>0</v>
      </c>
      <c r="P37" s="135">
        <f t="shared" si="2"/>
        <v>0</v>
      </c>
      <c r="Q37" s="145">
        <v>0</v>
      </c>
      <c r="R37" s="574">
        <f t="shared" si="3"/>
        <v>0</v>
      </c>
      <c r="S37" s="577">
        <f t="shared" si="7"/>
        <v>0</v>
      </c>
      <c r="U37" s="120">
        <v>53211030000000</v>
      </c>
      <c r="V37" s="117" t="s">
        <v>32</v>
      </c>
      <c r="W37" s="718">
        <v>0</v>
      </c>
      <c r="AG37" s="27"/>
    </row>
    <row r="38" spans="1:33" s="36" customFormat="1" ht="12.75" customHeight="1" x14ac:dyDescent="0.2">
      <c r="A38" s="905"/>
      <c r="B38" s="908"/>
      <c r="C38" s="370"/>
      <c r="D38" s="371"/>
      <c r="E38" s="372"/>
      <c r="F38" s="373"/>
      <c r="G38" s="83">
        <v>0</v>
      </c>
      <c r="H38" s="83">
        <v>0</v>
      </c>
      <c r="I38" s="103">
        <v>0</v>
      </c>
      <c r="J38" s="106">
        <f t="shared" si="6"/>
        <v>0</v>
      </c>
      <c r="K38" s="98">
        <f t="shared" si="0"/>
        <v>0</v>
      </c>
      <c r="L38" s="34"/>
      <c r="M38" s="134">
        <v>0</v>
      </c>
      <c r="N38" s="137">
        <f t="shared" si="1"/>
        <v>0</v>
      </c>
      <c r="O38" s="134">
        <v>0</v>
      </c>
      <c r="P38" s="135">
        <f t="shared" si="2"/>
        <v>0</v>
      </c>
      <c r="Q38" s="145">
        <v>0</v>
      </c>
      <c r="R38" s="574">
        <f t="shared" si="3"/>
        <v>0</v>
      </c>
      <c r="S38" s="577">
        <f t="shared" si="7"/>
        <v>0</v>
      </c>
      <c r="U38" s="120">
        <v>53212020100000</v>
      </c>
      <c r="V38" s="117" t="s">
        <v>99</v>
      </c>
      <c r="W38" s="718">
        <v>6642000</v>
      </c>
      <c r="AG38" s="27"/>
    </row>
    <row r="39" spans="1:33" s="36" customFormat="1" ht="12.75" customHeight="1" thickBot="1" x14ac:dyDescent="0.25">
      <c r="A39" s="905"/>
      <c r="B39" s="909"/>
      <c r="C39" s="374"/>
      <c r="D39" s="178"/>
      <c r="E39" s="375"/>
      <c r="F39" s="376"/>
      <c r="G39" s="87">
        <v>0</v>
      </c>
      <c r="H39" s="87">
        <v>0</v>
      </c>
      <c r="I39" s="104">
        <v>0</v>
      </c>
      <c r="J39" s="107">
        <f t="shared" si="6"/>
        <v>0</v>
      </c>
      <c r="K39" s="96">
        <f t="shared" si="0"/>
        <v>0</v>
      </c>
      <c r="L39" s="34"/>
      <c r="M39" s="139">
        <v>0</v>
      </c>
      <c r="N39" s="138">
        <f t="shared" si="1"/>
        <v>0</v>
      </c>
      <c r="O39" s="139">
        <v>0</v>
      </c>
      <c r="P39" s="148">
        <f t="shared" si="2"/>
        <v>0</v>
      </c>
      <c r="Q39" s="146">
        <v>0</v>
      </c>
      <c r="R39" s="138">
        <f t="shared" si="3"/>
        <v>0</v>
      </c>
      <c r="S39" s="578">
        <f t="shared" si="7"/>
        <v>0</v>
      </c>
      <c r="U39" s="120">
        <v>53214020000000</v>
      </c>
      <c r="V39" s="117" t="s">
        <v>33</v>
      </c>
      <c r="W39" s="718">
        <v>0</v>
      </c>
      <c r="AG39" s="27"/>
    </row>
    <row r="40" spans="1:33" s="36" customFormat="1" ht="12.75" customHeight="1" thickBot="1" x14ac:dyDescent="0.25">
      <c r="A40" s="905"/>
      <c r="B40" s="910" t="s">
        <v>119</v>
      </c>
      <c r="C40" s="710"/>
      <c r="D40" s="711"/>
      <c r="E40" s="712"/>
      <c r="F40" s="713"/>
      <c r="G40" s="708"/>
      <c r="H40" s="708"/>
      <c r="I40" s="708"/>
      <c r="J40" s="108">
        <f t="shared" ref="J40:J61" si="8">SUM(G40:I40)</f>
        <v>0</v>
      </c>
      <c r="K40" s="110">
        <f t="shared" si="0"/>
        <v>0</v>
      </c>
      <c r="L40" s="34"/>
      <c r="M40" s="127">
        <v>0</v>
      </c>
      <c r="N40" s="136">
        <f t="shared" si="1"/>
        <v>0</v>
      </c>
      <c r="O40" s="127">
        <v>0</v>
      </c>
      <c r="P40" s="147">
        <f t="shared" si="2"/>
        <v>0</v>
      </c>
      <c r="Q40" s="144">
        <v>0</v>
      </c>
      <c r="R40" s="573">
        <f t="shared" si="3"/>
        <v>0</v>
      </c>
      <c r="S40" s="576">
        <f t="shared" si="7"/>
        <v>0</v>
      </c>
      <c r="U40" s="118"/>
      <c r="V40" s="115" t="s">
        <v>34</v>
      </c>
      <c r="W40" s="121">
        <f>SUM(W41,W46,W49,W60,W70,W78)</f>
        <v>15093000</v>
      </c>
      <c r="AG40" s="27"/>
    </row>
    <row r="41" spans="1:33" s="36" customFormat="1" ht="12.75" customHeight="1" x14ac:dyDescent="0.2">
      <c r="A41" s="905"/>
      <c r="B41" s="911"/>
      <c r="C41" s="705"/>
      <c r="D41" s="436"/>
      <c r="E41" s="706"/>
      <c r="F41" s="713"/>
      <c r="G41" s="708"/>
      <c r="H41" s="708"/>
      <c r="I41" s="708"/>
      <c r="J41" s="109">
        <f t="shared" ref="J41:J48" si="9">SUM(G41:I41)</f>
        <v>0</v>
      </c>
      <c r="K41" s="111">
        <f t="shared" si="0"/>
        <v>0</v>
      </c>
      <c r="L41" s="34"/>
      <c r="M41" s="134">
        <v>0</v>
      </c>
      <c r="N41" s="137">
        <f t="shared" si="1"/>
        <v>0</v>
      </c>
      <c r="O41" s="134">
        <v>0</v>
      </c>
      <c r="P41" s="135">
        <f t="shared" si="2"/>
        <v>0</v>
      </c>
      <c r="Q41" s="145">
        <v>0</v>
      </c>
      <c r="R41" s="574">
        <f t="shared" si="3"/>
        <v>0</v>
      </c>
      <c r="S41" s="577">
        <f t="shared" si="7"/>
        <v>0</v>
      </c>
      <c r="U41" s="119"/>
      <c r="V41" s="116" t="s">
        <v>35</v>
      </c>
      <c r="W41" s="122">
        <f>SUM(W42:W45)</f>
        <v>0</v>
      </c>
      <c r="AG41" s="27"/>
    </row>
    <row r="42" spans="1:33" s="36" customFormat="1" ht="12.75" customHeight="1" x14ac:dyDescent="0.2">
      <c r="A42" s="905"/>
      <c r="B42" s="911"/>
      <c r="C42" s="377"/>
      <c r="D42" s="378"/>
      <c r="E42" s="379"/>
      <c r="F42" s="380"/>
      <c r="G42" s="83">
        <v>0</v>
      </c>
      <c r="H42" s="83">
        <v>0</v>
      </c>
      <c r="I42" s="103">
        <v>0</v>
      </c>
      <c r="J42" s="109">
        <f t="shared" si="9"/>
        <v>0</v>
      </c>
      <c r="K42" s="111">
        <f t="shared" si="0"/>
        <v>0</v>
      </c>
      <c r="L42" s="34"/>
      <c r="M42" s="134">
        <v>0</v>
      </c>
      <c r="N42" s="137">
        <f t="shared" si="1"/>
        <v>0</v>
      </c>
      <c r="O42" s="134">
        <v>0</v>
      </c>
      <c r="P42" s="135">
        <f t="shared" si="2"/>
        <v>0</v>
      </c>
      <c r="Q42" s="145">
        <v>0</v>
      </c>
      <c r="R42" s="574">
        <f t="shared" si="3"/>
        <v>0</v>
      </c>
      <c r="S42" s="577">
        <f t="shared" si="7"/>
        <v>0</v>
      </c>
      <c r="U42" s="120">
        <v>53202020100000</v>
      </c>
      <c r="V42" s="117" t="s">
        <v>39</v>
      </c>
      <c r="W42" s="123">
        <v>0</v>
      </c>
      <c r="AG42" s="27"/>
    </row>
    <row r="43" spans="1:33" s="36" customFormat="1" ht="12.75" customHeight="1" x14ac:dyDescent="0.2">
      <c r="A43" s="905"/>
      <c r="B43" s="911"/>
      <c r="C43" s="64"/>
      <c r="D43" s="66"/>
      <c r="E43" s="67"/>
      <c r="F43" s="73"/>
      <c r="G43" s="83">
        <v>0</v>
      </c>
      <c r="H43" s="83">
        <v>0</v>
      </c>
      <c r="I43" s="103">
        <v>0</v>
      </c>
      <c r="J43" s="109">
        <f t="shared" si="9"/>
        <v>0</v>
      </c>
      <c r="K43" s="111">
        <f t="shared" si="0"/>
        <v>0</v>
      </c>
      <c r="L43" s="34"/>
      <c r="M43" s="134">
        <v>0</v>
      </c>
      <c r="N43" s="137">
        <f t="shared" si="1"/>
        <v>0</v>
      </c>
      <c r="O43" s="134">
        <v>0</v>
      </c>
      <c r="P43" s="135">
        <f t="shared" si="2"/>
        <v>0</v>
      </c>
      <c r="Q43" s="145">
        <v>0</v>
      </c>
      <c r="R43" s="574">
        <f t="shared" si="3"/>
        <v>0</v>
      </c>
      <c r="S43" s="577">
        <f t="shared" si="7"/>
        <v>0</v>
      </c>
      <c r="U43" s="120">
        <v>53202030000000</v>
      </c>
      <c r="V43" s="117" t="s">
        <v>40</v>
      </c>
      <c r="W43" s="123">
        <v>0</v>
      </c>
      <c r="AG43" s="27"/>
    </row>
    <row r="44" spans="1:33" s="36" customFormat="1" ht="12.75" customHeight="1" x14ac:dyDescent="0.2">
      <c r="A44" s="905"/>
      <c r="B44" s="911"/>
      <c r="C44" s="64"/>
      <c r="D44" s="66"/>
      <c r="E44" s="67"/>
      <c r="F44" s="73"/>
      <c r="G44" s="83">
        <v>0</v>
      </c>
      <c r="H44" s="83">
        <v>0</v>
      </c>
      <c r="I44" s="103">
        <v>0</v>
      </c>
      <c r="J44" s="109">
        <f t="shared" si="9"/>
        <v>0</v>
      </c>
      <c r="K44" s="111">
        <f t="shared" si="0"/>
        <v>0</v>
      </c>
      <c r="L44" s="34"/>
      <c r="M44" s="134">
        <v>0</v>
      </c>
      <c r="N44" s="137">
        <f t="shared" si="1"/>
        <v>0</v>
      </c>
      <c r="O44" s="134">
        <v>0</v>
      </c>
      <c r="P44" s="135">
        <f t="shared" si="2"/>
        <v>0</v>
      </c>
      <c r="Q44" s="145">
        <v>0</v>
      </c>
      <c r="R44" s="574">
        <f t="shared" si="3"/>
        <v>0</v>
      </c>
      <c r="S44" s="577">
        <f t="shared" si="7"/>
        <v>0</v>
      </c>
      <c r="U44" s="120">
        <v>53211020000000</v>
      </c>
      <c r="V44" s="117" t="s">
        <v>41</v>
      </c>
      <c r="W44" s="123">
        <v>0</v>
      </c>
      <c r="AG44" s="27"/>
    </row>
    <row r="45" spans="1:33" s="36" customFormat="1" ht="12.75" customHeight="1" x14ac:dyDescent="0.2">
      <c r="A45" s="905"/>
      <c r="B45" s="911"/>
      <c r="C45" s="64"/>
      <c r="D45" s="66"/>
      <c r="E45" s="67"/>
      <c r="F45" s="73"/>
      <c r="G45" s="83">
        <v>0</v>
      </c>
      <c r="H45" s="83">
        <v>0</v>
      </c>
      <c r="I45" s="103">
        <v>0</v>
      </c>
      <c r="J45" s="109">
        <f t="shared" si="9"/>
        <v>0</v>
      </c>
      <c r="K45" s="111">
        <f t="shared" si="0"/>
        <v>0</v>
      </c>
      <c r="L45" s="34"/>
      <c r="M45" s="134">
        <v>0</v>
      </c>
      <c r="N45" s="137">
        <f t="shared" si="1"/>
        <v>0</v>
      </c>
      <c r="O45" s="134">
        <v>0</v>
      </c>
      <c r="P45" s="135">
        <f t="shared" si="2"/>
        <v>0</v>
      </c>
      <c r="Q45" s="145">
        <v>0</v>
      </c>
      <c r="R45" s="574">
        <f t="shared" si="3"/>
        <v>0</v>
      </c>
      <c r="S45" s="577">
        <f t="shared" si="7"/>
        <v>0</v>
      </c>
      <c r="U45" s="120">
        <v>53101004030000</v>
      </c>
      <c r="V45" s="117" t="s">
        <v>38</v>
      </c>
      <c r="W45" s="123">
        <v>0</v>
      </c>
      <c r="AG45" s="27"/>
    </row>
    <row r="46" spans="1:33" s="36" customFormat="1" ht="12.75" customHeight="1" x14ac:dyDescent="0.2">
      <c r="A46" s="905"/>
      <c r="B46" s="911"/>
      <c r="C46" s="64"/>
      <c r="D46" s="66"/>
      <c r="E46" s="67"/>
      <c r="F46" s="73"/>
      <c r="G46" s="83">
        <v>0</v>
      </c>
      <c r="H46" s="83">
        <v>0</v>
      </c>
      <c r="I46" s="103">
        <v>0</v>
      </c>
      <c r="J46" s="109">
        <f t="shared" si="9"/>
        <v>0</v>
      </c>
      <c r="K46" s="111">
        <f t="shared" si="0"/>
        <v>0</v>
      </c>
      <c r="L46" s="34"/>
      <c r="M46" s="134">
        <v>0</v>
      </c>
      <c r="N46" s="137">
        <f t="shared" si="1"/>
        <v>0</v>
      </c>
      <c r="O46" s="134">
        <v>0</v>
      </c>
      <c r="P46" s="135">
        <f t="shared" si="2"/>
        <v>0</v>
      </c>
      <c r="Q46" s="145">
        <v>0</v>
      </c>
      <c r="R46" s="574">
        <f t="shared" si="3"/>
        <v>0</v>
      </c>
      <c r="S46" s="577">
        <f t="shared" si="7"/>
        <v>0</v>
      </c>
      <c r="U46" s="119"/>
      <c r="V46" s="116" t="s">
        <v>42</v>
      </c>
      <c r="W46" s="122">
        <f>SUM(W47:W48)</f>
        <v>0</v>
      </c>
      <c r="AG46" s="27"/>
    </row>
    <row r="47" spans="1:33" s="36" customFormat="1" ht="12.75" customHeight="1" x14ac:dyDescent="0.2">
      <c r="A47" s="905"/>
      <c r="B47" s="911"/>
      <c r="C47" s="64"/>
      <c r="D47" s="66"/>
      <c r="E47" s="67"/>
      <c r="F47" s="73"/>
      <c r="G47" s="83">
        <v>0</v>
      </c>
      <c r="H47" s="83">
        <v>0</v>
      </c>
      <c r="I47" s="103">
        <v>0</v>
      </c>
      <c r="J47" s="109">
        <f t="shared" si="9"/>
        <v>0</v>
      </c>
      <c r="K47" s="111">
        <f t="shared" si="0"/>
        <v>0</v>
      </c>
      <c r="L47" s="34"/>
      <c r="M47" s="134">
        <v>0</v>
      </c>
      <c r="N47" s="137">
        <f t="shared" si="1"/>
        <v>0</v>
      </c>
      <c r="O47" s="134">
        <v>0</v>
      </c>
      <c r="P47" s="135">
        <f t="shared" si="2"/>
        <v>0</v>
      </c>
      <c r="Q47" s="145">
        <v>0</v>
      </c>
      <c r="R47" s="574">
        <f t="shared" si="3"/>
        <v>0</v>
      </c>
      <c r="S47" s="577">
        <f t="shared" si="7"/>
        <v>0</v>
      </c>
      <c r="U47" s="120">
        <v>53205080000000</v>
      </c>
      <c r="V47" s="117" t="s">
        <v>43</v>
      </c>
      <c r="W47" s="123">
        <v>0</v>
      </c>
      <c r="AG47" s="27"/>
    </row>
    <row r="48" spans="1:33" s="36" customFormat="1" ht="12.75" customHeight="1" x14ac:dyDescent="0.2">
      <c r="A48" s="905"/>
      <c r="B48" s="911"/>
      <c r="C48" s="64"/>
      <c r="D48" s="66"/>
      <c r="E48" s="67"/>
      <c r="F48" s="73"/>
      <c r="G48" s="83">
        <v>0</v>
      </c>
      <c r="H48" s="83">
        <v>0</v>
      </c>
      <c r="I48" s="103">
        <v>0</v>
      </c>
      <c r="J48" s="109">
        <f t="shared" si="9"/>
        <v>0</v>
      </c>
      <c r="K48" s="111">
        <f t="shared" si="0"/>
        <v>0</v>
      </c>
      <c r="L48" s="34"/>
      <c r="M48" s="134">
        <v>0</v>
      </c>
      <c r="N48" s="137">
        <f t="shared" si="1"/>
        <v>0</v>
      </c>
      <c r="O48" s="134">
        <v>0</v>
      </c>
      <c r="P48" s="135">
        <f t="shared" si="2"/>
        <v>0</v>
      </c>
      <c r="Q48" s="145">
        <v>0</v>
      </c>
      <c r="R48" s="574">
        <f t="shared" si="3"/>
        <v>0</v>
      </c>
      <c r="S48" s="577">
        <f t="shared" si="7"/>
        <v>0</v>
      </c>
      <c r="U48" s="120">
        <v>53205990000000</v>
      </c>
      <c r="V48" s="117" t="s">
        <v>44</v>
      </c>
      <c r="W48" s="123">
        <v>0</v>
      </c>
      <c r="AG48" s="27"/>
    </row>
    <row r="49" spans="1:33" s="36" customFormat="1" ht="12.75" customHeight="1" x14ac:dyDescent="0.2">
      <c r="A49" s="905"/>
      <c r="B49" s="912"/>
      <c r="C49" s="64"/>
      <c r="D49" s="66"/>
      <c r="E49" s="67"/>
      <c r="F49" s="73"/>
      <c r="G49" s="83">
        <v>0</v>
      </c>
      <c r="H49" s="83">
        <v>0</v>
      </c>
      <c r="I49" s="103">
        <v>0</v>
      </c>
      <c r="J49" s="109">
        <f t="shared" si="8"/>
        <v>0</v>
      </c>
      <c r="K49" s="111">
        <f t="shared" si="0"/>
        <v>0</v>
      </c>
      <c r="L49" s="34"/>
      <c r="M49" s="134">
        <v>0</v>
      </c>
      <c r="N49" s="137">
        <f t="shared" si="1"/>
        <v>0</v>
      </c>
      <c r="O49" s="134">
        <v>0</v>
      </c>
      <c r="P49" s="135">
        <f t="shared" si="2"/>
        <v>0</v>
      </c>
      <c r="Q49" s="145">
        <v>0</v>
      </c>
      <c r="R49" s="574">
        <f t="shared" si="3"/>
        <v>0</v>
      </c>
      <c r="S49" s="577">
        <f t="shared" si="7"/>
        <v>0</v>
      </c>
      <c r="U49" s="119"/>
      <c r="V49" s="116" t="s">
        <v>45</v>
      </c>
      <c r="W49" s="122">
        <f>SUM(W50:W59)</f>
        <v>9628000</v>
      </c>
      <c r="AG49" s="27"/>
    </row>
    <row r="50" spans="1:33" s="36" customFormat="1" ht="12.75" customHeight="1" x14ac:dyDescent="0.2">
      <c r="A50" s="905"/>
      <c r="B50" s="911"/>
      <c r="C50" s="64"/>
      <c r="D50" s="66"/>
      <c r="E50" s="67"/>
      <c r="F50" s="73"/>
      <c r="G50" s="83">
        <v>0</v>
      </c>
      <c r="H50" s="83">
        <v>0</v>
      </c>
      <c r="I50" s="103">
        <v>0</v>
      </c>
      <c r="J50" s="109">
        <f t="shared" ref="J50:J53" si="10">SUM(G50:I50)</f>
        <v>0</v>
      </c>
      <c r="K50" s="111">
        <f t="shared" si="0"/>
        <v>0</v>
      </c>
      <c r="L50" s="34"/>
      <c r="M50" s="134">
        <v>0</v>
      </c>
      <c r="N50" s="137">
        <f t="shared" si="1"/>
        <v>0</v>
      </c>
      <c r="O50" s="134">
        <v>0</v>
      </c>
      <c r="P50" s="135">
        <f t="shared" si="2"/>
        <v>0</v>
      </c>
      <c r="Q50" s="145">
        <v>0</v>
      </c>
      <c r="R50" s="574">
        <f t="shared" si="3"/>
        <v>0</v>
      </c>
      <c r="S50" s="577">
        <f t="shared" si="7"/>
        <v>0</v>
      </c>
      <c r="U50" s="120">
        <v>53203010200000</v>
      </c>
      <c r="V50" s="117" t="s">
        <v>46</v>
      </c>
      <c r="W50" s="718">
        <v>0</v>
      </c>
      <c r="AG50" s="27"/>
    </row>
    <row r="51" spans="1:33" s="36" customFormat="1" ht="12.75" customHeight="1" x14ac:dyDescent="0.2">
      <c r="A51" s="905"/>
      <c r="B51" s="911"/>
      <c r="C51" s="64"/>
      <c r="D51" s="66"/>
      <c r="E51" s="67"/>
      <c r="F51" s="73"/>
      <c r="G51" s="83">
        <v>0</v>
      </c>
      <c r="H51" s="83">
        <v>0</v>
      </c>
      <c r="I51" s="103">
        <v>0</v>
      </c>
      <c r="J51" s="109">
        <f t="shared" si="10"/>
        <v>0</v>
      </c>
      <c r="K51" s="111">
        <f t="shared" si="0"/>
        <v>0</v>
      </c>
      <c r="L51" s="34"/>
      <c r="M51" s="134">
        <v>0</v>
      </c>
      <c r="N51" s="137">
        <f t="shared" si="1"/>
        <v>0</v>
      </c>
      <c r="O51" s="134">
        <v>0</v>
      </c>
      <c r="P51" s="135">
        <f t="shared" si="2"/>
        <v>0</v>
      </c>
      <c r="Q51" s="145">
        <v>0</v>
      </c>
      <c r="R51" s="574">
        <f t="shared" si="3"/>
        <v>0</v>
      </c>
      <c r="S51" s="577">
        <f t="shared" si="7"/>
        <v>0</v>
      </c>
      <c r="U51" s="120">
        <v>53204010000000</v>
      </c>
      <c r="V51" s="117" t="s">
        <v>47</v>
      </c>
      <c r="W51" s="718">
        <v>2375000</v>
      </c>
      <c r="AG51" s="27"/>
    </row>
    <row r="52" spans="1:33" s="36" customFormat="1" ht="12.75" customHeight="1" x14ac:dyDescent="0.2">
      <c r="A52" s="905"/>
      <c r="B52" s="911"/>
      <c r="C52" s="64"/>
      <c r="D52" s="66"/>
      <c r="E52" s="67"/>
      <c r="F52" s="73"/>
      <c r="G52" s="83">
        <v>0</v>
      </c>
      <c r="H52" s="83">
        <v>0</v>
      </c>
      <c r="I52" s="103">
        <v>0</v>
      </c>
      <c r="J52" s="109">
        <f t="shared" si="10"/>
        <v>0</v>
      </c>
      <c r="K52" s="111">
        <f t="shared" si="0"/>
        <v>0</v>
      </c>
      <c r="L52" s="34"/>
      <c r="M52" s="134">
        <v>0</v>
      </c>
      <c r="N52" s="137">
        <f t="shared" si="1"/>
        <v>0</v>
      </c>
      <c r="O52" s="134">
        <v>0</v>
      </c>
      <c r="P52" s="135">
        <f t="shared" si="2"/>
        <v>0</v>
      </c>
      <c r="Q52" s="145">
        <v>0</v>
      </c>
      <c r="R52" s="574">
        <f t="shared" si="3"/>
        <v>0</v>
      </c>
      <c r="S52" s="577">
        <f t="shared" si="7"/>
        <v>0</v>
      </c>
      <c r="U52" s="120">
        <v>53204040200000</v>
      </c>
      <c r="V52" s="117" t="s">
        <v>48</v>
      </c>
      <c r="W52" s="718">
        <v>0</v>
      </c>
      <c r="AG52" s="27"/>
    </row>
    <row r="53" spans="1:33" s="36" customFormat="1" ht="12.75" customHeight="1" x14ac:dyDescent="0.2">
      <c r="A53" s="905"/>
      <c r="B53" s="911"/>
      <c r="C53" s="64"/>
      <c r="D53" s="66"/>
      <c r="E53" s="67"/>
      <c r="F53" s="73"/>
      <c r="G53" s="83">
        <v>0</v>
      </c>
      <c r="H53" s="83">
        <v>0</v>
      </c>
      <c r="I53" s="103">
        <v>0</v>
      </c>
      <c r="J53" s="109">
        <f t="shared" si="10"/>
        <v>0</v>
      </c>
      <c r="K53" s="111">
        <f t="shared" si="0"/>
        <v>0</v>
      </c>
      <c r="L53" s="34"/>
      <c r="M53" s="134">
        <v>0</v>
      </c>
      <c r="N53" s="137">
        <f t="shared" si="1"/>
        <v>0</v>
      </c>
      <c r="O53" s="134">
        <v>0</v>
      </c>
      <c r="P53" s="135">
        <f t="shared" si="2"/>
        <v>0</v>
      </c>
      <c r="Q53" s="145">
        <v>0</v>
      </c>
      <c r="R53" s="574">
        <f t="shared" si="3"/>
        <v>0</v>
      </c>
      <c r="S53" s="577">
        <f t="shared" si="7"/>
        <v>0</v>
      </c>
      <c r="U53" s="120">
        <v>53204060000000</v>
      </c>
      <c r="V53" s="117" t="s">
        <v>49</v>
      </c>
      <c r="W53" s="718">
        <v>0</v>
      </c>
      <c r="AG53" s="27"/>
    </row>
    <row r="54" spans="1:33" s="36" customFormat="1" ht="12.75" customHeight="1" x14ac:dyDescent="0.2">
      <c r="A54" s="905"/>
      <c r="B54" s="912"/>
      <c r="C54" s="64"/>
      <c r="D54" s="66"/>
      <c r="E54" s="67"/>
      <c r="F54" s="73"/>
      <c r="G54" s="83">
        <v>0</v>
      </c>
      <c r="H54" s="83">
        <v>0</v>
      </c>
      <c r="I54" s="103">
        <v>0</v>
      </c>
      <c r="J54" s="109">
        <f t="shared" si="8"/>
        <v>0</v>
      </c>
      <c r="K54" s="111">
        <f t="shared" si="0"/>
        <v>0</v>
      </c>
      <c r="L54" s="34"/>
      <c r="M54" s="134">
        <v>0</v>
      </c>
      <c r="N54" s="137">
        <f t="shared" si="1"/>
        <v>0</v>
      </c>
      <c r="O54" s="134">
        <v>0</v>
      </c>
      <c r="P54" s="135">
        <f t="shared" si="2"/>
        <v>0</v>
      </c>
      <c r="Q54" s="145">
        <v>0</v>
      </c>
      <c r="R54" s="574">
        <f t="shared" si="3"/>
        <v>0</v>
      </c>
      <c r="S54" s="577">
        <f t="shared" si="7"/>
        <v>0</v>
      </c>
      <c r="U54" s="120">
        <v>53204070000000</v>
      </c>
      <c r="V54" s="117" t="s">
        <v>50</v>
      </c>
      <c r="W54" s="718">
        <v>2253000</v>
      </c>
      <c r="AG54" s="27"/>
    </row>
    <row r="55" spans="1:33" s="36" customFormat="1" ht="12.75" customHeight="1" x14ac:dyDescent="0.2">
      <c r="A55" s="905"/>
      <c r="B55" s="912"/>
      <c r="C55" s="64"/>
      <c r="D55" s="66"/>
      <c r="E55" s="67"/>
      <c r="F55" s="73"/>
      <c r="G55" s="83">
        <v>0</v>
      </c>
      <c r="H55" s="83">
        <v>0</v>
      </c>
      <c r="I55" s="103">
        <v>0</v>
      </c>
      <c r="J55" s="109">
        <f t="shared" si="8"/>
        <v>0</v>
      </c>
      <c r="K55" s="111">
        <f t="shared" si="0"/>
        <v>0</v>
      </c>
      <c r="L55" s="34"/>
      <c r="M55" s="134">
        <v>0</v>
      </c>
      <c r="N55" s="137">
        <f t="shared" si="1"/>
        <v>0</v>
      </c>
      <c r="O55" s="134">
        <v>0</v>
      </c>
      <c r="P55" s="135">
        <f t="shared" si="2"/>
        <v>0</v>
      </c>
      <c r="Q55" s="145">
        <v>0</v>
      </c>
      <c r="R55" s="574">
        <f t="shared" si="3"/>
        <v>0</v>
      </c>
      <c r="S55" s="577">
        <f t="shared" si="7"/>
        <v>0</v>
      </c>
      <c r="U55" s="120">
        <v>53204080000000</v>
      </c>
      <c r="V55" s="117" t="s">
        <v>51</v>
      </c>
      <c r="W55" s="718">
        <v>0</v>
      </c>
      <c r="AG55" s="27"/>
    </row>
    <row r="56" spans="1:33" s="36" customFormat="1" ht="12.75" customHeight="1" x14ac:dyDescent="0.2">
      <c r="A56" s="905"/>
      <c r="B56" s="912"/>
      <c r="C56" s="64"/>
      <c r="D56" s="66"/>
      <c r="E56" s="67"/>
      <c r="F56" s="73"/>
      <c r="G56" s="83">
        <v>0</v>
      </c>
      <c r="H56" s="83">
        <v>0</v>
      </c>
      <c r="I56" s="103">
        <v>0</v>
      </c>
      <c r="J56" s="109">
        <f t="shared" si="8"/>
        <v>0</v>
      </c>
      <c r="K56" s="111">
        <f t="shared" si="0"/>
        <v>0</v>
      </c>
      <c r="L56" s="34"/>
      <c r="M56" s="134">
        <v>0</v>
      </c>
      <c r="N56" s="137">
        <f t="shared" si="1"/>
        <v>0</v>
      </c>
      <c r="O56" s="134">
        <v>0</v>
      </c>
      <c r="P56" s="135">
        <f t="shared" si="2"/>
        <v>0</v>
      </c>
      <c r="Q56" s="145">
        <v>0</v>
      </c>
      <c r="R56" s="574">
        <f t="shared" si="3"/>
        <v>0</v>
      </c>
      <c r="S56" s="577">
        <f t="shared" si="7"/>
        <v>0</v>
      </c>
      <c r="U56" s="120">
        <v>53214010000000</v>
      </c>
      <c r="V56" s="117" t="s">
        <v>52</v>
      </c>
      <c r="W56" s="718">
        <v>0</v>
      </c>
      <c r="AG56" s="27"/>
    </row>
    <row r="57" spans="1:33" s="36" customFormat="1" ht="12.75" customHeight="1" x14ac:dyDescent="0.2">
      <c r="A57" s="905"/>
      <c r="B57" s="912"/>
      <c r="C57" s="64"/>
      <c r="D57" s="66"/>
      <c r="E57" s="67"/>
      <c r="F57" s="73"/>
      <c r="G57" s="83">
        <v>0</v>
      </c>
      <c r="H57" s="83">
        <v>0</v>
      </c>
      <c r="I57" s="103">
        <v>0</v>
      </c>
      <c r="J57" s="109">
        <f t="shared" si="8"/>
        <v>0</v>
      </c>
      <c r="K57" s="111">
        <f t="shared" si="0"/>
        <v>0</v>
      </c>
      <c r="L57" s="34"/>
      <c r="M57" s="134">
        <v>0</v>
      </c>
      <c r="N57" s="137">
        <f t="shared" si="1"/>
        <v>0</v>
      </c>
      <c r="O57" s="134">
        <v>0</v>
      </c>
      <c r="P57" s="135">
        <f t="shared" si="2"/>
        <v>0</v>
      </c>
      <c r="Q57" s="145">
        <v>0</v>
      </c>
      <c r="R57" s="574">
        <f t="shared" si="3"/>
        <v>0</v>
      </c>
      <c r="S57" s="577">
        <f t="shared" si="7"/>
        <v>0</v>
      </c>
      <c r="U57" s="120">
        <v>53214040000000</v>
      </c>
      <c r="V57" s="117" t="s">
        <v>130</v>
      </c>
      <c r="W57" s="718">
        <v>5000000</v>
      </c>
      <c r="AG57" s="27"/>
    </row>
    <row r="58" spans="1:33" s="36" customFormat="1" ht="12.75" customHeight="1" x14ac:dyDescent="0.2">
      <c r="A58" s="905"/>
      <c r="B58" s="912"/>
      <c r="C58" s="64"/>
      <c r="D58" s="66"/>
      <c r="E58" s="67"/>
      <c r="F58" s="73"/>
      <c r="G58" s="83">
        <v>0</v>
      </c>
      <c r="H58" s="83">
        <v>0</v>
      </c>
      <c r="I58" s="103">
        <v>0</v>
      </c>
      <c r="J58" s="109">
        <f t="shared" si="8"/>
        <v>0</v>
      </c>
      <c r="K58" s="111">
        <f t="shared" si="0"/>
        <v>0</v>
      </c>
      <c r="L58" s="34"/>
      <c r="M58" s="134">
        <v>0</v>
      </c>
      <c r="N58" s="137">
        <f t="shared" si="1"/>
        <v>0</v>
      </c>
      <c r="O58" s="134">
        <v>0</v>
      </c>
      <c r="P58" s="135">
        <f t="shared" si="2"/>
        <v>0</v>
      </c>
      <c r="Q58" s="145">
        <v>0</v>
      </c>
      <c r="R58" s="574">
        <f t="shared" si="3"/>
        <v>0</v>
      </c>
      <c r="S58" s="577">
        <f t="shared" si="7"/>
        <v>0</v>
      </c>
      <c r="U58" s="120">
        <v>55201010100004</v>
      </c>
      <c r="V58" s="117" t="s">
        <v>53</v>
      </c>
      <c r="W58" s="718">
        <v>0</v>
      </c>
      <c r="AG58" s="27"/>
    </row>
    <row r="59" spans="1:33" s="36" customFormat="1" ht="12.75" customHeight="1" x14ac:dyDescent="0.2">
      <c r="A59" s="905"/>
      <c r="B59" s="912"/>
      <c r="C59" s="64"/>
      <c r="D59" s="66"/>
      <c r="E59" s="67"/>
      <c r="F59" s="73"/>
      <c r="G59" s="83">
        <v>0</v>
      </c>
      <c r="H59" s="83">
        <v>0</v>
      </c>
      <c r="I59" s="103">
        <v>0</v>
      </c>
      <c r="J59" s="109">
        <f t="shared" si="8"/>
        <v>0</v>
      </c>
      <c r="K59" s="111">
        <f t="shared" si="0"/>
        <v>0</v>
      </c>
      <c r="L59" s="34"/>
      <c r="M59" s="134">
        <v>0</v>
      </c>
      <c r="N59" s="137">
        <f t="shared" si="1"/>
        <v>0</v>
      </c>
      <c r="O59" s="134">
        <v>0</v>
      </c>
      <c r="P59" s="135">
        <f t="shared" si="2"/>
        <v>0</v>
      </c>
      <c r="Q59" s="145">
        <v>0</v>
      </c>
      <c r="R59" s="574">
        <f t="shared" si="3"/>
        <v>0</v>
      </c>
      <c r="S59" s="577">
        <f t="shared" si="7"/>
        <v>0</v>
      </c>
      <c r="U59" s="120">
        <v>55201010100005</v>
      </c>
      <c r="V59" s="117" t="s">
        <v>54</v>
      </c>
      <c r="W59" s="718">
        <v>0</v>
      </c>
      <c r="AG59" s="27"/>
    </row>
    <row r="60" spans="1:33" s="36" customFormat="1" ht="12.75" customHeight="1" x14ac:dyDescent="0.2">
      <c r="A60" s="905"/>
      <c r="B60" s="912"/>
      <c r="C60" s="64"/>
      <c r="D60" s="66"/>
      <c r="E60" s="67"/>
      <c r="F60" s="73"/>
      <c r="G60" s="83">
        <v>0</v>
      </c>
      <c r="H60" s="83">
        <v>0</v>
      </c>
      <c r="I60" s="103">
        <v>0</v>
      </c>
      <c r="J60" s="109">
        <f t="shared" si="8"/>
        <v>0</v>
      </c>
      <c r="K60" s="111">
        <f t="shared" si="0"/>
        <v>0</v>
      </c>
      <c r="L60" s="34"/>
      <c r="M60" s="134">
        <v>0</v>
      </c>
      <c r="N60" s="137">
        <f t="shared" si="1"/>
        <v>0</v>
      </c>
      <c r="O60" s="134">
        <v>0</v>
      </c>
      <c r="P60" s="135">
        <f t="shared" si="2"/>
        <v>0</v>
      </c>
      <c r="Q60" s="145">
        <v>0</v>
      </c>
      <c r="R60" s="574">
        <f t="shared" si="3"/>
        <v>0</v>
      </c>
      <c r="S60" s="577">
        <f t="shared" si="7"/>
        <v>0</v>
      </c>
      <c r="U60" s="119"/>
      <c r="V60" s="116" t="s">
        <v>55</v>
      </c>
      <c r="W60" s="122">
        <f>SUM(W61:W69)</f>
        <v>2277000</v>
      </c>
      <c r="AG60" s="27"/>
    </row>
    <row r="61" spans="1:33" s="36" customFormat="1" ht="12.75" customHeight="1" thickBot="1" x14ac:dyDescent="0.25">
      <c r="A61" s="906"/>
      <c r="B61" s="913"/>
      <c r="C61" s="113"/>
      <c r="D61" s="84"/>
      <c r="E61" s="85"/>
      <c r="F61" s="86"/>
      <c r="G61" s="87">
        <v>0</v>
      </c>
      <c r="H61" s="87">
        <v>0</v>
      </c>
      <c r="I61" s="104">
        <v>0</v>
      </c>
      <c r="J61" s="107">
        <f t="shared" si="8"/>
        <v>0</v>
      </c>
      <c r="K61" s="96">
        <f t="shared" si="0"/>
        <v>0</v>
      </c>
      <c r="L61" s="34"/>
      <c r="M61" s="313">
        <v>0</v>
      </c>
      <c r="N61" s="314">
        <f t="shared" si="1"/>
        <v>0</v>
      </c>
      <c r="O61" s="313">
        <v>0</v>
      </c>
      <c r="P61" s="315">
        <f t="shared" si="2"/>
        <v>0</v>
      </c>
      <c r="Q61" s="316">
        <v>0</v>
      </c>
      <c r="R61" s="575">
        <f t="shared" si="3"/>
        <v>0</v>
      </c>
      <c r="S61" s="578">
        <f t="shared" si="7"/>
        <v>0</v>
      </c>
      <c r="U61" s="120">
        <v>53207010000000</v>
      </c>
      <c r="V61" s="117" t="s">
        <v>56</v>
      </c>
      <c r="W61" s="718">
        <v>0</v>
      </c>
      <c r="AG61" s="27"/>
    </row>
    <row r="62" spans="1:33" s="36" customFormat="1" ht="12.75" customHeight="1" thickBot="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312">
        <f>SUM(K15:K61)</f>
        <v>87725251.579999983</v>
      </c>
      <c r="L62" s="27"/>
      <c r="M62" s="317">
        <f>+N62/$K$62</f>
        <v>0.59220408827353066</v>
      </c>
      <c r="N62" s="318">
        <f>SUM(N15:N61)</f>
        <v>51951252.630499996</v>
      </c>
      <c r="O62" s="317">
        <f>+P62/$K$62</f>
        <v>0.20304216716388243</v>
      </c>
      <c r="P62" s="318">
        <f>SUM(P15:P61)</f>
        <v>17811925.195799999</v>
      </c>
      <c r="Q62" s="317">
        <f>+R62/$K$62</f>
        <v>0.20475374456258702</v>
      </c>
      <c r="R62" s="318">
        <f>SUM(R15:R61)</f>
        <v>17962073.753699999</v>
      </c>
      <c r="S62" s="27"/>
      <c r="U62" s="120">
        <v>53207020000000</v>
      </c>
      <c r="V62" s="117" t="s">
        <v>57</v>
      </c>
      <c r="W62" s="718">
        <v>0</v>
      </c>
      <c r="AG62" s="27"/>
    </row>
    <row r="63" spans="1:33" s="36" customFormat="1" ht="12.75" customHeight="1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58">
        <v>1</v>
      </c>
      <c r="L63" s="27"/>
      <c r="M63" s="27"/>
      <c r="O63" s="27"/>
      <c r="P63" s="27"/>
      <c r="Q63" s="27"/>
      <c r="R63" s="27"/>
      <c r="S63" s="27"/>
      <c r="U63" s="120">
        <v>53208020000000</v>
      </c>
      <c r="V63" s="117" t="s">
        <v>58</v>
      </c>
      <c r="W63" s="718">
        <v>0</v>
      </c>
      <c r="AG63" s="27"/>
    </row>
    <row r="64" spans="1:33" s="36" customFormat="1" ht="12.75" customHeight="1" thickBot="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U64" s="120">
        <v>53208990000000</v>
      </c>
      <c r="V64" s="117" t="s">
        <v>59</v>
      </c>
      <c r="W64" s="718">
        <v>0</v>
      </c>
      <c r="AG64" s="27"/>
    </row>
    <row r="65" spans="1:33" s="36" customFormat="1" ht="12.75" customHeight="1" x14ac:dyDescent="0.2">
      <c r="A65" s="898" t="s">
        <v>374</v>
      </c>
      <c r="B65" s="901" t="s">
        <v>373</v>
      </c>
      <c r="C65" s="112" t="s">
        <v>370</v>
      </c>
      <c r="D65" s="88" t="s">
        <v>371</v>
      </c>
      <c r="E65" s="89" t="s">
        <v>372</v>
      </c>
      <c r="F65" s="90"/>
      <c r="G65" s="82">
        <v>23848764</v>
      </c>
      <c r="H65" s="82">
        <v>151001</v>
      </c>
      <c r="I65" s="102">
        <v>149038</v>
      </c>
      <c r="J65" s="105">
        <f t="shared" si="6"/>
        <v>24148803</v>
      </c>
      <c r="K65" s="97">
        <f t="shared" si="0"/>
        <v>27288147.389999997</v>
      </c>
      <c r="L65" s="34"/>
      <c r="M65" s="27"/>
      <c r="N65" s="27"/>
      <c r="O65" s="27"/>
      <c r="P65" s="27"/>
      <c r="Q65" s="27"/>
      <c r="R65" s="27"/>
      <c r="S65" s="27"/>
      <c r="U65" s="120">
        <v>53209010000000</v>
      </c>
      <c r="V65" s="117" t="s">
        <v>60</v>
      </c>
      <c r="W65" s="718">
        <v>0</v>
      </c>
      <c r="AG65" s="27"/>
    </row>
    <row r="66" spans="1:33" s="36" customFormat="1" ht="12.75" customHeight="1" x14ac:dyDescent="0.2">
      <c r="A66" s="899"/>
      <c r="B66" s="902"/>
      <c r="C66" s="65"/>
      <c r="D66" s="91"/>
      <c r="E66" s="92"/>
      <c r="F66" s="68" t="s">
        <v>120</v>
      </c>
      <c r="G66" s="83">
        <v>0</v>
      </c>
      <c r="H66" s="83">
        <v>0</v>
      </c>
      <c r="I66" s="103">
        <v>0</v>
      </c>
      <c r="J66" s="106">
        <f t="shared" si="6"/>
        <v>0</v>
      </c>
      <c r="K66" s="98">
        <f t="shared" si="0"/>
        <v>0</v>
      </c>
      <c r="L66" s="34"/>
      <c r="M66" s="27"/>
      <c r="N66" s="27"/>
      <c r="O66" s="27"/>
      <c r="P66" s="27"/>
      <c r="Q66" s="27"/>
      <c r="R66" s="27"/>
      <c r="S66" s="27"/>
      <c r="U66" s="120">
        <v>53209040000000</v>
      </c>
      <c r="V66" s="117" t="s">
        <v>61</v>
      </c>
      <c r="W66" s="718">
        <v>0</v>
      </c>
      <c r="AG66" s="27"/>
    </row>
    <row r="67" spans="1:33" s="36" customFormat="1" ht="12.75" customHeight="1" x14ac:dyDescent="0.2">
      <c r="A67" s="899"/>
      <c r="B67" s="902"/>
      <c r="C67" s="65"/>
      <c r="D67" s="91"/>
      <c r="E67" s="92"/>
      <c r="F67" s="68" t="s">
        <v>120</v>
      </c>
      <c r="G67" s="83">
        <v>0</v>
      </c>
      <c r="H67" s="83">
        <v>0</v>
      </c>
      <c r="I67" s="103">
        <v>0</v>
      </c>
      <c r="J67" s="106">
        <f t="shared" si="6"/>
        <v>0</v>
      </c>
      <c r="K67" s="98">
        <f t="shared" si="0"/>
        <v>0</v>
      </c>
      <c r="L67" s="34"/>
      <c r="M67" s="27"/>
      <c r="N67" s="27"/>
      <c r="O67" s="27"/>
      <c r="P67" s="27"/>
      <c r="Q67" s="27"/>
      <c r="R67" s="27"/>
      <c r="S67" s="27"/>
      <c r="U67" s="120">
        <v>53209050000000</v>
      </c>
      <c r="V67" s="117" t="s">
        <v>62</v>
      </c>
      <c r="W67" s="718">
        <v>2277000</v>
      </c>
      <c r="AG67" s="27"/>
    </row>
    <row r="68" spans="1:33" s="36" customFormat="1" ht="12.75" customHeight="1" x14ac:dyDescent="0.2">
      <c r="A68" s="899"/>
      <c r="B68" s="902"/>
      <c r="C68" s="63"/>
      <c r="D68" s="93"/>
      <c r="E68" s="94"/>
      <c r="F68" s="95" t="s">
        <v>120</v>
      </c>
      <c r="G68" s="83">
        <v>0</v>
      </c>
      <c r="H68" s="83">
        <v>0</v>
      </c>
      <c r="I68" s="103">
        <v>0</v>
      </c>
      <c r="J68" s="106">
        <f t="shared" si="6"/>
        <v>0</v>
      </c>
      <c r="K68" s="98">
        <f t="shared" si="0"/>
        <v>0</v>
      </c>
      <c r="L68" s="34"/>
      <c r="M68" s="27"/>
      <c r="N68" s="27"/>
      <c r="O68" s="27"/>
      <c r="P68" s="27"/>
      <c r="Q68" s="27"/>
      <c r="R68" s="27"/>
      <c r="S68" s="27"/>
      <c r="U68" s="120">
        <v>53209990000000</v>
      </c>
      <c r="V68" s="117" t="s">
        <v>63</v>
      </c>
      <c r="W68" s="718">
        <v>0</v>
      </c>
      <c r="AG68" s="27"/>
    </row>
    <row r="69" spans="1:33" s="36" customFormat="1" ht="12.75" customHeight="1" thickBot="1" x14ac:dyDescent="0.25">
      <c r="A69" s="900"/>
      <c r="B69" s="903"/>
      <c r="C69" s="113"/>
      <c r="D69" s="84"/>
      <c r="E69" s="85"/>
      <c r="F69" s="86" t="s">
        <v>120</v>
      </c>
      <c r="G69" s="87">
        <v>0</v>
      </c>
      <c r="H69" s="87">
        <v>0</v>
      </c>
      <c r="I69" s="104">
        <v>0</v>
      </c>
      <c r="J69" s="107">
        <f t="shared" si="6"/>
        <v>0</v>
      </c>
      <c r="K69" s="96">
        <f t="shared" si="0"/>
        <v>0</v>
      </c>
      <c r="L69" s="34"/>
      <c r="M69" s="27"/>
      <c r="N69" s="27"/>
      <c r="O69" s="27"/>
      <c r="P69" s="27"/>
      <c r="Q69" s="27"/>
      <c r="R69" s="27"/>
      <c r="S69" s="27"/>
      <c r="U69" s="120">
        <v>53210020100000</v>
      </c>
      <c r="V69" s="117" t="s">
        <v>64</v>
      </c>
      <c r="W69" s="718">
        <v>0</v>
      </c>
      <c r="AG69" s="27"/>
    </row>
    <row r="70" spans="1:33" ht="15.75" x14ac:dyDescent="0.2">
      <c r="C70" s="25"/>
      <c r="D70" s="25"/>
      <c r="E70" s="38"/>
      <c r="F70" s="38"/>
      <c r="G70" s="38"/>
      <c r="H70" s="38"/>
      <c r="I70" s="38"/>
      <c r="K70" s="57">
        <f>SUM(K65:K69)</f>
        <v>27288147.389999997</v>
      </c>
      <c r="L70" s="34"/>
      <c r="U70" s="119"/>
      <c r="V70" s="116" t="s">
        <v>65</v>
      </c>
      <c r="W70" s="122">
        <f>SUM(W71:W77)</f>
        <v>3188000</v>
      </c>
    </row>
    <row r="71" spans="1:33" x14ac:dyDescent="0.2">
      <c r="K71" s="58">
        <v>1</v>
      </c>
      <c r="L71" s="34"/>
      <c r="M71" s="39"/>
      <c r="O71" s="39"/>
      <c r="Q71" s="39"/>
      <c r="U71" s="120">
        <v>53206030000000</v>
      </c>
      <c r="V71" s="117" t="s">
        <v>100</v>
      </c>
      <c r="W71" s="123">
        <v>0</v>
      </c>
    </row>
    <row r="72" spans="1:33" x14ac:dyDescent="0.2">
      <c r="L72" s="34"/>
      <c r="U72" s="120">
        <v>53206040000000</v>
      </c>
      <c r="V72" s="117" t="s">
        <v>101</v>
      </c>
      <c r="W72" s="123">
        <v>0</v>
      </c>
    </row>
    <row r="73" spans="1:33" x14ac:dyDescent="0.2">
      <c r="U73" s="120">
        <v>53206060000000</v>
      </c>
      <c r="V73" s="117" t="s">
        <v>102</v>
      </c>
      <c r="W73" s="718">
        <v>3188000</v>
      </c>
    </row>
    <row r="74" spans="1:33" x14ac:dyDescent="0.2">
      <c r="U74" s="120">
        <v>53206070000000</v>
      </c>
      <c r="V74" s="117" t="s">
        <v>103</v>
      </c>
      <c r="W74" s="123">
        <v>0</v>
      </c>
    </row>
    <row r="75" spans="1:33" ht="15.75" customHeight="1" x14ac:dyDescent="0.2">
      <c r="H75" s="114"/>
      <c r="U75" s="120">
        <v>53206990000000</v>
      </c>
      <c r="V75" s="117" t="s">
        <v>104</v>
      </c>
      <c r="W75" s="123">
        <v>0</v>
      </c>
    </row>
    <row r="76" spans="1:33" x14ac:dyDescent="0.2">
      <c r="U76" s="120">
        <v>53208030000000</v>
      </c>
      <c r="V76" s="117" t="s">
        <v>105</v>
      </c>
      <c r="W76" s="123">
        <v>0</v>
      </c>
    </row>
    <row r="77" spans="1:33" x14ac:dyDescent="0.2">
      <c r="U77" s="120">
        <v>53212060000000</v>
      </c>
      <c r="V77" s="117" t="s">
        <v>98</v>
      </c>
      <c r="W77" s="123">
        <v>0</v>
      </c>
    </row>
    <row r="78" spans="1:33" x14ac:dyDescent="0.2">
      <c r="U78" s="119"/>
      <c r="V78" s="116" t="s">
        <v>66</v>
      </c>
      <c r="W78" s="122">
        <f>SUM(W79:W79)</f>
        <v>0</v>
      </c>
    </row>
    <row r="79" spans="1:33" x14ac:dyDescent="0.2">
      <c r="U79" s="120">
        <v>53204999000000</v>
      </c>
      <c r="V79" s="117" t="s">
        <v>97</v>
      </c>
      <c r="W79" s="123">
        <v>0</v>
      </c>
    </row>
    <row r="80" spans="1:33" x14ac:dyDescent="0.2">
      <c r="U80" s="124"/>
      <c r="V80" s="125" t="s">
        <v>136</v>
      </c>
      <c r="W80" s="126">
        <f>+W40+W15</f>
        <v>64224000</v>
      </c>
    </row>
    <row r="83" ht="15.75" customHeight="1" x14ac:dyDescent="0.2"/>
    <row r="97" spans="11:12" x14ac:dyDescent="0.2">
      <c r="L97" s="128"/>
    </row>
    <row r="99" spans="11:12" x14ac:dyDescent="0.2">
      <c r="K99" s="132"/>
    </row>
    <row r="101" spans="11:12" x14ac:dyDescent="0.2">
      <c r="K101" s="129"/>
    </row>
  </sheetData>
  <sheetProtection algorithmName="SHA-512" hashValue="hZ3sqTJk6QgzaU6j+PcywdOxBiUqNwfVShmuqajdC/aBc9y6C/oSq99w0NVjKqGew5sIH3fx4a20QlcF/nvX4w==" saltValue="6WF1FDPzxiNZVZ9Yr9zoJA==" spinCount="100000" sheet="1" objects="1" scenarios="1"/>
  <mergeCells count="43"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  <mergeCell ref="A65:A69"/>
    <mergeCell ref="B65:B69"/>
    <mergeCell ref="A15:A61"/>
    <mergeCell ref="B15:B24"/>
    <mergeCell ref="B25:B34"/>
    <mergeCell ref="B35:B39"/>
    <mergeCell ref="B40:B61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N15:AO15"/>
    <mergeCell ref="AP14:AQ14"/>
    <mergeCell ref="AP15:AQ15"/>
    <mergeCell ref="AR14:AS14"/>
    <mergeCell ref="AR15:AS15"/>
  </mergeCells>
  <conditionalFormatting sqref="S15:S61">
    <cfRule type="cellIs" dxfId="7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6"/>
  <sheetViews>
    <sheetView showGridLines="0" zoomScale="60" zoomScaleNormal="60" workbookViewId="0">
      <selection activeCell="I29" sqref="I29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2" customWidth="1"/>
    <col min="4" max="4" width="14.140625" style="22" bestFit="1" customWidth="1"/>
    <col min="5" max="17" width="14.140625" style="22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0" t="s">
        <v>199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0" t="s">
        <v>191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2"/>
      <c r="C4" s="78"/>
      <c r="F4" s="78" t="s">
        <v>0</v>
      </c>
      <c r="G4" s="944" t="str">
        <f>+'B) Reajuste Tarifas y Ocupación'!F5</f>
        <v xml:space="preserve">BIENMAG </v>
      </c>
      <c r="H4" s="945"/>
      <c r="I4" s="78"/>
      <c r="J4" s="78"/>
      <c r="K4" s="78"/>
      <c r="L4" s="78"/>
      <c r="M4" s="78"/>
      <c r="N4" s="78"/>
      <c r="O4" s="78"/>
      <c r="P4" s="78"/>
      <c r="Q4" s="78"/>
      <c r="IA4" s="4"/>
      <c r="IB4" s="4"/>
      <c r="IC4" s="4"/>
      <c r="ID4" s="4"/>
      <c r="IE4" s="4"/>
      <c r="IF4" s="4"/>
    </row>
    <row r="5" spans="1:245" s="6" customFormat="1" x14ac:dyDescent="0.2">
      <c r="B5" s="22"/>
      <c r="C5" s="78"/>
      <c r="F5" s="78"/>
      <c r="G5" s="81"/>
      <c r="H5" s="81"/>
      <c r="I5" s="78"/>
      <c r="J5" s="78"/>
      <c r="K5" s="78"/>
      <c r="L5" s="78"/>
      <c r="M5" s="78"/>
      <c r="N5" s="78"/>
      <c r="O5" s="78"/>
      <c r="P5" s="78"/>
      <c r="Q5" s="78"/>
      <c r="IA5" s="4"/>
      <c r="IB5" s="4"/>
      <c r="IC5" s="4"/>
      <c r="ID5" s="4"/>
      <c r="IE5" s="4"/>
      <c r="IF5" s="4"/>
    </row>
    <row r="6" spans="1:245" s="6" customFormat="1" ht="15.75" x14ac:dyDescent="0.2">
      <c r="A6" s="949" t="s">
        <v>153</v>
      </c>
      <c r="B6" s="949"/>
      <c r="C6" s="949"/>
      <c r="D6" s="949"/>
      <c r="E6" s="80"/>
      <c r="F6" s="78"/>
      <c r="G6" s="81"/>
      <c r="H6" s="81"/>
      <c r="I6" s="78"/>
      <c r="J6" s="78"/>
      <c r="K6" s="78"/>
      <c r="L6" s="78"/>
      <c r="M6" s="78"/>
      <c r="N6" s="78"/>
      <c r="O6" s="78"/>
      <c r="P6" s="78"/>
      <c r="Q6" s="78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thickBot="1" x14ac:dyDescent="0.25">
      <c r="A8" s="950" t="s">
        <v>115</v>
      </c>
      <c r="B8" s="952" t="s">
        <v>5</v>
      </c>
      <c r="C8" s="792" t="s">
        <v>257</v>
      </c>
      <c r="D8" s="793"/>
      <c r="E8" s="793"/>
      <c r="F8" s="793"/>
      <c r="G8" s="794"/>
      <c r="H8" s="946" t="s">
        <v>223</v>
      </c>
      <c r="I8" s="947"/>
      <c r="J8" s="947"/>
      <c r="K8" s="947"/>
      <c r="L8" s="948"/>
      <c r="M8" s="942" t="s">
        <v>122</v>
      </c>
      <c r="N8" s="942"/>
      <c r="O8" s="942"/>
      <c r="P8" s="942"/>
      <c r="Q8" s="943"/>
      <c r="R8" s="942" t="s">
        <v>123</v>
      </c>
      <c r="S8" s="942"/>
      <c r="T8" s="942"/>
      <c r="U8" s="942"/>
      <c r="V8" s="943"/>
    </row>
    <row r="9" spans="1:245" ht="81.75" customHeight="1" thickBot="1" x14ac:dyDescent="0.25">
      <c r="A9" s="951" t="e">
        <f>NA()</f>
        <v>#N/A</v>
      </c>
      <c r="B9" s="953" t="e">
        <f>NA()</f>
        <v>#N/A</v>
      </c>
      <c r="C9" s="284" t="s">
        <v>87</v>
      </c>
      <c r="D9" s="285" t="s">
        <v>133</v>
      </c>
      <c r="E9" s="285" t="s">
        <v>134</v>
      </c>
      <c r="F9" s="285" t="s">
        <v>88</v>
      </c>
      <c r="G9" s="286" t="s">
        <v>89</v>
      </c>
      <c r="H9" s="329" t="s">
        <v>87</v>
      </c>
      <c r="I9" s="330" t="s">
        <v>133</v>
      </c>
      <c r="J9" s="330" t="s">
        <v>134</v>
      </c>
      <c r="K9" s="330" t="s">
        <v>88</v>
      </c>
      <c r="L9" s="323" t="s">
        <v>89</v>
      </c>
      <c r="M9" s="322" t="s">
        <v>87</v>
      </c>
      <c r="N9" s="330" t="s">
        <v>133</v>
      </c>
      <c r="O9" s="330" t="s">
        <v>134</v>
      </c>
      <c r="P9" s="330" t="s">
        <v>88</v>
      </c>
      <c r="Q9" s="331" t="s">
        <v>89</v>
      </c>
      <c r="R9" s="332" t="s">
        <v>87</v>
      </c>
      <c r="S9" s="330" t="s">
        <v>133</v>
      </c>
      <c r="T9" s="330" t="s">
        <v>134</v>
      </c>
      <c r="U9" s="330" t="s">
        <v>88</v>
      </c>
      <c r="V9" s="323" t="s">
        <v>89</v>
      </c>
    </row>
    <row r="10" spans="1:245" s="10" customFormat="1" ht="13.5" thickBot="1" x14ac:dyDescent="0.25">
      <c r="A10" s="939" t="str">
        <f>+'B) Reajuste Tarifas y Ocupación'!A12</f>
        <v>Jardín Infantil Mar y Cielo</v>
      </c>
      <c r="B10" s="277" t="str">
        <f>+'B) Reajuste Tarifas y Ocupación'!B12</f>
        <v>Media jornada</v>
      </c>
      <c r="C10" s="589">
        <f>+'B) Reajuste Tarifas y Ocupación'!M12</f>
        <v>74400</v>
      </c>
      <c r="D10" s="590">
        <f>+'B) Reajuste Tarifas y Ocupación'!N12</f>
        <v>100400</v>
      </c>
      <c r="E10" s="590">
        <f>+'B) Reajuste Tarifas y Ocupación'!O12</f>
        <v>104100</v>
      </c>
      <c r="F10" s="590">
        <f>+'B) Reajuste Tarifas y Ocupación'!P12</f>
        <v>116500</v>
      </c>
      <c r="G10" s="591">
        <f>+'B) Reajuste Tarifas y Ocupación'!Q12</f>
        <v>137600</v>
      </c>
      <c r="H10" s="651">
        <f>+'B) Reajuste Tarifas y Ocupación'!C12</f>
        <v>63800</v>
      </c>
      <c r="I10" s="596">
        <f>+'B) Reajuste Tarifas y Ocupación'!D12</f>
        <v>76500</v>
      </c>
      <c r="J10" s="596">
        <f>+'B) Reajuste Tarifas y Ocupación'!E12</f>
        <v>76500</v>
      </c>
      <c r="K10" s="596">
        <f>+'B) Reajuste Tarifas y Ocupación'!F12</f>
        <v>100000</v>
      </c>
      <c r="L10" s="645">
        <f>+'B) Reajuste Tarifas y Ocupación'!G12</f>
        <v>118100</v>
      </c>
      <c r="M10" s="636">
        <f t="shared" ref="M10:Q12" si="0">C10-H10</f>
        <v>10600</v>
      </c>
      <c r="N10" s="452">
        <f t="shared" si="0"/>
        <v>23900</v>
      </c>
      <c r="O10" s="452">
        <f t="shared" si="0"/>
        <v>27600</v>
      </c>
      <c r="P10" s="452">
        <f t="shared" si="0"/>
        <v>16500</v>
      </c>
      <c r="Q10" s="453">
        <f t="shared" si="0"/>
        <v>19500</v>
      </c>
      <c r="R10" s="454">
        <f>+'B) Reajuste Tarifas y Ocupación'!H12</f>
        <v>0.16500000000000001</v>
      </c>
      <c r="S10" s="455">
        <f>+'B) Reajuste Tarifas y Ocupación'!I12</f>
        <v>0.16500000000000001</v>
      </c>
      <c r="T10" s="455">
        <f>+'B) Reajuste Tarifas y Ocupación'!J12</f>
        <v>0.16500000000000001</v>
      </c>
      <c r="U10" s="455">
        <f>+'B) Reajuste Tarifas y Ocupación'!K12</f>
        <v>0.16500000000000001</v>
      </c>
      <c r="V10" s="283">
        <f>+'B) Reajuste Tarifas y Ocupación'!L12</f>
        <v>0.16500000000000001</v>
      </c>
    </row>
    <row r="11" spans="1:245" s="10" customFormat="1" x14ac:dyDescent="0.2">
      <c r="A11" s="940"/>
      <c r="B11" s="650" t="str">
        <f>+'B) Reajuste Tarifas y Ocupación'!B13</f>
        <v>Media jornada extendida</v>
      </c>
      <c r="C11" s="592">
        <f>+'B) Reajuste Tarifas y Ocupación'!M13</f>
        <v>122400</v>
      </c>
      <c r="D11" s="561">
        <f>+'B) Reajuste Tarifas y Ocupación'!N13</f>
        <v>165200</v>
      </c>
      <c r="E11" s="561">
        <f>+'B) Reajuste Tarifas y Ocupación'!O13</f>
        <v>171300</v>
      </c>
      <c r="F11" s="561">
        <f>+'B) Reajuste Tarifas y Ocupación'!P13</f>
        <v>153000</v>
      </c>
      <c r="G11" s="593">
        <f>+'B) Reajuste Tarifas y Ocupación'!Q13</f>
        <v>183500</v>
      </c>
      <c r="H11" s="652">
        <f>+'B) Reajuste Tarifas y Ocupación'!C13</f>
        <v>105000</v>
      </c>
      <c r="I11" s="333">
        <f>+'B) Reajuste Tarifas y Ocupación'!D13</f>
        <v>126000</v>
      </c>
      <c r="J11" s="333">
        <f>+'B) Reajuste Tarifas y Ocupación'!E13</f>
        <v>126000</v>
      </c>
      <c r="K11" s="333">
        <f>+'B) Reajuste Tarifas y Ocupación'!F13</f>
        <v>131250</v>
      </c>
      <c r="L11" s="647">
        <f>+'B) Reajuste Tarifas y Ocupación'!G13</f>
        <v>157500</v>
      </c>
      <c r="M11" s="636">
        <f t="shared" ref="M11" si="1">C11-H11</f>
        <v>17400</v>
      </c>
      <c r="N11" s="452">
        <f t="shared" ref="N11" si="2">D11-I11</f>
        <v>39200</v>
      </c>
      <c r="O11" s="452">
        <f t="shared" ref="O11" si="3">E11-J11</f>
        <v>45300</v>
      </c>
      <c r="P11" s="452">
        <f t="shared" ref="P11" si="4">F11-K11</f>
        <v>21750</v>
      </c>
      <c r="Q11" s="453">
        <f t="shared" ref="Q11" si="5">G11-L11</f>
        <v>26000</v>
      </c>
      <c r="R11" s="454">
        <f>+'B) Reajuste Tarifas y Ocupación'!H13</f>
        <v>0.16500000000000001</v>
      </c>
      <c r="S11" s="455">
        <f>+'B) Reajuste Tarifas y Ocupación'!I13</f>
        <v>0.16500000000000001</v>
      </c>
      <c r="T11" s="455">
        <f>+'B) Reajuste Tarifas y Ocupación'!J13</f>
        <v>0.16500000000000001</v>
      </c>
      <c r="U11" s="455">
        <f>+'B) Reajuste Tarifas y Ocupación'!K13</f>
        <v>0.16500000000000001</v>
      </c>
      <c r="V11" s="283">
        <f>+'B) Reajuste Tarifas y Ocupación'!L13</f>
        <v>0.16500000000000001</v>
      </c>
    </row>
    <row r="12" spans="1:245" s="10" customFormat="1" x14ac:dyDescent="0.2">
      <c r="A12" s="940"/>
      <c r="B12" s="650" t="str">
        <f>+'B) Reajuste Tarifas y Ocupación'!B14</f>
        <v xml:space="preserve">Doble jornada </v>
      </c>
      <c r="C12" s="592">
        <f>+'B) Reajuste Tarifas y Ocupación'!M14</f>
        <v>110700</v>
      </c>
      <c r="D12" s="561">
        <f>+'B) Reajuste Tarifas y Ocupación'!N14</f>
        <v>149500</v>
      </c>
      <c r="E12" s="561">
        <f>+'B) Reajuste Tarifas y Ocupación'!O14</f>
        <v>155000</v>
      </c>
      <c r="F12" s="561">
        <f>+'B) Reajuste Tarifas y Ocupación'!P14</f>
        <v>166100</v>
      </c>
      <c r="G12" s="593">
        <f>+'B) Reajuste Tarifas y Ocupación'!Q14</f>
        <v>194700</v>
      </c>
      <c r="H12" s="652">
        <f>+'B) Reajuste Tarifas y Ocupación'!C14</f>
        <v>95000</v>
      </c>
      <c r="I12" s="333">
        <f>+'B) Reajuste Tarifas y Ocupación'!D14</f>
        <v>114000</v>
      </c>
      <c r="J12" s="333">
        <f>+'B) Reajuste Tarifas y Ocupación'!E14</f>
        <v>114000</v>
      </c>
      <c r="K12" s="333">
        <f>+'B) Reajuste Tarifas y Ocupación'!F14</f>
        <v>142500</v>
      </c>
      <c r="L12" s="647">
        <f>+'B) Reajuste Tarifas y Ocupación'!G14</f>
        <v>167100</v>
      </c>
      <c r="M12" s="637">
        <f t="shared" si="0"/>
        <v>15700</v>
      </c>
      <c r="N12" s="334">
        <f t="shared" si="0"/>
        <v>35500</v>
      </c>
      <c r="O12" s="334">
        <f t="shared" si="0"/>
        <v>41000</v>
      </c>
      <c r="P12" s="334">
        <f t="shared" si="0"/>
        <v>23600</v>
      </c>
      <c r="Q12" s="456">
        <f t="shared" si="0"/>
        <v>27600</v>
      </c>
      <c r="R12" s="335">
        <f>+'B) Reajuste Tarifas y Ocupación'!H14</f>
        <v>0.16500000000000001</v>
      </c>
      <c r="S12" s="336">
        <f>+'B) Reajuste Tarifas y Ocupación'!I14</f>
        <v>0.16500000000000001</v>
      </c>
      <c r="T12" s="336">
        <f>+'B) Reajuste Tarifas y Ocupación'!J14</f>
        <v>0.16500000000000001</v>
      </c>
      <c r="U12" s="336">
        <f>+'B) Reajuste Tarifas y Ocupación'!K14</f>
        <v>0.16500000000000001</v>
      </c>
      <c r="V12" s="337">
        <f>+'B) Reajuste Tarifas y Ocupación'!L14</f>
        <v>0.16500000000000001</v>
      </c>
    </row>
    <row r="13" spans="1:245" s="10" customFormat="1" ht="13.5" thickBot="1" x14ac:dyDescent="0.25">
      <c r="A13" s="941"/>
      <c r="B13" s="278" t="str">
        <f>+'B) Reajuste Tarifas y Ocupación'!B15</f>
        <v>Jornada completa</v>
      </c>
      <c r="C13" s="280">
        <f>+'B) Reajuste Tarifas y Ocupación'!M15</f>
        <v>172700</v>
      </c>
      <c r="D13" s="281">
        <f>+'B) Reajuste Tarifas y Ocupación'!N15</f>
        <v>233100</v>
      </c>
      <c r="E13" s="281">
        <f>+'B) Reajuste Tarifas y Ocupación'!O15</f>
        <v>241800</v>
      </c>
      <c r="F13" s="281">
        <f>+'B) Reajuste Tarifas y Ocupación'!P15</f>
        <v>215900</v>
      </c>
      <c r="G13" s="282">
        <f>+'B) Reajuste Tarifas y Ocupación'!Q15</f>
        <v>224500</v>
      </c>
      <c r="H13" s="653">
        <f>+'B) Reajuste Tarifas y Ocupación'!C15</f>
        <v>148200</v>
      </c>
      <c r="I13" s="338">
        <f>+'B) Reajuste Tarifas y Ocupación'!D15</f>
        <v>177900</v>
      </c>
      <c r="J13" s="338">
        <f>+'B) Reajuste Tarifas y Ocupación'!E15</f>
        <v>177900</v>
      </c>
      <c r="K13" s="338">
        <f>+'B) Reajuste Tarifas y Ocupación'!F15</f>
        <v>185300</v>
      </c>
      <c r="L13" s="649">
        <f>+'B) Reajuste Tarifas y Ocupación'!G15</f>
        <v>192700</v>
      </c>
      <c r="M13" s="638">
        <f t="shared" ref="M13" si="6">C13-H13</f>
        <v>24500</v>
      </c>
      <c r="N13" s="598">
        <f t="shared" ref="N13" si="7">D13-I13</f>
        <v>55200</v>
      </c>
      <c r="O13" s="598">
        <f t="shared" ref="O13" si="8">E13-J13</f>
        <v>63900</v>
      </c>
      <c r="P13" s="598">
        <f t="shared" ref="P13" si="9">F13-K13</f>
        <v>30600</v>
      </c>
      <c r="Q13" s="599">
        <f t="shared" ref="Q13" si="10">G13-L13</f>
        <v>31800</v>
      </c>
      <c r="R13" s="600">
        <f>+'B) Reajuste Tarifas y Ocupación'!H15</f>
        <v>0.16500000000000001</v>
      </c>
      <c r="S13" s="601">
        <f>+'B) Reajuste Tarifas y Ocupación'!I15</f>
        <v>0.16500000000000001</v>
      </c>
      <c r="T13" s="601">
        <f>+'B) Reajuste Tarifas y Ocupación'!J15</f>
        <v>0.16500000000000001</v>
      </c>
      <c r="U13" s="601">
        <f>+'B) Reajuste Tarifas y Ocupación'!K15</f>
        <v>0.16500000000000001</v>
      </c>
      <c r="V13" s="602">
        <f>+'B) Reajuste Tarifas y Ocupación'!L15</f>
        <v>0.16500000000000001</v>
      </c>
    </row>
    <row r="14" spans="1:245" s="401" customFormat="1" x14ac:dyDescent="0.2">
      <c r="A14" s="936" t="str">
        <f>+'B) Reajuste Tarifas y Ocupación'!A16</f>
        <v>Sala Cuna Mar y Cielo Diurna</v>
      </c>
      <c r="B14" s="639" t="str">
        <f>+'[1]B) Reajuste Tarifas y Ocupación'!B15</f>
        <v>Diurna</v>
      </c>
      <c r="C14" s="640">
        <f>+'B) Reajuste Tarifas y Ocupación'!M16</f>
        <v>347400</v>
      </c>
      <c r="D14" s="641">
        <f>+'B) Reajuste Tarifas y Ocupación'!N16</f>
        <v>469000</v>
      </c>
      <c r="E14" s="641">
        <f>+'B) Reajuste Tarifas y Ocupación'!O16</f>
        <v>486400</v>
      </c>
      <c r="F14" s="641">
        <f>+'B) Reajuste Tarifas y Ocupación'!P16</f>
        <v>434200</v>
      </c>
      <c r="G14" s="656">
        <f>+'B) Reajuste Tarifas y Ocupación'!Q16</f>
        <v>521100</v>
      </c>
      <c r="H14" s="654">
        <f>+'B) Reajuste Tarifas y Ocupación'!C16</f>
        <v>327700</v>
      </c>
      <c r="I14" s="642">
        <f>+'B) Reajuste Tarifas y Ocupación'!D16</f>
        <v>393300</v>
      </c>
      <c r="J14" s="642">
        <f>+'B) Reajuste Tarifas y Ocupación'!E16</f>
        <v>393300</v>
      </c>
      <c r="K14" s="642">
        <f>+'B) Reajuste Tarifas y Ocupación'!F16</f>
        <v>409600</v>
      </c>
      <c r="L14" s="643">
        <f>+'B) Reajuste Tarifas y Ocupación'!G16</f>
        <v>491600</v>
      </c>
      <c r="M14" s="451">
        <f t="shared" ref="M14" si="11">C14-H14</f>
        <v>19700</v>
      </c>
      <c r="N14" s="452">
        <f t="shared" ref="N14" si="12">D14-I14</f>
        <v>75700</v>
      </c>
      <c r="O14" s="452">
        <f t="shared" ref="O14" si="13">E14-J14</f>
        <v>93100</v>
      </c>
      <c r="P14" s="452">
        <f t="shared" ref="P14" si="14">F14-K14</f>
        <v>24600</v>
      </c>
      <c r="Q14" s="453">
        <f t="shared" ref="Q14" si="15">G14-L14</f>
        <v>29500</v>
      </c>
      <c r="R14" s="454">
        <f>+'B) Reajuste Tarifas y Ocupación'!H16</f>
        <v>0.06</v>
      </c>
      <c r="S14" s="455">
        <f>+'B) Reajuste Tarifas y Ocupación'!I16</f>
        <v>0.06</v>
      </c>
      <c r="T14" s="455">
        <f>+'B) Reajuste Tarifas y Ocupación'!J16</f>
        <v>0.06</v>
      </c>
      <c r="U14" s="455">
        <f>+'B) Reajuste Tarifas y Ocupación'!K16</f>
        <v>0.06</v>
      </c>
      <c r="V14" s="603">
        <f>+'B) Reajuste Tarifas y Ocupación'!L16</f>
        <v>0.06</v>
      </c>
    </row>
    <row r="15" spans="1:245" s="401" customFormat="1" x14ac:dyDescent="0.2">
      <c r="A15" s="937"/>
      <c r="B15" s="427" t="str">
        <f>+'[1]B) Reajuste Tarifas y Ocupación'!B16</f>
        <v>Nocturna</v>
      </c>
      <c r="C15" s="428"/>
      <c r="D15" s="429"/>
      <c r="E15" s="429"/>
      <c r="F15" s="429"/>
      <c r="G15" s="657"/>
      <c r="H15" s="655"/>
      <c r="I15" s="430"/>
      <c r="J15" s="430"/>
      <c r="K15" s="430"/>
      <c r="L15" s="597"/>
      <c r="M15" s="431"/>
      <c r="N15" s="432"/>
      <c r="O15" s="432"/>
      <c r="P15" s="432"/>
      <c r="Q15" s="457"/>
      <c r="R15" s="431"/>
      <c r="S15" s="432"/>
      <c r="T15" s="432"/>
      <c r="U15" s="432"/>
      <c r="V15" s="458"/>
    </row>
    <row r="16" spans="1:245" s="401" customFormat="1" ht="13.5" thickBot="1" x14ac:dyDescent="0.25">
      <c r="A16" s="938"/>
      <c r="B16" s="433" t="str">
        <f>+'[1]B) Reajuste Tarifas y Ocupación'!B17</f>
        <v>Media Jornada</v>
      </c>
      <c r="C16" s="280">
        <f>+'B) Reajuste Tarifas y Ocupación'!M18</f>
        <v>208600</v>
      </c>
      <c r="D16" s="281">
        <f>+'B) Reajuste Tarifas y Ocupación'!N18</f>
        <v>281500</v>
      </c>
      <c r="E16" s="281">
        <f>+'B) Reajuste Tarifas y Ocupación'!O18</f>
        <v>292000</v>
      </c>
      <c r="F16" s="281">
        <f>+'B) Reajuste Tarifas y Ocupación'!P18</f>
        <v>312700</v>
      </c>
      <c r="G16" s="282">
        <f>+'B) Reajuste Tarifas y Ocupación'!Q18</f>
        <v>416900</v>
      </c>
      <c r="H16" s="653">
        <f>+'B) Reajuste Tarifas y Ocupación'!C18</f>
        <v>196700</v>
      </c>
      <c r="I16" s="338">
        <f>+'B) Reajuste Tarifas y Ocupación'!D18</f>
        <v>236000</v>
      </c>
      <c r="J16" s="338">
        <f>+'B) Reajuste Tarifas y Ocupación'!E18</f>
        <v>236000</v>
      </c>
      <c r="K16" s="338">
        <f>+'B) Reajuste Tarifas y Ocupación'!F18</f>
        <v>295000</v>
      </c>
      <c r="L16" s="339">
        <f>+'B) Reajuste Tarifas y Ocupación'!G18</f>
        <v>393300</v>
      </c>
      <c r="M16" s="340">
        <f t="shared" ref="M16" si="16">C16-H16</f>
        <v>11900</v>
      </c>
      <c r="N16" s="341">
        <f t="shared" ref="N16" si="17">D16-I16</f>
        <v>45500</v>
      </c>
      <c r="O16" s="341">
        <f t="shared" ref="O16" si="18">E16-J16</f>
        <v>56000</v>
      </c>
      <c r="P16" s="341">
        <f t="shared" ref="P16" si="19">F16-K16</f>
        <v>17700</v>
      </c>
      <c r="Q16" s="342">
        <f t="shared" ref="Q16" si="20">G16-L16</f>
        <v>23600</v>
      </c>
      <c r="R16" s="343">
        <f>+'B) Reajuste Tarifas y Ocupación'!H18</f>
        <v>0.06</v>
      </c>
      <c r="S16" s="344">
        <f>+'B) Reajuste Tarifas y Ocupación'!I18</f>
        <v>0.06</v>
      </c>
      <c r="T16" s="344">
        <f>+'B) Reajuste Tarifas y Ocupación'!J18</f>
        <v>0.06</v>
      </c>
      <c r="U16" s="344">
        <f>+'B) Reajuste Tarifas y Ocupación'!K18</f>
        <v>0.06</v>
      </c>
      <c r="V16" s="345">
        <f>+'B) Reajuste Tarifas y Ocupación'!L18</f>
        <v>0.06</v>
      </c>
    </row>
  </sheetData>
  <sheetProtection algorithmName="SHA-512" hashValue="bSVBL78/cWiWDg1WfKuBcblj4BHRsSbn7nhdtLw1vXV0gI7tGXv1R3So8dc09eDNk3EcCMAWlNmE0QnDsZLe3g==" saltValue="93/mRHiiwUY20ZyKwMCd5g==" spinCount="100000" sheet="1" objects="1" scenarios="1"/>
  <mergeCells count="10">
    <mergeCell ref="A14:A16"/>
    <mergeCell ref="A10:A13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6">
    <cfRule type="cellIs" dxfId="6" priority="7" operator="lessThan">
      <formula>0</formula>
    </cfRule>
  </conditionalFormatting>
  <conditionalFormatting sqref="M14:Q16">
    <cfRule type="cellIs" dxfId="5" priority="6" operator="lessThan">
      <formula>0</formula>
    </cfRule>
  </conditionalFormatting>
  <conditionalFormatting sqref="R15:V15">
    <cfRule type="cellIs" dxfId="4" priority="5" operator="lessThan">
      <formula>0</formula>
    </cfRule>
  </conditionalFormatting>
  <conditionalFormatting sqref="M15:Q15">
    <cfRule type="cellIs" dxfId="3" priority="4" operator="lessThan">
      <formula>0</formula>
    </cfRule>
  </conditionalFormatting>
  <conditionalFormatting sqref="H15:L15">
    <cfRule type="cellIs" dxfId="2" priority="3" operator="lessThan">
      <formula>0</formula>
    </cfRule>
  </conditionalFormatting>
  <conditionalFormatting sqref="H15:L15">
    <cfRule type="cellIs" dxfId="1" priority="2" operator="lessThan">
      <formula>0</formula>
    </cfRule>
  </conditionalFormatting>
  <conditionalFormatting sqref="H15:L15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D.B.S.A.ORDINARIA&amp;R02-BS0307/02Pag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T53"/>
  <sheetViews>
    <sheetView showGridLines="0" zoomScale="80" zoomScaleNormal="80" workbookViewId="0">
      <selection activeCell="M43" sqref="M43"/>
    </sheetView>
  </sheetViews>
  <sheetFormatPr baseColWidth="10" defaultColWidth="11.42578125" defaultRowHeight="12.75" x14ac:dyDescent="0.2"/>
  <cols>
    <col min="1" max="1" width="7.140625" style="27" customWidth="1"/>
    <col min="2" max="2" width="37.28515625" style="27" customWidth="1"/>
    <col min="3" max="3" width="28" style="27" customWidth="1"/>
    <col min="4" max="4" width="24.140625" style="27" customWidth="1"/>
    <col min="5" max="5" width="25.140625" style="27" customWidth="1"/>
    <col min="6" max="6" width="25.140625" style="27" bestFit="1" customWidth="1"/>
    <col min="7" max="7" width="14.85546875" style="27" customWidth="1"/>
    <col min="8" max="8" width="15" style="27" customWidth="1"/>
    <col min="9" max="9" width="15.140625" style="27" customWidth="1"/>
    <col min="10" max="10" width="20.28515625" style="27" customWidth="1"/>
    <col min="11" max="11" width="19.140625" style="27" customWidth="1"/>
    <col min="12" max="12" width="22.5703125" style="27" customWidth="1"/>
    <col min="13" max="14" width="27" style="27" customWidth="1"/>
    <col min="15" max="15" width="15.85546875" style="27" customWidth="1"/>
    <col min="16" max="16" width="14.85546875" style="27" customWidth="1"/>
    <col min="17" max="17" width="15.85546875" style="27" customWidth="1"/>
    <col min="18" max="18" width="14.28515625" style="27" customWidth="1"/>
    <col min="19" max="19" width="14.85546875" style="27" customWidth="1"/>
    <col min="20" max="20" width="14.140625" style="27" customWidth="1"/>
    <col min="21" max="21" width="16.85546875" style="27" customWidth="1"/>
    <col min="22" max="22" width="17.42578125" style="27" customWidth="1"/>
    <col min="23" max="23" width="15.28515625" style="27" customWidth="1"/>
    <col min="24" max="24" width="19.7109375" style="27" customWidth="1"/>
    <col min="25" max="25" width="17.42578125" style="27" customWidth="1"/>
    <col min="26" max="26" width="12" style="27" customWidth="1"/>
    <col min="27" max="16384" width="11.42578125" style="27"/>
  </cols>
  <sheetData>
    <row r="1" spans="2:254" s="6" customFormat="1" x14ac:dyDescent="0.2">
      <c r="C1" s="7"/>
      <c r="D1" s="7"/>
      <c r="E1" s="40" t="s">
        <v>200</v>
      </c>
      <c r="F1" s="40"/>
      <c r="G1" s="40"/>
      <c r="H1" s="40"/>
      <c r="I1" s="40"/>
      <c r="J1" s="7"/>
      <c r="K1" s="7"/>
      <c r="IH1" s="4"/>
      <c r="II1" s="4"/>
    </row>
    <row r="2" spans="2:254" s="6" customFormat="1" x14ac:dyDescent="0.2">
      <c r="E2" s="40" t="s">
        <v>192</v>
      </c>
      <c r="F2" s="40"/>
      <c r="G2" s="40"/>
      <c r="H2" s="40"/>
      <c r="I2" s="40"/>
      <c r="IH2" s="4"/>
      <c r="II2" s="4"/>
    </row>
    <row r="3" spans="2:254" s="6" customFormat="1" x14ac:dyDescent="0.2">
      <c r="B3" s="2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HY3" s="4"/>
      <c r="HZ3" s="4"/>
      <c r="IA3" s="4"/>
      <c r="IB3" s="4"/>
      <c r="IC3" s="4"/>
      <c r="ID3" s="4"/>
    </row>
    <row r="4" spans="2:254" s="6" customFormat="1" ht="18.75" customHeight="1" x14ac:dyDescent="0.2">
      <c r="B4" s="23"/>
      <c r="D4" s="483" t="s">
        <v>0</v>
      </c>
      <c r="E4" s="133" t="str">
        <f>+'B) Reajuste Tarifas y Ocupación'!F5</f>
        <v xml:space="preserve">BIENMAG </v>
      </c>
      <c r="F4" s="52"/>
      <c r="G4" s="53"/>
      <c r="H4" s="53"/>
      <c r="I4" s="53"/>
      <c r="J4" s="53"/>
      <c r="HY4" s="4"/>
      <c r="HZ4" s="4"/>
      <c r="IA4" s="4"/>
      <c r="IB4" s="4"/>
      <c r="IC4" s="4"/>
      <c r="ID4" s="4"/>
    </row>
    <row r="5" spans="2:254" s="6" customFormat="1" x14ac:dyDescent="0.2">
      <c r="B5" s="23"/>
      <c r="D5" s="485"/>
      <c r="E5" s="487"/>
      <c r="F5" s="487"/>
      <c r="G5" s="487"/>
      <c r="H5" s="487"/>
      <c r="I5" s="487"/>
      <c r="J5" s="487"/>
      <c r="HY5" s="4"/>
      <c r="HZ5" s="4"/>
      <c r="IA5" s="4"/>
      <c r="IB5" s="4"/>
      <c r="IC5" s="4"/>
      <c r="ID5" s="4"/>
    </row>
    <row r="6" spans="2:254" s="6" customFormat="1" x14ac:dyDescent="0.2">
      <c r="B6" s="23"/>
      <c r="D6" s="485"/>
      <c r="E6" s="487"/>
      <c r="F6" s="487"/>
      <c r="G6" s="487"/>
      <c r="H6" s="487"/>
      <c r="I6" s="487"/>
      <c r="J6" s="487"/>
      <c r="HY6" s="4"/>
      <c r="HZ6" s="4"/>
      <c r="IA6" s="4"/>
      <c r="IB6" s="4"/>
      <c r="IC6" s="4"/>
      <c r="ID6" s="4"/>
    </row>
    <row r="7" spans="2:254" s="14" customFormat="1" ht="15.75" x14ac:dyDescent="0.2">
      <c r="B7" s="825" t="s">
        <v>154</v>
      </c>
      <c r="C7" s="825"/>
      <c r="D7" s="825"/>
      <c r="E7" s="825"/>
      <c r="F7" s="484"/>
      <c r="G7" s="54" t="s">
        <v>4</v>
      </c>
      <c r="H7" s="55">
        <v>0.13</v>
      </c>
      <c r="I7" s="484"/>
      <c r="J7" s="487"/>
      <c r="HY7" s="10"/>
      <c r="HZ7" s="10"/>
      <c r="IA7" s="10"/>
      <c r="IB7" s="10"/>
      <c r="IC7" s="10"/>
      <c r="ID7" s="10"/>
    </row>
    <row r="8" spans="2:254" ht="13.5" thickBot="1" x14ac:dyDescent="0.25"/>
    <row r="9" spans="2:254" x14ac:dyDescent="0.2">
      <c r="B9" s="973" t="s">
        <v>115</v>
      </c>
      <c r="C9" s="977" t="s">
        <v>73</v>
      </c>
      <c r="D9" s="979" t="s">
        <v>74</v>
      </c>
      <c r="E9" s="966" t="s">
        <v>3</v>
      </c>
      <c r="F9" s="966" t="s">
        <v>82</v>
      </c>
      <c r="G9" s="968" t="s">
        <v>249</v>
      </c>
      <c r="H9" s="973" t="s">
        <v>264</v>
      </c>
      <c r="I9" s="970" t="s">
        <v>116</v>
      </c>
      <c r="J9" s="968" t="s">
        <v>117</v>
      </c>
      <c r="K9" s="960" t="s">
        <v>262</v>
      </c>
      <c r="L9" s="960" t="s">
        <v>266</v>
      </c>
      <c r="O9" s="26"/>
    </row>
    <row r="10" spans="2:254" ht="50.25" customHeight="1" thickBot="1" x14ac:dyDescent="0.25">
      <c r="B10" s="974"/>
      <c r="C10" s="978"/>
      <c r="D10" s="980"/>
      <c r="E10" s="967"/>
      <c r="F10" s="967"/>
      <c r="G10" s="969"/>
      <c r="H10" s="974"/>
      <c r="I10" s="971"/>
      <c r="J10" s="972"/>
      <c r="K10" s="961"/>
      <c r="L10" s="961"/>
      <c r="M10" s="28"/>
      <c r="N10" s="28"/>
      <c r="O10" s="962"/>
      <c r="P10" s="962"/>
      <c r="Q10" s="962"/>
      <c r="R10" s="962"/>
      <c r="S10" s="28"/>
    </row>
    <row r="11" spans="2:254" s="2" customFormat="1" ht="13.5" thickBot="1" x14ac:dyDescent="0.25">
      <c r="B11" s="963" t="str">
        <f>+'B) Reajuste Tarifas y Ocupación'!A12</f>
        <v>Jardín Infantil Mar y Cielo</v>
      </c>
      <c r="C11" s="665" t="s">
        <v>267</v>
      </c>
      <c r="D11" s="579" t="s">
        <v>268</v>
      </c>
      <c r="E11" s="367" t="s">
        <v>214</v>
      </c>
      <c r="F11" s="579" t="s">
        <v>203</v>
      </c>
      <c r="G11" s="725">
        <v>14009820</v>
      </c>
      <c r="H11" s="658">
        <f>+G11*(1+$H$7)</f>
        <v>15831096.599999998</v>
      </c>
      <c r="I11" s="727">
        <v>151001</v>
      </c>
      <c r="J11" s="704">
        <v>145638</v>
      </c>
      <c r="K11" s="586">
        <f>SUM(H11:J11)</f>
        <v>16127735.599999998</v>
      </c>
      <c r="L11" s="957">
        <f>SUM(K11:K25)</f>
        <v>77700774.939999998</v>
      </c>
      <c r="M11" s="28"/>
      <c r="N11" s="28"/>
      <c r="O11" s="29"/>
      <c r="P11" s="29"/>
      <c r="Q11" s="29"/>
      <c r="R11" s="29"/>
      <c r="S11" s="3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</row>
    <row r="12" spans="2:254" s="2" customFormat="1" ht="13.5" thickBot="1" x14ac:dyDescent="0.25">
      <c r="B12" s="964"/>
      <c r="C12" s="661" t="s">
        <v>292</v>
      </c>
      <c r="D12" s="662" t="s">
        <v>293</v>
      </c>
      <c r="E12" s="662" t="s">
        <v>214</v>
      </c>
      <c r="F12" s="436" t="s">
        <v>203</v>
      </c>
      <c r="G12" s="725">
        <v>14009820</v>
      </c>
      <c r="H12" s="659">
        <f t="shared" ref="H12:H40" si="0">+G12*(1+$H$7)</f>
        <v>15831096.599999998</v>
      </c>
      <c r="I12" s="728">
        <v>151001</v>
      </c>
      <c r="J12" s="709">
        <v>145638</v>
      </c>
      <c r="K12" s="587">
        <f t="shared" ref="K12:K40" si="1">SUM(H12:J12)</f>
        <v>16127735.599999998</v>
      </c>
      <c r="L12" s="958"/>
      <c r="M12" s="28"/>
      <c r="N12" s="28"/>
      <c r="O12" s="29"/>
      <c r="P12" s="29"/>
      <c r="Q12" s="29"/>
      <c r="R12" s="29"/>
      <c r="S12" s="3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</row>
    <row r="13" spans="2:254" s="2" customFormat="1" x14ac:dyDescent="0.2">
      <c r="B13" s="964"/>
      <c r="C13" s="732" t="s">
        <v>224</v>
      </c>
      <c r="D13" s="733" t="s">
        <v>224</v>
      </c>
      <c r="E13" s="733" t="s">
        <v>214</v>
      </c>
      <c r="F13" s="733" t="s">
        <v>203</v>
      </c>
      <c r="G13" s="725">
        <v>0</v>
      </c>
      <c r="H13" s="735">
        <v>0</v>
      </c>
      <c r="I13" s="736">
        <v>0</v>
      </c>
      <c r="J13" s="737">
        <v>0</v>
      </c>
      <c r="K13" s="587">
        <f t="shared" si="1"/>
        <v>0</v>
      </c>
      <c r="L13" s="958"/>
      <c r="M13" s="28"/>
      <c r="N13" s="28"/>
      <c r="O13" s="29"/>
      <c r="P13" s="29"/>
      <c r="Q13" s="29"/>
      <c r="R13" s="29"/>
      <c r="S13" s="3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</row>
    <row r="14" spans="2:254" s="2" customFormat="1" x14ac:dyDescent="0.2">
      <c r="B14" s="964"/>
      <c r="C14" s="666" t="s">
        <v>269</v>
      </c>
      <c r="D14" s="436" t="s">
        <v>270</v>
      </c>
      <c r="E14" s="371" t="s">
        <v>215</v>
      </c>
      <c r="F14" s="436" t="s">
        <v>203</v>
      </c>
      <c r="G14" s="734">
        <v>7908048</v>
      </c>
      <c r="H14" s="659">
        <f>+G14*(1+$H$7)</f>
        <v>8936094.2399999984</v>
      </c>
      <c r="I14" s="728">
        <v>272746</v>
      </c>
      <c r="J14" s="709">
        <v>149030</v>
      </c>
      <c r="K14" s="587">
        <f t="shared" si="1"/>
        <v>9357870.2399999984</v>
      </c>
      <c r="L14" s="958"/>
      <c r="M14" s="28"/>
      <c r="N14" s="28"/>
      <c r="O14" s="29"/>
      <c r="P14" s="29"/>
      <c r="Q14" s="29"/>
      <c r="R14" s="29"/>
      <c r="S14" s="3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2:254" s="2" customFormat="1" x14ac:dyDescent="0.2">
      <c r="B15" s="964"/>
      <c r="C15" s="666" t="s">
        <v>271</v>
      </c>
      <c r="D15" s="436" t="s">
        <v>272</v>
      </c>
      <c r="E15" s="371" t="s">
        <v>215</v>
      </c>
      <c r="F15" s="436" t="s">
        <v>203</v>
      </c>
      <c r="G15" s="734">
        <v>7088064</v>
      </c>
      <c r="H15" s="659">
        <f t="shared" si="0"/>
        <v>8009512.3199999994</v>
      </c>
      <c r="I15" s="728">
        <v>272746</v>
      </c>
      <c r="J15" s="709">
        <v>149030</v>
      </c>
      <c r="K15" s="587">
        <f t="shared" si="1"/>
        <v>8431288.3200000003</v>
      </c>
      <c r="L15" s="958"/>
      <c r="M15" s="28"/>
      <c r="N15" s="28"/>
      <c r="O15" s="29"/>
      <c r="P15" s="29"/>
      <c r="Q15" s="29"/>
      <c r="R15" s="29"/>
      <c r="S15" s="3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2:254" s="2" customFormat="1" x14ac:dyDescent="0.2">
      <c r="B16" s="964"/>
      <c r="C16" s="666" t="s">
        <v>273</v>
      </c>
      <c r="D16" s="436" t="s">
        <v>274</v>
      </c>
      <c r="E16" s="371" t="s">
        <v>215</v>
      </c>
      <c r="F16" s="436" t="s">
        <v>203</v>
      </c>
      <c r="G16" s="734">
        <v>7908048</v>
      </c>
      <c r="H16" s="659">
        <f t="shared" si="0"/>
        <v>8936094.2399999984</v>
      </c>
      <c r="I16" s="728">
        <v>272746</v>
      </c>
      <c r="J16" s="709">
        <v>149030</v>
      </c>
      <c r="K16" s="587">
        <f t="shared" si="1"/>
        <v>9357870.2399999984</v>
      </c>
      <c r="L16" s="958"/>
      <c r="M16" s="28"/>
      <c r="N16" s="28"/>
      <c r="O16" s="29"/>
      <c r="P16" s="29"/>
      <c r="Q16" s="29"/>
      <c r="R16" s="29"/>
      <c r="S16" s="3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2:254" s="2" customFormat="1" x14ac:dyDescent="0.2">
      <c r="B17" s="964"/>
      <c r="C17" s="666" t="s">
        <v>275</v>
      </c>
      <c r="D17" s="436" t="s">
        <v>276</v>
      </c>
      <c r="E17" s="371" t="s">
        <v>215</v>
      </c>
      <c r="F17" s="436" t="s">
        <v>203</v>
      </c>
      <c r="G17" s="734">
        <v>5502000</v>
      </c>
      <c r="H17" s="659">
        <f t="shared" si="0"/>
        <v>6217259.9999999991</v>
      </c>
      <c r="I17" s="728">
        <v>272746</v>
      </c>
      <c r="J17" s="709">
        <v>149030</v>
      </c>
      <c r="K17" s="587">
        <f t="shared" si="1"/>
        <v>6639035.9999999991</v>
      </c>
      <c r="L17" s="958"/>
      <c r="M17" s="28"/>
      <c r="N17" s="28"/>
      <c r="O17" s="29"/>
      <c r="P17" s="29"/>
      <c r="Q17" s="29"/>
      <c r="R17" s="29"/>
      <c r="S17" s="3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2:254" s="2" customFormat="1" x14ac:dyDescent="0.2">
      <c r="B18" s="964"/>
      <c r="C18" s="732" t="s">
        <v>277</v>
      </c>
      <c r="D18" s="733" t="s">
        <v>278</v>
      </c>
      <c r="E18" s="733" t="s">
        <v>215</v>
      </c>
      <c r="F18" s="733" t="s">
        <v>203</v>
      </c>
      <c r="G18" s="734">
        <v>0</v>
      </c>
      <c r="H18" s="744">
        <v>0</v>
      </c>
      <c r="I18" s="728">
        <v>0</v>
      </c>
      <c r="J18" s="737">
        <v>0</v>
      </c>
      <c r="K18" s="587">
        <f t="shared" si="1"/>
        <v>0</v>
      </c>
      <c r="L18" s="958"/>
      <c r="M18" s="28"/>
      <c r="N18" s="28"/>
      <c r="O18" s="29"/>
      <c r="P18" s="29"/>
      <c r="Q18" s="29"/>
      <c r="R18" s="29"/>
      <c r="S18" s="3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2:254" s="2" customFormat="1" x14ac:dyDescent="0.2">
      <c r="B19" s="964"/>
      <c r="C19" s="732" t="s">
        <v>277</v>
      </c>
      <c r="D19" s="733" t="s">
        <v>278</v>
      </c>
      <c r="E19" s="733" t="s">
        <v>215</v>
      </c>
      <c r="F19" s="733" t="s">
        <v>203</v>
      </c>
      <c r="G19" s="734">
        <v>0</v>
      </c>
      <c r="H19" s="744">
        <v>0</v>
      </c>
      <c r="I19" s="728">
        <v>0</v>
      </c>
      <c r="J19" s="737">
        <v>0</v>
      </c>
      <c r="K19" s="587">
        <f t="shared" si="1"/>
        <v>0</v>
      </c>
      <c r="L19" s="958"/>
      <c r="M19" s="28"/>
      <c r="N19" s="28"/>
      <c r="O19" s="29"/>
      <c r="P19" s="29"/>
      <c r="Q19" s="29"/>
      <c r="R19" s="29"/>
      <c r="S19" s="3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2:254" s="2" customFormat="1" x14ac:dyDescent="0.2">
      <c r="B20" s="964"/>
      <c r="C20" s="666" t="s">
        <v>279</v>
      </c>
      <c r="D20" s="436" t="s">
        <v>280</v>
      </c>
      <c r="E20" s="371" t="s">
        <v>252</v>
      </c>
      <c r="F20" s="436" t="s">
        <v>203</v>
      </c>
      <c r="G20" s="726">
        <v>7635408</v>
      </c>
      <c r="H20" s="659">
        <v>7744128</v>
      </c>
      <c r="I20" s="728">
        <v>272746</v>
      </c>
      <c r="J20" s="709">
        <v>148414</v>
      </c>
      <c r="K20" s="587">
        <f t="shared" si="1"/>
        <v>8165288</v>
      </c>
      <c r="L20" s="958"/>
      <c r="M20" s="28"/>
      <c r="N20" s="28"/>
      <c r="O20" s="29"/>
      <c r="P20" s="29"/>
      <c r="Q20" s="29"/>
      <c r="R20" s="29"/>
      <c r="S20" s="3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2:254" s="2" customFormat="1" x14ac:dyDescent="0.2">
      <c r="B21" s="964"/>
      <c r="C21" s="666" t="s">
        <v>281</v>
      </c>
      <c r="D21" s="436" t="s">
        <v>282</v>
      </c>
      <c r="E21" s="371" t="s">
        <v>253</v>
      </c>
      <c r="F21" s="436" t="s">
        <v>203</v>
      </c>
      <c r="G21" s="726">
        <v>2905638</v>
      </c>
      <c r="H21" s="659">
        <f t="shared" si="0"/>
        <v>3283370.9399999995</v>
      </c>
      <c r="I21" s="728">
        <v>136373</v>
      </c>
      <c r="J21" s="709">
        <v>74207</v>
      </c>
      <c r="K21" s="587">
        <f t="shared" si="1"/>
        <v>3493950.9399999995</v>
      </c>
      <c r="L21" s="958"/>
      <c r="M21" s="28"/>
      <c r="N21" s="28"/>
      <c r="O21" s="29"/>
      <c r="P21" s="29"/>
      <c r="Q21" s="29"/>
      <c r="R21" s="29"/>
      <c r="S21" s="3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</row>
    <row r="22" spans="2:254" s="2" customFormat="1" x14ac:dyDescent="0.2">
      <c r="B22" s="964"/>
      <c r="C22" s="437"/>
      <c r="D22" s="371"/>
      <c r="E22" s="371"/>
      <c r="F22" s="436"/>
      <c r="G22" s="667">
        <v>0</v>
      </c>
      <c r="H22" s="659">
        <f t="shared" si="0"/>
        <v>0</v>
      </c>
      <c r="I22" s="580">
        <v>0</v>
      </c>
      <c r="J22" s="584">
        <v>0</v>
      </c>
      <c r="K22" s="587">
        <f t="shared" si="1"/>
        <v>0</v>
      </c>
      <c r="L22" s="958"/>
      <c r="M22" s="28"/>
      <c r="N22" s="28"/>
      <c r="O22" s="29"/>
      <c r="P22" s="29"/>
      <c r="Q22" s="29"/>
      <c r="R22" s="29"/>
      <c r="S22" s="3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</row>
    <row r="23" spans="2:254" s="2" customFormat="1" x14ac:dyDescent="0.2">
      <c r="B23" s="964"/>
      <c r="C23" s="437" t="s">
        <v>283</v>
      </c>
      <c r="D23" s="371" t="s">
        <v>284</v>
      </c>
      <c r="E23" s="371" t="s">
        <v>285</v>
      </c>
      <c r="F23" s="436"/>
      <c r="G23" s="667">
        <v>0</v>
      </c>
      <c r="H23" s="659">
        <f t="shared" si="0"/>
        <v>0</v>
      </c>
      <c r="I23" s="580">
        <v>0</v>
      </c>
      <c r="J23" s="584">
        <v>0</v>
      </c>
      <c r="K23" s="587">
        <f t="shared" si="1"/>
        <v>0</v>
      </c>
      <c r="L23" s="958"/>
      <c r="M23" s="28"/>
      <c r="N23" s="28"/>
      <c r="O23" s="29"/>
      <c r="P23" s="29"/>
      <c r="Q23" s="29"/>
      <c r="R23" s="29"/>
      <c r="S23" s="3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</row>
    <row r="24" spans="2:254" s="2" customFormat="1" x14ac:dyDescent="0.2">
      <c r="B24" s="964"/>
      <c r="C24" s="437" t="s">
        <v>286</v>
      </c>
      <c r="D24" s="371" t="s">
        <v>287</v>
      </c>
      <c r="E24" s="371" t="s">
        <v>288</v>
      </c>
      <c r="F24" s="436"/>
      <c r="G24" s="667">
        <v>0</v>
      </c>
      <c r="H24" s="659">
        <f t="shared" si="0"/>
        <v>0</v>
      </c>
      <c r="I24" s="580">
        <v>0</v>
      </c>
      <c r="J24" s="584">
        <v>0</v>
      </c>
      <c r="K24" s="587">
        <f t="shared" si="1"/>
        <v>0</v>
      </c>
      <c r="L24" s="958"/>
      <c r="M24" s="28"/>
      <c r="N24" s="28"/>
      <c r="O24" s="29"/>
      <c r="P24" s="29"/>
      <c r="Q24" s="29"/>
      <c r="R24" s="29"/>
      <c r="S24" s="3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2:254" ht="13.5" thickBot="1" x14ac:dyDescent="0.25">
      <c r="B25" s="965"/>
      <c r="C25" s="180"/>
      <c r="D25" s="178"/>
      <c r="E25" s="178"/>
      <c r="F25" s="583"/>
      <c r="G25" s="668">
        <v>0</v>
      </c>
      <c r="H25" s="660">
        <f t="shared" si="0"/>
        <v>0</v>
      </c>
      <c r="I25" s="435">
        <v>0</v>
      </c>
      <c r="J25" s="585">
        <v>0</v>
      </c>
      <c r="K25" s="588">
        <f t="shared" si="1"/>
        <v>0</v>
      </c>
      <c r="L25" s="959"/>
      <c r="M25" s="28"/>
      <c r="N25" s="28"/>
      <c r="O25" s="32"/>
      <c r="P25" s="32"/>
      <c r="Q25" s="32"/>
      <c r="R25" s="32"/>
      <c r="S25" s="33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2:254" x14ac:dyDescent="0.2">
      <c r="B26" s="954" t="str">
        <f>+'B) Reajuste Tarifas y Ocupación'!A16</f>
        <v>Sala Cuna Mar y Cielo Diurna</v>
      </c>
      <c r="C26" s="437" t="s">
        <v>289</v>
      </c>
      <c r="D26" s="371" t="s">
        <v>290</v>
      </c>
      <c r="E26" s="371" t="s">
        <v>291</v>
      </c>
      <c r="F26" s="663" t="s">
        <v>250</v>
      </c>
      <c r="G26" s="664"/>
      <c r="H26" s="586">
        <f t="shared" si="0"/>
        <v>0</v>
      </c>
      <c r="I26" s="434"/>
      <c r="J26" s="386"/>
      <c r="K26" s="586">
        <f>SUM(H26:J26)</f>
        <v>0</v>
      </c>
      <c r="L26" s="957">
        <f>SUM(K26:K40)</f>
        <v>26245683</v>
      </c>
      <c r="M26" s="26"/>
      <c r="N26" s="26"/>
      <c r="O26" s="34"/>
      <c r="P26" s="35"/>
      <c r="Q26" s="35"/>
      <c r="R26" s="36"/>
      <c r="S26" s="36"/>
    </row>
    <row r="27" spans="2:254" x14ac:dyDescent="0.2">
      <c r="B27" s="955"/>
      <c r="C27" s="581" t="s">
        <v>294</v>
      </c>
      <c r="D27" s="371" t="s">
        <v>295</v>
      </c>
      <c r="E27" s="371" t="s">
        <v>215</v>
      </c>
      <c r="F27" s="436" t="s">
        <v>250</v>
      </c>
      <c r="G27" s="734">
        <v>7088064</v>
      </c>
      <c r="H27" s="587">
        <f t="shared" si="0"/>
        <v>8009512.3199999994</v>
      </c>
      <c r="I27" s="728">
        <v>272746</v>
      </c>
      <c r="J27" s="709">
        <v>149030</v>
      </c>
      <c r="K27" s="587">
        <f t="shared" si="1"/>
        <v>8431288.3200000003</v>
      </c>
      <c r="L27" s="958"/>
      <c r="M27" s="26"/>
      <c r="N27" s="26"/>
      <c r="O27" s="34"/>
      <c r="P27" s="35"/>
      <c r="Q27" s="35"/>
      <c r="R27" s="36"/>
      <c r="S27" s="36"/>
    </row>
    <row r="28" spans="2:254" x14ac:dyDescent="0.2">
      <c r="B28" s="955"/>
      <c r="C28" s="581" t="s">
        <v>296</v>
      </c>
      <c r="D28" s="371" t="s">
        <v>297</v>
      </c>
      <c r="E28" s="371" t="s">
        <v>215</v>
      </c>
      <c r="F28" s="436" t="s">
        <v>250</v>
      </c>
      <c r="G28" s="734">
        <v>7088064</v>
      </c>
      <c r="H28" s="587">
        <f t="shared" si="0"/>
        <v>8009512.3199999994</v>
      </c>
      <c r="I28" s="728">
        <v>272746</v>
      </c>
      <c r="J28" s="709">
        <v>149030</v>
      </c>
      <c r="K28" s="587">
        <f>SUM(H28:J28)</f>
        <v>8431288.3200000003</v>
      </c>
      <c r="L28" s="958"/>
      <c r="M28" s="34"/>
      <c r="N28" s="34"/>
      <c r="O28" s="34"/>
      <c r="P28" s="35"/>
      <c r="Q28" s="35"/>
      <c r="R28" s="36"/>
      <c r="S28" s="36"/>
    </row>
    <row r="29" spans="2:254" x14ac:dyDescent="0.2">
      <c r="B29" s="955"/>
      <c r="C29" s="581" t="s">
        <v>298</v>
      </c>
      <c r="D29" s="371" t="s">
        <v>299</v>
      </c>
      <c r="E29" s="436" t="s">
        <v>252</v>
      </c>
      <c r="F29" s="436" t="s">
        <v>250</v>
      </c>
      <c r="G29" s="709">
        <v>4838928</v>
      </c>
      <c r="H29" s="587">
        <f t="shared" si="0"/>
        <v>5467988.6399999997</v>
      </c>
      <c r="I29" s="728">
        <v>272746</v>
      </c>
      <c r="J29" s="709">
        <v>148414</v>
      </c>
      <c r="K29" s="587">
        <f t="shared" si="1"/>
        <v>5889148.6399999997</v>
      </c>
      <c r="L29" s="958"/>
      <c r="M29" s="746"/>
      <c r="N29" s="746"/>
      <c r="O29" s="34"/>
      <c r="P29" s="35"/>
      <c r="Q29" s="35"/>
      <c r="R29" s="36"/>
      <c r="S29" s="36"/>
    </row>
    <row r="30" spans="2:254" x14ac:dyDescent="0.2">
      <c r="B30" s="955"/>
      <c r="C30" s="666" t="s">
        <v>281</v>
      </c>
      <c r="D30" s="436" t="s">
        <v>282</v>
      </c>
      <c r="E30" s="371" t="s">
        <v>253</v>
      </c>
      <c r="F30" s="436" t="s">
        <v>250</v>
      </c>
      <c r="G30" s="709">
        <v>2905644</v>
      </c>
      <c r="H30" s="587">
        <f t="shared" si="0"/>
        <v>3283377.7199999997</v>
      </c>
      <c r="I30" s="728">
        <v>136373</v>
      </c>
      <c r="J30" s="709">
        <v>74207</v>
      </c>
      <c r="K30" s="587">
        <f t="shared" si="1"/>
        <v>3493957.7199999997</v>
      </c>
      <c r="L30" s="958"/>
      <c r="M30" s="975"/>
      <c r="N30" s="976"/>
      <c r="O30" s="34"/>
      <c r="P30" s="35"/>
      <c r="Q30" s="35"/>
      <c r="R30" s="36"/>
      <c r="S30" s="36"/>
    </row>
    <row r="31" spans="2:254" x14ac:dyDescent="0.2">
      <c r="B31" s="955"/>
      <c r="C31" s="581"/>
      <c r="D31" s="371"/>
      <c r="E31" s="371"/>
      <c r="F31" s="371"/>
      <c r="G31" s="584">
        <v>0</v>
      </c>
      <c r="H31" s="587">
        <f t="shared" si="0"/>
        <v>0</v>
      </c>
      <c r="I31" s="580">
        <v>0</v>
      </c>
      <c r="J31" s="584">
        <v>0</v>
      </c>
      <c r="K31" s="587">
        <f t="shared" si="1"/>
        <v>0</v>
      </c>
      <c r="L31" s="958"/>
      <c r="M31" s="34"/>
      <c r="N31" s="34"/>
      <c r="O31" s="34"/>
      <c r="P31" s="35"/>
      <c r="Q31" s="35"/>
      <c r="R31" s="36"/>
      <c r="S31" s="36"/>
    </row>
    <row r="32" spans="2:254" x14ac:dyDescent="0.2">
      <c r="B32" s="955"/>
      <c r="C32" s="581"/>
      <c r="D32" s="371"/>
      <c r="E32" s="371"/>
      <c r="F32" s="371"/>
      <c r="G32" s="584">
        <v>0</v>
      </c>
      <c r="H32" s="587">
        <f t="shared" si="0"/>
        <v>0</v>
      </c>
      <c r="I32" s="580">
        <v>0</v>
      </c>
      <c r="J32" s="584">
        <v>0</v>
      </c>
      <c r="K32" s="587">
        <f t="shared" si="1"/>
        <v>0</v>
      </c>
      <c r="L32" s="958"/>
      <c r="M32" s="34"/>
      <c r="N32" s="34"/>
      <c r="O32" s="34"/>
      <c r="P32" s="35"/>
      <c r="Q32" s="35"/>
      <c r="R32" s="36"/>
      <c r="S32" s="36"/>
    </row>
    <row r="33" spans="2:19" x14ac:dyDescent="0.2">
      <c r="B33" s="955"/>
      <c r="C33" s="581"/>
      <c r="D33" s="371"/>
      <c r="E33" s="371"/>
      <c r="F33" s="371"/>
      <c r="G33" s="584">
        <v>0</v>
      </c>
      <c r="H33" s="587">
        <f t="shared" si="0"/>
        <v>0</v>
      </c>
      <c r="I33" s="580">
        <v>0</v>
      </c>
      <c r="J33" s="584">
        <v>0</v>
      </c>
      <c r="K33" s="587">
        <f t="shared" si="1"/>
        <v>0</v>
      </c>
      <c r="L33" s="958"/>
      <c r="M33" s="34"/>
      <c r="N33" s="34"/>
      <c r="O33" s="34"/>
      <c r="P33" s="35"/>
      <c r="Q33" s="35"/>
      <c r="R33" s="36"/>
      <c r="S33" s="36"/>
    </row>
    <row r="34" spans="2:19" x14ac:dyDescent="0.2">
      <c r="B34" s="955"/>
      <c r="C34" s="581"/>
      <c r="D34" s="371"/>
      <c r="E34" s="371"/>
      <c r="F34" s="371"/>
      <c r="G34" s="584">
        <v>0</v>
      </c>
      <c r="H34" s="587">
        <f t="shared" si="0"/>
        <v>0</v>
      </c>
      <c r="I34" s="580">
        <v>0</v>
      </c>
      <c r="J34" s="584">
        <v>0</v>
      </c>
      <c r="K34" s="587">
        <f t="shared" si="1"/>
        <v>0</v>
      </c>
      <c r="L34" s="958"/>
    </row>
    <row r="35" spans="2:19" x14ac:dyDescent="0.2">
      <c r="B35" s="955"/>
      <c r="C35" s="581"/>
      <c r="D35" s="371"/>
      <c r="E35" s="371"/>
      <c r="F35" s="371"/>
      <c r="G35" s="584">
        <v>0</v>
      </c>
      <c r="H35" s="587">
        <f t="shared" si="0"/>
        <v>0</v>
      </c>
      <c r="I35" s="580">
        <v>0</v>
      </c>
      <c r="J35" s="584">
        <v>0</v>
      </c>
      <c r="K35" s="587">
        <f t="shared" si="1"/>
        <v>0</v>
      </c>
      <c r="L35" s="958"/>
    </row>
    <row r="36" spans="2:19" x14ac:dyDescent="0.2">
      <c r="B36" s="955"/>
      <c r="C36" s="581"/>
      <c r="D36" s="371"/>
      <c r="E36" s="371"/>
      <c r="F36" s="371"/>
      <c r="G36" s="584">
        <v>0</v>
      </c>
      <c r="H36" s="587">
        <f t="shared" si="0"/>
        <v>0</v>
      </c>
      <c r="I36" s="580">
        <v>0</v>
      </c>
      <c r="J36" s="584">
        <v>0</v>
      </c>
      <c r="K36" s="587">
        <f t="shared" si="1"/>
        <v>0</v>
      </c>
      <c r="L36" s="958"/>
    </row>
    <row r="37" spans="2:19" x14ac:dyDescent="0.2">
      <c r="B37" s="955"/>
      <c r="C37" s="581"/>
      <c r="D37" s="371"/>
      <c r="E37" s="371"/>
      <c r="F37" s="371"/>
      <c r="G37" s="584">
        <v>0</v>
      </c>
      <c r="H37" s="587">
        <f t="shared" si="0"/>
        <v>0</v>
      </c>
      <c r="I37" s="580">
        <v>0</v>
      </c>
      <c r="J37" s="584">
        <v>0</v>
      </c>
      <c r="K37" s="587">
        <f t="shared" si="1"/>
        <v>0</v>
      </c>
      <c r="L37" s="958"/>
    </row>
    <row r="38" spans="2:19" x14ac:dyDescent="0.2">
      <c r="B38" s="955"/>
      <c r="C38" s="581"/>
      <c r="D38" s="371"/>
      <c r="E38" s="371"/>
      <c r="F38" s="371"/>
      <c r="G38" s="584">
        <v>0</v>
      </c>
      <c r="H38" s="587">
        <f t="shared" si="0"/>
        <v>0</v>
      </c>
      <c r="I38" s="580">
        <v>0</v>
      </c>
      <c r="J38" s="584">
        <v>0</v>
      </c>
      <c r="K38" s="587">
        <f t="shared" si="1"/>
        <v>0</v>
      </c>
      <c r="L38" s="958"/>
    </row>
    <row r="39" spans="2:19" x14ac:dyDescent="0.2">
      <c r="B39" s="955"/>
      <c r="C39" s="581"/>
      <c r="D39" s="371"/>
      <c r="E39" s="371"/>
      <c r="F39" s="371"/>
      <c r="G39" s="584">
        <v>0</v>
      </c>
      <c r="H39" s="587">
        <f t="shared" si="0"/>
        <v>0</v>
      </c>
      <c r="I39" s="580">
        <v>0</v>
      </c>
      <c r="J39" s="584">
        <v>0</v>
      </c>
      <c r="K39" s="587">
        <f t="shared" si="1"/>
        <v>0</v>
      </c>
      <c r="L39" s="958"/>
    </row>
    <row r="40" spans="2:19" ht="13.5" thickBot="1" x14ac:dyDescent="0.25">
      <c r="B40" s="956"/>
      <c r="C40" s="374"/>
      <c r="D40" s="178"/>
      <c r="E40" s="178"/>
      <c r="F40" s="178"/>
      <c r="G40" s="585">
        <v>0</v>
      </c>
      <c r="H40" s="588">
        <f t="shared" si="0"/>
        <v>0</v>
      </c>
      <c r="I40" s="435">
        <v>0</v>
      </c>
      <c r="J40" s="585">
        <v>0</v>
      </c>
      <c r="K40" s="588">
        <f t="shared" si="1"/>
        <v>0</v>
      </c>
      <c r="L40" s="959"/>
    </row>
    <row r="41" spans="2:19" ht="16.5" thickBot="1" x14ac:dyDescent="0.25">
      <c r="B41" s="25"/>
      <c r="C41" s="41"/>
      <c r="D41" s="41"/>
      <c r="E41" s="42"/>
      <c r="F41" s="42"/>
      <c r="G41" s="42"/>
      <c r="H41" s="42"/>
      <c r="I41" s="42"/>
      <c r="J41" s="37"/>
      <c r="K41" s="328" t="s">
        <v>95</v>
      </c>
      <c r="L41" s="179">
        <f>SUM(L11:L40)</f>
        <v>103946457.94</v>
      </c>
    </row>
    <row r="42" spans="2:19" x14ac:dyDescent="0.2">
      <c r="B42" s="25"/>
      <c r="C42" s="41"/>
      <c r="D42" s="41"/>
      <c r="E42" s="42"/>
      <c r="F42" s="42"/>
      <c r="G42" s="42"/>
      <c r="H42" s="42"/>
      <c r="I42" s="42"/>
      <c r="J42" s="37"/>
      <c r="K42" s="37"/>
      <c r="L42" s="37"/>
    </row>
    <row r="43" spans="2:19" x14ac:dyDescent="0.2">
      <c r="B43" s="25"/>
      <c r="C43" s="25"/>
      <c r="D43" s="25"/>
      <c r="E43" s="25"/>
      <c r="F43" s="25"/>
      <c r="G43" s="25"/>
      <c r="H43" s="25"/>
      <c r="I43" s="25"/>
      <c r="J43" s="34"/>
      <c r="K43" s="730"/>
      <c r="L43" s="34"/>
      <c r="M43" s="731"/>
      <c r="N43" s="731"/>
    </row>
    <row r="44" spans="2:19" x14ac:dyDescent="0.2">
      <c r="L44" s="731"/>
      <c r="M44" s="731"/>
      <c r="N44" s="731"/>
    </row>
    <row r="45" spans="2:19" x14ac:dyDescent="0.2">
      <c r="L45" s="731"/>
      <c r="M45" s="731"/>
      <c r="N45" s="731"/>
    </row>
    <row r="47" spans="2:19" x14ac:dyDescent="0.2">
      <c r="I47" s="745"/>
      <c r="J47" s="745"/>
      <c r="K47" s="745"/>
      <c r="L47" s="745"/>
      <c r="M47" s="745"/>
      <c r="N47" s="745"/>
    </row>
    <row r="48" spans="2:19" x14ac:dyDescent="0.2">
      <c r="I48" s="745"/>
      <c r="J48" s="743"/>
      <c r="K48" s="743"/>
      <c r="L48" s="743"/>
      <c r="M48" s="743"/>
      <c r="N48" s="743"/>
    </row>
    <row r="49" spans="9:14" x14ac:dyDescent="0.2">
      <c r="I49" s="745"/>
      <c r="J49" s="743"/>
      <c r="K49" s="743"/>
      <c r="L49" s="743"/>
      <c r="M49" s="743"/>
      <c r="N49" s="743"/>
    </row>
    <row r="50" spans="9:14" x14ac:dyDescent="0.2">
      <c r="I50" s="745"/>
      <c r="J50" s="743"/>
      <c r="K50" s="743"/>
      <c r="L50" s="743"/>
      <c r="M50" s="743"/>
      <c r="N50" s="743"/>
    </row>
    <row r="51" spans="9:14" x14ac:dyDescent="0.2">
      <c r="I51" s="745"/>
      <c r="J51" s="745"/>
      <c r="K51" s="745"/>
      <c r="L51" s="745"/>
      <c r="M51" s="745"/>
      <c r="N51" s="745"/>
    </row>
    <row r="52" spans="9:14" x14ac:dyDescent="0.2">
      <c r="I52" s="745"/>
      <c r="J52" s="745"/>
      <c r="K52" s="745"/>
      <c r="L52" s="745"/>
      <c r="M52" s="745"/>
      <c r="N52" s="745"/>
    </row>
    <row r="53" spans="9:14" x14ac:dyDescent="0.2">
      <c r="I53" s="745"/>
      <c r="J53" s="745"/>
      <c r="K53" s="745"/>
      <c r="L53" s="745"/>
      <c r="M53" s="745"/>
      <c r="N53" s="745"/>
    </row>
  </sheetData>
  <sheetProtection algorithmName="SHA-512" hashValue="4UXY5ivyplVmaK43OgqIjTpojBwlG2/V0wUJmX/JxQ11YG4npPJNWtVVq/bd0RG9XpWeqBjWZhfyz+yRdAyQxQ==" saltValue="5vSQ89amBlPCpJ49pQa4Ag==" spinCount="100000" sheet="1" objects="1" scenarios="1"/>
  <mergeCells count="18">
    <mergeCell ref="B7:E7"/>
    <mergeCell ref="B9:B10"/>
    <mergeCell ref="C9:C10"/>
    <mergeCell ref="D9:D10"/>
    <mergeCell ref="E9:E10"/>
    <mergeCell ref="B26:B40"/>
    <mergeCell ref="L26:L40"/>
    <mergeCell ref="K9:K10"/>
    <mergeCell ref="L9:L10"/>
    <mergeCell ref="O10:R10"/>
    <mergeCell ref="B11:B25"/>
    <mergeCell ref="L11:L25"/>
    <mergeCell ref="F9:F10"/>
    <mergeCell ref="G9:G10"/>
    <mergeCell ref="I9:I10"/>
    <mergeCell ref="J9:J10"/>
    <mergeCell ref="H9:H10"/>
    <mergeCell ref="M30:N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22"/>
  <sheetViews>
    <sheetView showGridLines="0" topLeftCell="G1" zoomScale="90" zoomScaleNormal="90" workbookViewId="0">
      <selection activeCell="O32" sqref="O32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42578125" style="4" bestFit="1" customWidth="1"/>
    <col min="14" max="14" width="14.7109375" style="10" customWidth="1"/>
    <col min="15" max="15" width="33.42578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0"/>
      <c r="C1" s="40"/>
      <c r="D1" s="40" t="s">
        <v>201</v>
      </c>
      <c r="E1" s="40"/>
      <c r="F1" s="40"/>
      <c r="G1" s="40"/>
      <c r="H1" s="40"/>
      <c r="I1" s="40"/>
      <c r="J1" s="40"/>
      <c r="K1" s="40"/>
      <c r="L1" s="40"/>
      <c r="M1" s="40"/>
      <c r="N1" s="40"/>
      <c r="P1" s="40"/>
    </row>
    <row r="2" spans="1:19" x14ac:dyDescent="0.2">
      <c r="B2" s="40"/>
      <c r="C2" s="40"/>
      <c r="D2" s="40" t="s">
        <v>193</v>
      </c>
      <c r="E2" s="40"/>
      <c r="F2" s="40"/>
      <c r="G2" s="40"/>
      <c r="H2" s="40"/>
      <c r="I2" s="40"/>
      <c r="J2" s="40"/>
      <c r="K2" s="40"/>
      <c r="L2" s="40"/>
      <c r="M2" s="40"/>
      <c r="N2" s="40"/>
      <c r="P2" s="40"/>
    </row>
    <row r="3" spans="1:19" x14ac:dyDescent="0.2">
      <c r="C3" s="14"/>
      <c r="D3" s="14"/>
      <c r="E3" s="14"/>
      <c r="F3" s="14"/>
      <c r="G3" s="14"/>
      <c r="H3" s="14"/>
      <c r="I3" s="14"/>
      <c r="J3" s="14"/>
      <c r="K3" s="14"/>
      <c r="L3" s="14"/>
      <c r="N3" s="14"/>
      <c r="P3" s="14"/>
    </row>
    <row r="4" spans="1:19" ht="18.75" customHeight="1" x14ac:dyDescent="0.2">
      <c r="C4" s="18" t="s">
        <v>0</v>
      </c>
      <c r="D4" s="986" t="str">
        <f>+'B) Reajuste Tarifas y Ocupación'!F5</f>
        <v xml:space="preserve">BIENMAG </v>
      </c>
      <c r="E4" s="785"/>
      <c r="F4" s="987"/>
      <c r="G4" s="195"/>
      <c r="H4" s="195"/>
      <c r="I4" s="195"/>
      <c r="J4" s="195"/>
      <c r="K4" s="195"/>
      <c r="L4" s="195"/>
      <c r="N4" s="195"/>
      <c r="P4" s="195"/>
    </row>
    <row r="5" spans="1:19" x14ac:dyDescent="0.2">
      <c r="A5" s="9"/>
      <c r="B5" s="19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P5" s="195"/>
    </row>
    <row r="6" spans="1:19" x14ac:dyDescent="0.2">
      <c r="A6" s="9"/>
      <c r="B6" s="19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P6" s="195"/>
    </row>
    <row r="7" spans="1:19" ht="12.75" customHeight="1" x14ac:dyDescent="0.2">
      <c r="A7" s="999" t="s">
        <v>127</v>
      </c>
      <c r="B7" s="1000"/>
      <c r="C7" s="1000"/>
      <c r="D7" s="1000"/>
      <c r="E7" s="1000"/>
      <c r="F7" s="1000"/>
      <c r="G7" s="1000"/>
      <c r="H7" s="1000"/>
      <c r="I7" s="1000"/>
      <c r="J7" s="1000"/>
      <c r="K7" s="1000"/>
      <c r="L7" s="1000"/>
      <c r="M7" s="1000"/>
      <c r="N7" s="1000"/>
      <c r="O7" s="1001"/>
      <c r="P7" s="50"/>
    </row>
    <row r="8" spans="1:19" x14ac:dyDescent="0.2">
      <c r="A8" s="1002"/>
      <c r="B8" s="1003"/>
      <c r="C8" s="1003"/>
      <c r="D8" s="1003"/>
      <c r="E8" s="1003"/>
      <c r="F8" s="1003"/>
      <c r="G8" s="1003"/>
      <c r="H8" s="1003"/>
      <c r="I8" s="1003"/>
      <c r="J8" s="1003"/>
      <c r="K8" s="1003"/>
      <c r="L8" s="1003"/>
      <c r="M8" s="1003"/>
      <c r="N8" s="1003"/>
      <c r="O8" s="1004"/>
      <c r="P8" s="50"/>
    </row>
    <row r="9" spans="1:19" x14ac:dyDescent="0.2">
      <c r="A9" s="1005"/>
      <c r="B9" s="1006"/>
      <c r="C9" s="1006"/>
      <c r="D9" s="1006"/>
      <c r="E9" s="1006"/>
      <c r="F9" s="1006"/>
      <c r="G9" s="1006"/>
      <c r="H9" s="1006"/>
      <c r="I9" s="1006"/>
      <c r="J9" s="1006"/>
      <c r="K9" s="1006"/>
      <c r="L9" s="1006"/>
      <c r="M9" s="1006"/>
      <c r="N9" s="1006"/>
      <c r="O9" s="1007"/>
      <c r="P9" s="50"/>
    </row>
    <row r="10" spans="1:19" x14ac:dyDescent="0.2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</row>
    <row r="11" spans="1:19" x14ac:dyDescent="0.2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19" ht="15.75" x14ac:dyDescent="0.2">
      <c r="A12" s="949" t="s">
        <v>155</v>
      </c>
      <c r="B12" s="949"/>
      <c r="C12" s="949"/>
      <c r="D12" s="949"/>
      <c r="E12" s="196"/>
      <c r="F12" s="46"/>
      <c r="G12" s="46"/>
      <c r="H12" s="46"/>
      <c r="I12" s="45"/>
      <c r="J12" s="45"/>
      <c r="K12" s="46"/>
      <c r="L12" s="46"/>
      <c r="M12" s="46"/>
      <c r="N12" s="46"/>
      <c r="O12" s="46"/>
      <c r="P12" s="46"/>
    </row>
    <row r="13" spans="1:19" ht="13.5" thickBot="1" x14ac:dyDescent="0.25">
      <c r="A13" s="9"/>
      <c r="B13" s="19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P13" s="195"/>
    </row>
    <row r="14" spans="1:19" ht="20.25" customHeight="1" x14ac:dyDescent="0.2">
      <c r="A14" s="990" t="s">
        <v>132</v>
      </c>
      <c r="B14" s="992" t="s">
        <v>5</v>
      </c>
      <c r="C14" s="792" t="s">
        <v>257</v>
      </c>
      <c r="D14" s="793"/>
      <c r="E14" s="793"/>
      <c r="F14" s="793"/>
      <c r="G14" s="794"/>
      <c r="H14" s="996" t="s">
        <v>137</v>
      </c>
      <c r="I14" s="997"/>
      <c r="J14" s="997"/>
      <c r="K14" s="997"/>
      <c r="L14" s="998"/>
      <c r="M14" s="994" t="s">
        <v>111</v>
      </c>
      <c r="N14" s="995"/>
      <c r="O14" s="988" t="s">
        <v>112</v>
      </c>
      <c r="P14" s="989"/>
      <c r="Q14" s="984" t="s">
        <v>128</v>
      </c>
    </row>
    <row r="15" spans="1:19" ht="70.5" customHeight="1" thickBot="1" x14ac:dyDescent="0.25">
      <c r="A15" s="991"/>
      <c r="B15" s="993"/>
      <c r="C15" s="284" t="s">
        <v>87</v>
      </c>
      <c r="D15" s="285" t="s">
        <v>133</v>
      </c>
      <c r="E15" s="285" t="s">
        <v>134</v>
      </c>
      <c r="F15" s="285" t="s">
        <v>88</v>
      </c>
      <c r="G15" s="286" t="s">
        <v>89</v>
      </c>
      <c r="H15" s="287" t="s">
        <v>87</v>
      </c>
      <c r="I15" s="288" t="s">
        <v>133</v>
      </c>
      <c r="J15" s="288" t="s">
        <v>134</v>
      </c>
      <c r="K15" s="288" t="s">
        <v>88</v>
      </c>
      <c r="L15" s="289" t="s">
        <v>89</v>
      </c>
      <c r="M15" s="290" t="s">
        <v>72</v>
      </c>
      <c r="N15" s="582" t="s">
        <v>86</v>
      </c>
      <c r="O15" s="291" t="s">
        <v>72</v>
      </c>
      <c r="P15" s="177" t="s">
        <v>86</v>
      </c>
      <c r="Q15" s="985"/>
    </row>
    <row r="16" spans="1:19" ht="12.75" customHeight="1" x14ac:dyDescent="0.2">
      <c r="A16" s="981" t="str">
        <f>'B) Reajuste Tarifas y Ocupación'!A12</f>
        <v>Jardín Infantil Mar y Cielo</v>
      </c>
      <c r="B16" s="644" t="str">
        <f>+'B) Reajuste Tarifas y Ocupación'!B12</f>
        <v>Media jornada</v>
      </c>
      <c r="C16" s="590">
        <f>+'B) Reajuste Tarifas y Ocupación'!M12</f>
        <v>74400</v>
      </c>
      <c r="D16" s="590">
        <f>+'B) Reajuste Tarifas y Ocupación'!N12</f>
        <v>100400</v>
      </c>
      <c r="E16" s="590">
        <f>+'B) Reajuste Tarifas y Ocupación'!O12</f>
        <v>104100</v>
      </c>
      <c r="F16" s="590">
        <f>+'B) Reajuste Tarifas y Ocupación'!P12</f>
        <v>116500</v>
      </c>
      <c r="G16" s="591">
        <f>+'B) Reajuste Tarifas y Ocupación'!Q12</f>
        <v>137600</v>
      </c>
      <c r="H16" s="671">
        <f t="shared" ref="H16:K18" si="0">IFERROR(C16/$Q16,0)</f>
        <v>0.41915492957746481</v>
      </c>
      <c r="I16" s="672">
        <f t="shared" si="0"/>
        <v>0.56563380281690145</v>
      </c>
      <c r="J16" s="672">
        <f t="shared" si="0"/>
        <v>0.58647887323943659</v>
      </c>
      <c r="K16" s="672">
        <f t="shared" si="0"/>
        <v>0.6563380281690141</v>
      </c>
      <c r="L16" s="672">
        <f t="shared" ref="L16" si="1">IFERROR(G16/$Q16,0)</f>
        <v>0.77521126760563386</v>
      </c>
      <c r="M16" s="367" t="s">
        <v>336</v>
      </c>
      <c r="N16" s="673">
        <v>180000</v>
      </c>
      <c r="O16" s="367" t="s">
        <v>338</v>
      </c>
      <c r="P16" s="673">
        <v>175000</v>
      </c>
      <c r="Q16" s="591">
        <f>AVERAGE(N16,P16)</f>
        <v>177500</v>
      </c>
      <c r="R16" s="20"/>
      <c r="S16" s="21"/>
    </row>
    <row r="17" spans="1:19" ht="12.75" customHeight="1" x14ac:dyDescent="0.2">
      <c r="A17" s="812"/>
      <c r="B17" s="646" t="str">
        <f>+'B) Reajuste Tarifas y Ocupación'!B13</f>
        <v>Media jornada extendida</v>
      </c>
      <c r="C17" s="561">
        <f>+'B) Reajuste Tarifas y Ocupación'!M13</f>
        <v>122400</v>
      </c>
      <c r="D17" s="561">
        <f>+'B) Reajuste Tarifas y Ocupación'!N13</f>
        <v>165200</v>
      </c>
      <c r="E17" s="561">
        <f>+'B) Reajuste Tarifas y Ocupación'!O13</f>
        <v>171300</v>
      </c>
      <c r="F17" s="561">
        <f>+'B) Reajuste Tarifas y Ocupación'!P13</f>
        <v>153000</v>
      </c>
      <c r="G17" s="593">
        <f>+'B) Reajuste Tarifas y Ocupación'!Q13</f>
        <v>183500</v>
      </c>
      <c r="H17" s="674">
        <f t="shared" ref="H17" si="2">IFERROR(C17/$Q17,0)</f>
        <v>0</v>
      </c>
      <c r="I17" s="669">
        <f t="shared" ref="I17" si="3">IFERROR(D17/$Q17,0)</f>
        <v>0</v>
      </c>
      <c r="J17" s="669">
        <f t="shared" ref="J17" si="4">IFERROR(E17/$Q17,0)</f>
        <v>0</v>
      </c>
      <c r="K17" s="669">
        <f t="shared" ref="K17" si="5">IFERROR(F17/$Q17,0)</f>
        <v>0</v>
      </c>
      <c r="L17" s="669">
        <f t="shared" ref="L17" si="6">IFERROR(G17/$Q17,0)</f>
        <v>0</v>
      </c>
      <c r="M17" s="371" t="s">
        <v>126</v>
      </c>
      <c r="N17" s="438">
        <v>0</v>
      </c>
      <c r="O17" s="371" t="s">
        <v>225</v>
      </c>
      <c r="P17" s="438">
        <v>0</v>
      </c>
      <c r="Q17" s="593">
        <f>AVERAGE(N17,P17)</f>
        <v>0</v>
      </c>
      <c r="R17" s="20"/>
      <c r="S17" s="21"/>
    </row>
    <row r="18" spans="1:19" ht="12.75" customHeight="1" x14ac:dyDescent="0.2">
      <c r="A18" s="812"/>
      <c r="B18" s="646" t="str">
        <f>+'B) Reajuste Tarifas y Ocupación'!B14</f>
        <v xml:space="preserve">Doble jornada </v>
      </c>
      <c r="C18" s="561">
        <f>+'B) Reajuste Tarifas y Ocupación'!M14</f>
        <v>110700</v>
      </c>
      <c r="D18" s="561">
        <f>+'B) Reajuste Tarifas y Ocupación'!N14</f>
        <v>149500</v>
      </c>
      <c r="E18" s="561">
        <f>+'B) Reajuste Tarifas y Ocupación'!O14</f>
        <v>155000</v>
      </c>
      <c r="F18" s="561">
        <f>+'B) Reajuste Tarifas y Ocupación'!P14</f>
        <v>166100</v>
      </c>
      <c r="G18" s="593">
        <f>+'B) Reajuste Tarifas y Ocupación'!Q14</f>
        <v>194700</v>
      </c>
      <c r="H18" s="674">
        <f t="shared" si="0"/>
        <v>0</v>
      </c>
      <c r="I18" s="669">
        <f t="shared" si="0"/>
        <v>0</v>
      </c>
      <c r="J18" s="669">
        <f t="shared" si="0"/>
        <v>0</v>
      </c>
      <c r="K18" s="669">
        <f t="shared" si="0"/>
        <v>0</v>
      </c>
      <c r="L18" s="669">
        <f t="shared" ref="L18" si="7">IFERROR(G18/$Q18,0)</f>
        <v>0</v>
      </c>
      <c r="M18" s="371" t="s">
        <v>126</v>
      </c>
      <c r="N18" s="438">
        <v>0</v>
      </c>
      <c r="O18" s="371" t="s">
        <v>225</v>
      </c>
      <c r="P18" s="438">
        <v>0</v>
      </c>
      <c r="Q18" s="593">
        <f>AVERAGE(N18,P18)</f>
        <v>0</v>
      </c>
      <c r="R18" s="20"/>
      <c r="S18" s="21"/>
    </row>
    <row r="19" spans="1:19" ht="13.5" thickBot="1" x14ac:dyDescent="0.25">
      <c r="A19" s="812"/>
      <c r="B19" s="670" t="str">
        <f>+'B) Reajuste Tarifas y Ocupación'!B15</f>
        <v>Jornada completa</v>
      </c>
      <c r="C19" s="594">
        <f>+'B) Reajuste Tarifas y Ocupación'!M15</f>
        <v>172700</v>
      </c>
      <c r="D19" s="594">
        <f>+'B) Reajuste Tarifas y Ocupación'!N15</f>
        <v>233100</v>
      </c>
      <c r="E19" s="594">
        <f>+'B) Reajuste Tarifas y Ocupación'!O15</f>
        <v>241800</v>
      </c>
      <c r="F19" s="594">
        <f>+'B) Reajuste Tarifas y Ocupación'!P15</f>
        <v>215900</v>
      </c>
      <c r="G19" s="595">
        <f>+'B) Reajuste Tarifas y Ocupación'!Q15</f>
        <v>224500</v>
      </c>
      <c r="H19" s="181">
        <f t="shared" ref="H19:H20" si="8">IFERROR(C19/$Q19,0)</f>
        <v>0.70203252032520325</v>
      </c>
      <c r="I19" s="182">
        <f t="shared" ref="I19:I20" si="9">IFERROR(D19/$Q19,0)</f>
        <v>0.94756097560975605</v>
      </c>
      <c r="J19" s="182">
        <f t="shared" ref="J19:J20" si="10">IFERROR(E19/$Q19,0)</f>
        <v>0.98292682926829267</v>
      </c>
      <c r="K19" s="182">
        <f t="shared" ref="K19:K20" si="11">IFERROR(F19/$Q19,0)</f>
        <v>0.87764227642276427</v>
      </c>
      <c r="L19" s="182">
        <f t="shared" ref="L19:L20" si="12">IFERROR(G19/$Q19,0)</f>
        <v>0.91260162601626016</v>
      </c>
      <c r="M19" s="178" t="s">
        <v>337</v>
      </c>
      <c r="N19" s="675">
        <v>310000</v>
      </c>
      <c r="O19" s="178" t="s">
        <v>338</v>
      </c>
      <c r="P19" s="675">
        <v>182000</v>
      </c>
      <c r="Q19" s="282">
        <f t="shared" ref="Q19:Q20" si="13">AVERAGE(N19,P19)</f>
        <v>246000</v>
      </c>
      <c r="R19" s="20"/>
      <c r="S19" s="21"/>
    </row>
    <row r="20" spans="1:19" x14ac:dyDescent="0.2">
      <c r="A20" s="982"/>
      <c r="B20" s="644" t="str">
        <f>+'B) Reajuste Tarifas y Ocupación'!B16</f>
        <v>Diurna</v>
      </c>
      <c r="C20" s="590">
        <f>+'B) Reajuste Tarifas y Ocupación'!M16</f>
        <v>347400</v>
      </c>
      <c r="D20" s="590">
        <f>+'B) Reajuste Tarifas y Ocupación'!N16</f>
        <v>469000</v>
      </c>
      <c r="E20" s="590">
        <f>+'B) Reajuste Tarifas y Ocupación'!O16</f>
        <v>486400</v>
      </c>
      <c r="F20" s="590">
        <f>+'B) Reajuste Tarifas y Ocupación'!P16</f>
        <v>434200</v>
      </c>
      <c r="G20" s="591">
        <f>+'B) Reajuste Tarifas y Ocupación'!Q16</f>
        <v>521100</v>
      </c>
      <c r="H20" s="671">
        <f t="shared" si="8"/>
        <v>1.0432432432432432</v>
      </c>
      <c r="I20" s="672">
        <f t="shared" si="9"/>
        <v>1.4084084084084083</v>
      </c>
      <c r="J20" s="672">
        <f t="shared" si="10"/>
        <v>1.4606606606606607</v>
      </c>
      <c r="K20" s="672">
        <f t="shared" si="11"/>
        <v>1.303903903903904</v>
      </c>
      <c r="L20" s="672">
        <f t="shared" si="12"/>
        <v>1.5648648648648649</v>
      </c>
      <c r="M20" s="367" t="s">
        <v>339</v>
      </c>
      <c r="N20" s="673">
        <v>350000</v>
      </c>
      <c r="O20" s="367" t="s">
        <v>341</v>
      </c>
      <c r="P20" s="673">
        <v>316000</v>
      </c>
      <c r="Q20" s="591">
        <f t="shared" si="13"/>
        <v>333000</v>
      </c>
    </row>
    <row r="21" spans="1:19" x14ac:dyDescent="0.2">
      <c r="A21" s="982"/>
      <c r="B21" s="646" t="str">
        <f>+'B) Reajuste Tarifas y Ocupación'!B17</f>
        <v>Nocturna</v>
      </c>
      <c r="C21" s="676"/>
      <c r="D21" s="676"/>
      <c r="E21" s="676"/>
      <c r="F21" s="676"/>
      <c r="G21" s="677"/>
      <c r="H21" s="678"/>
      <c r="I21" s="679"/>
      <c r="J21" s="679"/>
      <c r="K21" s="679"/>
      <c r="L21" s="679"/>
      <c r="M21" s="680"/>
      <c r="N21" s="681"/>
      <c r="O21" s="680"/>
      <c r="P21" s="681"/>
      <c r="Q21" s="677"/>
    </row>
    <row r="22" spans="1:19" ht="13.5" thickBot="1" x14ac:dyDescent="0.25">
      <c r="A22" s="983"/>
      <c r="B22" s="648" t="str">
        <f>+'B) Reajuste Tarifas y Ocupación'!B18</f>
        <v>Media Jornada</v>
      </c>
      <c r="C22" s="281">
        <f>+'B) Reajuste Tarifas y Ocupación'!M18</f>
        <v>208600</v>
      </c>
      <c r="D22" s="281">
        <f>+'B) Reajuste Tarifas y Ocupación'!N18</f>
        <v>281500</v>
      </c>
      <c r="E22" s="281">
        <f>+'B) Reajuste Tarifas y Ocupación'!O18</f>
        <v>292000</v>
      </c>
      <c r="F22" s="281">
        <f>+'B) Reajuste Tarifas y Ocupación'!P18</f>
        <v>312700</v>
      </c>
      <c r="G22" s="282">
        <f>+'B) Reajuste Tarifas y Ocupación'!Q18</f>
        <v>416900</v>
      </c>
      <c r="H22" s="181">
        <f t="shared" ref="H22" si="14">IFERROR(C22/$Q22,0)</f>
        <v>0.83440000000000003</v>
      </c>
      <c r="I22" s="182">
        <f t="shared" ref="I22" si="15">IFERROR(D22/$Q22,0)</f>
        <v>1.1259999999999999</v>
      </c>
      <c r="J22" s="182">
        <f t="shared" ref="J22" si="16">IFERROR(E22/$Q22,0)</f>
        <v>1.1679999999999999</v>
      </c>
      <c r="K22" s="182">
        <f t="shared" ref="K22" si="17">IFERROR(F22/$Q22,0)</f>
        <v>1.2507999999999999</v>
      </c>
      <c r="L22" s="182">
        <f t="shared" ref="L22" si="18">IFERROR(G22/$Q22,0)</f>
        <v>1.6676</v>
      </c>
      <c r="M22" s="178" t="s">
        <v>340</v>
      </c>
      <c r="N22" s="675">
        <v>250000</v>
      </c>
      <c r="O22" s="178" t="s">
        <v>341</v>
      </c>
      <c r="P22" s="675" t="s">
        <v>368</v>
      </c>
      <c r="Q22" s="282">
        <f t="shared" ref="Q22" si="19">AVERAGE(N22,P22)</f>
        <v>250000</v>
      </c>
    </row>
  </sheetData>
  <sheetProtection algorithmName="SHA-512" hashValue="mLbQoY8FrUgxKFSKfAW7fAu4L4mKdCe2PC6Q8y0cJRfSME/V+p//WOF8kGLrWAoi29qc0VbKQIEYE6gQOwe4gA==" saltValue="Go+JNgdA6VdcM77qHYdWIw==" spinCount="100000" sheet="1" objects="1" scenarios="1"/>
  <mergeCells count="11">
    <mergeCell ref="A16:A22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12</vt:i4>
      </vt:variant>
    </vt:vector>
  </HeadingPairs>
  <TitlesOfParts>
    <vt:vector size="23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I) Proyección Mensual.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340 Loreto Mondaca</cp:lastModifiedBy>
  <cp:lastPrinted>2017-09-14T16:34:08Z</cp:lastPrinted>
  <dcterms:created xsi:type="dcterms:W3CDTF">2017-05-11T00:45:10Z</dcterms:created>
  <dcterms:modified xsi:type="dcterms:W3CDTF">2022-11-08T13:44:54Z</dcterms:modified>
</cp:coreProperties>
</file>