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Z:\02 USUARIOS\L. MONDACA\MIS COMPARTIDAS\EDUCACIONAL\TARIFAS\TARIFAS 2023\JI Y SC 2023\PLANILLAS FINALES 2023\"/>
    </mc:Choice>
  </mc:AlternateContent>
  <xr:revisionPtr revIDLastSave="0" documentId="8_{FF308E09-FB0B-4123-9D59-5A3A558F65B2}" xr6:coauthVersionLast="46" xr6:coauthVersionMax="46" xr10:uidLastSave="{00000000-0000-0000-0000-000000000000}"/>
  <bookViews>
    <workbookView xWindow="-120" yWindow="-120" windowWidth="29040" windowHeight="15840" tabRatio="929" xr2:uid="{00000000-000D-0000-FFFF-FFFF00000000}"/>
  </bookViews>
  <sheets>
    <sheet name="Instrucciones" sheetId="10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  <sheet name="Proyección Mensual." sheetId="15" r:id="rId11"/>
  </sheets>
  <externalReferences>
    <externalReference r:id="rId12"/>
  </externalReferences>
  <definedNames>
    <definedName name="__xlnm_Print_Area">'A) Resumen Ingresos y Egresos'!$A$1:$N$28</definedName>
    <definedName name="__xlnm_Print_Area_1">'C) Costos Directos'!$A$1:$H$11</definedName>
    <definedName name="__xlnm_Print_Area_2">'E) Resumen Tarifado '!$A$4:$G$11</definedName>
    <definedName name="__xlnm_Print_Titles">'A) Resumen Ingresos y Egresos'!$1:$21</definedName>
    <definedName name="__xlnm_Print_Titles_1">'C) Costos Directos'!$1:$11</definedName>
    <definedName name="__xlnm_Print_Titles_2">NA()</definedName>
    <definedName name="_xlnm.Print_Area" localSheetId="2">'A) Resumen Ingresos y Egresos'!$A$1:$N$28</definedName>
    <definedName name="_xlnm.Print_Area" localSheetId="4">'C) Costos Directos'!$A$1:$H$11</definedName>
    <definedName name="_xlnm.Print_Area" localSheetId="6">'E) Resumen Tarifado '!$A$4:$G$11</definedName>
    <definedName name="bienique1">'A) Resumen Ingresos y Egresos'!$A$8</definedName>
    <definedName name="Excel_BuiltIn_Print_Area" localSheetId="4">'C) Costos Directos'!$A$1:$H$11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Egresos'!$1:$21</definedName>
    <definedName name="_xlnm.Print_Titles" localSheetId="4">'C) Costos Directos'!$1:$11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1" i="7" l="1"/>
  <c r="N21" i="7"/>
  <c r="O19" i="7"/>
  <c r="N19" i="7"/>
  <c r="M19" i="7"/>
  <c r="I66" i="13" l="1"/>
  <c r="H66" i="13"/>
  <c r="G66" i="13"/>
  <c r="I65" i="13"/>
  <c r="H65" i="13"/>
  <c r="G65" i="13"/>
  <c r="G30" i="12"/>
  <c r="H30" i="12"/>
  <c r="I30" i="12"/>
  <c r="K33" i="12"/>
  <c r="J33" i="12"/>
  <c r="I33" i="12"/>
  <c r="G33" i="12"/>
  <c r="H33" i="12" s="1"/>
  <c r="M116" i="3"/>
  <c r="L62" i="9" l="1"/>
  <c r="L63" i="9"/>
  <c r="L64" i="9"/>
  <c r="L65" i="9"/>
  <c r="L66" i="9"/>
  <c r="L67" i="9"/>
  <c r="L68" i="9"/>
  <c r="L69" i="9"/>
  <c r="L70" i="9"/>
  <c r="L71" i="9"/>
  <c r="L72" i="9"/>
  <c r="L61" i="9"/>
  <c r="K61" i="9"/>
  <c r="J62" i="9"/>
  <c r="J63" i="9"/>
  <c r="J64" i="9"/>
  <c r="J65" i="9"/>
  <c r="J66" i="9"/>
  <c r="J67" i="9"/>
  <c r="J68" i="9"/>
  <c r="J69" i="9"/>
  <c r="J70" i="9"/>
  <c r="J71" i="9"/>
  <c r="J72" i="9"/>
  <c r="J61" i="9"/>
  <c r="L39" i="9"/>
  <c r="L40" i="9"/>
  <c r="L41" i="9"/>
  <c r="L42" i="9"/>
  <c r="L43" i="9"/>
  <c r="L44" i="9"/>
  <c r="L45" i="9"/>
  <c r="L46" i="9"/>
  <c r="L47" i="9"/>
  <c r="L48" i="9"/>
  <c r="L49" i="9"/>
  <c r="L38" i="9"/>
  <c r="K40" i="9" l="1"/>
  <c r="K41" i="9"/>
  <c r="K42" i="9"/>
  <c r="K43" i="9"/>
  <c r="K44" i="9"/>
  <c r="K45" i="9"/>
  <c r="K46" i="9"/>
  <c r="K47" i="9"/>
  <c r="K48" i="9"/>
  <c r="K49" i="9"/>
  <c r="K38" i="9"/>
  <c r="I38" i="9" l="1"/>
  <c r="I39" i="9"/>
  <c r="I40" i="9"/>
  <c r="I41" i="9"/>
  <c r="I42" i="9"/>
  <c r="B50" i="9"/>
  <c r="C28" i="9"/>
  <c r="D28" i="9"/>
  <c r="B28" i="9" s="1"/>
  <c r="B27" i="9" s="1"/>
  <c r="D22" i="9"/>
  <c r="C22" i="9"/>
  <c r="B20" i="9"/>
  <c r="B21" i="9" s="1"/>
  <c r="C12" i="9"/>
  <c r="E12" i="9" s="1"/>
  <c r="G12" i="9" s="1"/>
  <c r="I12" i="9" s="1"/>
  <c r="C13" i="9"/>
  <c r="E13" i="9" s="1"/>
  <c r="G13" i="9" s="1"/>
  <c r="I13" i="9" s="1"/>
  <c r="C11" i="9"/>
  <c r="H75" i="9"/>
  <c r="E75" i="9"/>
  <c r="H74" i="9"/>
  <c r="E74" i="9"/>
  <c r="J73" i="9"/>
  <c r="H73" i="9"/>
  <c r="E73" i="9"/>
  <c r="B73" i="9"/>
  <c r="K72" i="9"/>
  <c r="M72" i="9" s="1"/>
  <c r="D72" i="9"/>
  <c r="K71" i="9"/>
  <c r="M71" i="9" s="1"/>
  <c r="D71" i="9"/>
  <c r="K70" i="9"/>
  <c r="M70" i="9" s="1"/>
  <c r="D70" i="9"/>
  <c r="K69" i="9"/>
  <c r="M69" i="9" s="1"/>
  <c r="D69" i="9"/>
  <c r="K68" i="9"/>
  <c r="M68" i="9" s="1"/>
  <c r="D68" i="9"/>
  <c r="K67" i="9"/>
  <c r="M67" i="9" s="1"/>
  <c r="D67" i="9"/>
  <c r="K66" i="9"/>
  <c r="M66" i="9" s="1"/>
  <c r="D66" i="9"/>
  <c r="K65" i="9"/>
  <c r="M65" i="9" s="1"/>
  <c r="G65" i="9"/>
  <c r="D65" i="9"/>
  <c r="K64" i="9"/>
  <c r="G64" i="9"/>
  <c r="D64" i="9"/>
  <c r="K63" i="9"/>
  <c r="M63" i="9" s="1"/>
  <c r="G63" i="9"/>
  <c r="D63" i="9"/>
  <c r="K62" i="9"/>
  <c r="M62" i="9" s="1"/>
  <c r="G62" i="9"/>
  <c r="D62" i="9"/>
  <c r="G61" i="9"/>
  <c r="D61" i="9"/>
  <c r="V52" i="9"/>
  <c r="H52" i="9"/>
  <c r="E52" i="9"/>
  <c r="W51" i="9"/>
  <c r="W53" i="9" s="1"/>
  <c r="V51" i="9"/>
  <c r="H51" i="9"/>
  <c r="E51" i="9"/>
  <c r="V50" i="9"/>
  <c r="W56" i="9" s="1"/>
  <c r="S50" i="9"/>
  <c r="H50" i="9"/>
  <c r="E50" i="9"/>
  <c r="AA49" i="9"/>
  <c r="X49" i="9"/>
  <c r="U49" i="9"/>
  <c r="J49" i="9"/>
  <c r="AA48" i="9"/>
  <c r="X48" i="9"/>
  <c r="U48" i="9"/>
  <c r="J48" i="9"/>
  <c r="AA47" i="9"/>
  <c r="X47" i="9"/>
  <c r="U47" i="9"/>
  <c r="J47" i="9"/>
  <c r="AA46" i="9"/>
  <c r="X46" i="9"/>
  <c r="U46" i="9"/>
  <c r="J46" i="9"/>
  <c r="Y52" i="9"/>
  <c r="X45" i="9"/>
  <c r="U45" i="9"/>
  <c r="J45" i="9"/>
  <c r="AB44" i="9"/>
  <c r="AD44" i="9" s="1"/>
  <c r="AA44" i="9"/>
  <c r="X44" i="9"/>
  <c r="U44" i="9"/>
  <c r="M44" i="9"/>
  <c r="AB43" i="9"/>
  <c r="AD43" i="9" s="1"/>
  <c r="AA43" i="9"/>
  <c r="X43" i="9"/>
  <c r="U43" i="9"/>
  <c r="M43" i="9"/>
  <c r="AB42" i="9"/>
  <c r="AD42" i="9" s="1"/>
  <c r="AA42" i="9"/>
  <c r="X42" i="9"/>
  <c r="U42" i="9"/>
  <c r="M42" i="9"/>
  <c r="G42" i="9"/>
  <c r="D42" i="9"/>
  <c r="AB41" i="9"/>
  <c r="AA41" i="9"/>
  <c r="X41" i="9"/>
  <c r="U41" i="9"/>
  <c r="G41" i="9"/>
  <c r="D41" i="9"/>
  <c r="AB40" i="9"/>
  <c r="AD40" i="9" s="1"/>
  <c r="AA40" i="9"/>
  <c r="X40" i="9"/>
  <c r="U40" i="9"/>
  <c r="M40" i="9"/>
  <c r="G40" i="9"/>
  <c r="D40" i="9"/>
  <c r="AB39" i="9"/>
  <c r="AD39" i="9" s="1"/>
  <c r="AA39" i="9"/>
  <c r="X39" i="9"/>
  <c r="U39" i="9"/>
  <c r="K39" i="9"/>
  <c r="M39" i="9" s="1"/>
  <c r="G39" i="9"/>
  <c r="D39" i="9"/>
  <c r="AB38" i="9"/>
  <c r="AA38" i="9"/>
  <c r="X38" i="9"/>
  <c r="U38" i="9"/>
  <c r="M38" i="9"/>
  <c r="G38" i="9"/>
  <c r="D38" i="9"/>
  <c r="M13" i="9"/>
  <c r="M12" i="9"/>
  <c r="M11" i="9"/>
  <c r="J4" i="9"/>
  <c r="L12" i="9" l="1"/>
  <c r="J12" i="9"/>
  <c r="E11" i="9"/>
  <c r="G11" i="9" s="1"/>
  <c r="I11" i="9" s="1"/>
  <c r="L13" i="9"/>
  <c r="J13" i="9"/>
  <c r="B22" i="9"/>
  <c r="B23" i="9" s="1"/>
  <c r="V53" i="9"/>
  <c r="G52" i="9"/>
  <c r="E53" i="9"/>
  <c r="E76" i="9"/>
  <c r="X50" i="9"/>
  <c r="U50" i="9"/>
  <c r="K75" i="9"/>
  <c r="H76" i="9"/>
  <c r="K74" i="9"/>
  <c r="G75" i="9"/>
  <c r="G74" i="9"/>
  <c r="G73" i="9"/>
  <c r="D73" i="9"/>
  <c r="M64" i="9"/>
  <c r="M75" i="9" s="1"/>
  <c r="H53" i="9"/>
  <c r="J50" i="9"/>
  <c r="G50" i="9"/>
  <c r="M41" i="9"/>
  <c r="K51" i="9"/>
  <c r="K52" i="9"/>
  <c r="M45" i="9"/>
  <c r="M46" i="9"/>
  <c r="M47" i="9"/>
  <c r="M48" i="9"/>
  <c r="M49" i="9"/>
  <c r="M51" i="9" s="1"/>
  <c r="AD41" i="9"/>
  <c r="AB45" i="9"/>
  <c r="AD45" i="9" s="1"/>
  <c r="AB46" i="9"/>
  <c r="AD46" i="9" s="1"/>
  <c r="AB47" i="9"/>
  <c r="AD47" i="9" s="1"/>
  <c r="AB48" i="9"/>
  <c r="AD48" i="9" s="1"/>
  <c r="AB49" i="9"/>
  <c r="AD49" i="9" s="1"/>
  <c r="G51" i="9"/>
  <c r="M61" i="9"/>
  <c r="K50" i="9"/>
  <c r="Y51" i="9"/>
  <c r="Y53" i="9" s="1"/>
  <c r="K73" i="9"/>
  <c r="AD38" i="9"/>
  <c r="AA45" i="9"/>
  <c r="AA50" i="9" s="1"/>
  <c r="Y50" i="9"/>
  <c r="L11" i="9" l="1"/>
  <c r="J11" i="9"/>
  <c r="G53" i="9"/>
  <c r="K76" i="9"/>
  <c r="G76" i="9"/>
  <c r="K53" i="9"/>
  <c r="M50" i="9"/>
  <c r="M52" i="9"/>
  <c r="M53" i="9" s="1"/>
  <c r="AD52" i="9"/>
  <c r="M73" i="9"/>
  <c r="M74" i="9"/>
  <c r="M76" i="9" s="1"/>
  <c r="AD50" i="9"/>
  <c r="AD51" i="9"/>
  <c r="AB52" i="9"/>
  <c r="AB51" i="9"/>
  <c r="AB50" i="9"/>
  <c r="AD53" i="9" l="1"/>
  <c r="AB53" i="9"/>
  <c r="H45" i="13"/>
  <c r="I45" i="13"/>
  <c r="G45" i="13"/>
  <c r="I44" i="13"/>
  <c r="H44" i="13"/>
  <c r="G44" i="13"/>
  <c r="I42" i="13"/>
  <c r="I43" i="13"/>
  <c r="I41" i="13"/>
  <c r="H43" i="13"/>
  <c r="G43" i="13"/>
  <c r="H42" i="13"/>
  <c r="G42" i="13"/>
  <c r="H41" i="13"/>
  <c r="G41" i="13"/>
  <c r="I35" i="13"/>
  <c r="H35" i="13"/>
  <c r="G35" i="13"/>
  <c r="I40" i="13" l="1"/>
  <c r="H40" i="13"/>
  <c r="G40" i="13"/>
  <c r="I23" i="13"/>
  <c r="H23" i="13"/>
  <c r="G23" i="13"/>
  <c r="E60" i="3" l="1"/>
  <c r="D64" i="3"/>
  <c r="I22" i="13"/>
  <c r="H22" i="13"/>
  <c r="G22" i="13"/>
  <c r="I29" i="13"/>
  <c r="H29" i="13"/>
  <c r="G29" i="13"/>
  <c r="H28" i="13"/>
  <c r="G28" i="13"/>
  <c r="I28" i="13"/>
  <c r="I27" i="13"/>
  <c r="H27" i="13"/>
  <c r="G27" i="13"/>
  <c r="I26" i="13"/>
  <c r="H26" i="13"/>
  <c r="G26" i="13"/>
  <c r="I25" i="13"/>
  <c r="H25" i="13"/>
  <c r="G25" i="13"/>
  <c r="I21" i="13"/>
  <c r="H21" i="13"/>
  <c r="G21" i="13"/>
  <c r="I20" i="13"/>
  <c r="H20" i="13"/>
  <c r="G20" i="13"/>
  <c r="I19" i="13"/>
  <c r="H19" i="13"/>
  <c r="G19" i="13"/>
  <c r="I18" i="13"/>
  <c r="H18" i="13"/>
  <c r="G18" i="13"/>
  <c r="I17" i="13"/>
  <c r="H17" i="13"/>
  <c r="G17" i="13"/>
  <c r="H16" i="13"/>
  <c r="I16" i="13"/>
  <c r="G16" i="13"/>
  <c r="I15" i="13"/>
  <c r="H15" i="13"/>
  <c r="G15" i="13"/>
  <c r="J11" i="12" l="1"/>
  <c r="I11" i="12"/>
  <c r="J50" i="12"/>
  <c r="J51" i="12"/>
  <c r="J49" i="12"/>
  <c r="I49" i="12"/>
  <c r="I50" i="12"/>
  <c r="I51" i="12"/>
  <c r="I47" i="12"/>
  <c r="I48" i="12"/>
  <c r="I46" i="12"/>
  <c r="J47" i="12"/>
  <c r="J48" i="12"/>
  <c r="J46" i="12"/>
  <c r="J45" i="12"/>
  <c r="I45" i="12"/>
  <c r="J41" i="12"/>
  <c r="J40" i="12"/>
  <c r="J35" i="12"/>
  <c r="J36" i="12"/>
  <c r="J37" i="12"/>
  <c r="J38" i="12"/>
  <c r="J39" i="12"/>
  <c r="J34" i="12"/>
  <c r="I35" i="12"/>
  <c r="I36" i="12"/>
  <c r="I37" i="12"/>
  <c r="I38" i="12"/>
  <c r="I39" i="12"/>
  <c r="I40" i="12"/>
  <c r="I41" i="12"/>
  <c r="I34" i="12"/>
  <c r="J31" i="12"/>
  <c r="I31" i="12"/>
  <c r="J29" i="12"/>
  <c r="I29" i="12"/>
  <c r="J19" i="12"/>
  <c r="J22" i="12"/>
  <c r="I22" i="12"/>
  <c r="J21" i="12"/>
  <c r="I21" i="12"/>
  <c r="J20" i="12"/>
  <c r="I20" i="12"/>
  <c r="I13" i="12"/>
  <c r="J13" i="12"/>
  <c r="I14" i="12"/>
  <c r="J14" i="12"/>
  <c r="J12" i="12"/>
  <c r="I12" i="12"/>
  <c r="G51" i="12"/>
  <c r="G50" i="12"/>
  <c r="G49" i="12"/>
  <c r="G48" i="12"/>
  <c r="G47" i="12"/>
  <c r="G46" i="12"/>
  <c r="G45" i="12"/>
  <c r="G41" i="12"/>
  <c r="G40" i="12"/>
  <c r="G39" i="12"/>
  <c r="G38" i="12"/>
  <c r="G37" i="12"/>
  <c r="G36" i="12"/>
  <c r="G35" i="12"/>
  <c r="G34" i="12"/>
  <c r="G31" i="12"/>
  <c r="G29" i="12"/>
  <c r="G11" i="12"/>
  <c r="J47" i="15" l="1"/>
  <c r="B47" i="15"/>
  <c r="C42" i="15"/>
  <c r="D42" i="15"/>
  <c r="E42" i="15"/>
  <c r="F42" i="15"/>
  <c r="G42" i="15"/>
  <c r="H42" i="15"/>
  <c r="I42" i="15"/>
  <c r="J42" i="15"/>
  <c r="K42" i="15"/>
  <c r="L42" i="15"/>
  <c r="M42" i="15"/>
  <c r="B42" i="15"/>
  <c r="J35" i="15"/>
  <c r="B35" i="15"/>
  <c r="C30" i="15"/>
  <c r="D30" i="15"/>
  <c r="E30" i="15"/>
  <c r="F30" i="15"/>
  <c r="G30" i="15"/>
  <c r="H30" i="15"/>
  <c r="I30" i="15"/>
  <c r="J30" i="15"/>
  <c r="K30" i="15"/>
  <c r="L30" i="15"/>
  <c r="M30" i="15"/>
  <c r="B30" i="15"/>
  <c r="J23" i="15"/>
  <c r="B23" i="15"/>
  <c r="C18" i="15"/>
  <c r="D18" i="15"/>
  <c r="E18" i="15"/>
  <c r="F18" i="15"/>
  <c r="G18" i="15"/>
  <c r="H18" i="15"/>
  <c r="I18" i="15"/>
  <c r="J18" i="15"/>
  <c r="K18" i="15"/>
  <c r="L18" i="15"/>
  <c r="M18" i="15"/>
  <c r="B18" i="15"/>
  <c r="J11" i="15"/>
  <c r="B11" i="15"/>
  <c r="P32" i="2"/>
  <c r="P34" i="2" s="1"/>
  <c r="P29" i="2"/>
  <c r="P31" i="2" s="1"/>
  <c r="C6" i="15"/>
  <c r="D6" i="15"/>
  <c r="E6" i="15"/>
  <c r="F6" i="15"/>
  <c r="G6" i="15"/>
  <c r="H6" i="15"/>
  <c r="I6" i="15"/>
  <c r="J6" i="15"/>
  <c r="K6" i="15"/>
  <c r="L6" i="15"/>
  <c r="M6" i="15"/>
  <c r="B6" i="15"/>
  <c r="H46" i="12"/>
  <c r="H47" i="12"/>
  <c r="K47" i="12" s="1"/>
  <c r="H48" i="12"/>
  <c r="K48" i="12" s="1"/>
  <c r="H49" i="12"/>
  <c r="K49" i="12" s="1"/>
  <c r="H50" i="12"/>
  <c r="K50" i="12" s="1"/>
  <c r="H51" i="12"/>
  <c r="K51" i="12" s="1"/>
  <c r="H52" i="12"/>
  <c r="K52" i="12" s="1"/>
  <c r="H53" i="12"/>
  <c r="K53" i="12" s="1"/>
  <c r="H54" i="12"/>
  <c r="K54" i="12" s="1"/>
  <c r="H55" i="12"/>
  <c r="K55" i="12" s="1"/>
  <c r="H56" i="12"/>
  <c r="K56" i="12" s="1"/>
  <c r="H57" i="12"/>
  <c r="K57" i="12" s="1"/>
  <c r="H58" i="12"/>
  <c r="K58" i="12" s="1"/>
  <c r="H59" i="12"/>
  <c r="K59" i="12" s="1"/>
  <c r="H45" i="12"/>
  <c r="K45" i="12" s="1"/>
  <c r="H31" i="12"/>
  <c r="K31" i="12" s="1"/>
  <c r="H32" i="12"/>
  <c r="K32" i="12" s="1"/>
  <c r="H34" i="12"/>
  <c r="K34" i="12" s="1"/>
  <c r="H35" i="12"/>
  <c r="K35" i="12" s="1"/>
  <c r="H36" i="12"/>
  <c r="K36" i="12" s="1"/>
  <c r="H37" i="12"/>
  <c r="K37" i="12" s="1"/>
  <c r="H38" i="12"/>
  <c r="K38" i="12" s="1"/>
  <c r="H39" i="12"/>
  <c r="K39" i="12" s="1"/>
  <c r="H40" i="12"/>
  <c r="K40" i="12" s="1"/>
  <c r="H41" i="12"/>
  <c r="K41" i="12" s="1"/>
  <c r="H42" i="12"/>
  <c r="K42" i="12" s="1"/>
  <c r="H43" i="12"/>
  <c r="K43" i="12" s="1"/>
  <c r="H44" i="12"/>
  <c r="K44" i="12" s="1"/>
  <c r="K30" i="12"/>
  <c r="H29" i="12"/>
  <c r="K29" i="12" s="1"/>
  <c r="H26" i="12"/>
  <c r="K26" i="12" s="1"/>
  <c r="H25" i="12"/>
  <c r="K25" i="12" s="1"/>
  <c r="H24" i="12"/>
  <c r="K24" i="12" s="1"/>
  <c r="H23" i="12"/>
  <c r="H21" i="12"/>
  <c r="K21" i="12" s="1"/>
  <c r="H22" i="12"/>
  <c r="K22" i="12" s="1"/>
  <c r="H20" i="12"/>
  <c r="K20" i="12" s="1"/>
  <c r="H19" i="12"/>
  <c r="H18" i="12"/>
  <c r="K18" i="12" s="1"/>
  <c r="H17" i="12"/>
  <c r="K17" i="12" s="1"/>
  <c r="H16" i="12"/>
  <c r="K16" i="12" s="1"/>
  <c r="H15" i="12"/>
  <c r="K15" i="12" s="1"/>
  <c r="H14" i="12"/>
  <c r="K14" i="12" s="1"/>
  <c r="H13" i="12"/>
  <c r="K13" i="12" s="1"/>
  <c r="H12" i="12"/>
  <c r="K12" i="12" s="1"/>
  <c r="H11" i="12"/>
  <c r="K11" i="12" s="1"/>
  <c r="R15" i="5"/>
  <c r="R16" i="5"/>
  <c r="I16" i="5"/>
  <c r="J16" i="5"/>
  <c r="K16" i="5"/>
  <c r="L16" i="5"/>
  <c r="R12" i="5"/>
  <c r="R13" i="5"/>
  <c r="H12" i="5"/>
  <c r="I12" i="5"/>
  <c r="J12" i="5"/>
  <c r="K12" i="5"/>
  <c r="L12" i="5"/>
  <c r="H13" i="5"/>
  <c r="I13" i="5"/>
  <c r="J13" i="5"/>
  <c r="K13" i="5"/>
  <c r="L13" i="5"/>
  <c r="I11" i="5"/>
  <c r="J11" i="5"/>
  <c r="K11" i="5"/>
  <c r="L11" i="5"/>
  <c r="I13" i="7"/>
  <c r="J13" i="7"/>
  <c r="K13" i="7"/>
  <c r="P13" i="7" s="1"/>
  <c r="F11" i="5" s="1"/>
  <c r="L13" i="7"/>
  <c r="V11" i="5" s="1"/>
  <c r="Q13" i="7"/>
  <c r="G11" i="5" s="1"/>
  <c r="M13" i="7"/>
  <c r="S11" i="5" l="1"/>
  <c r="N13" i="7"/>
  <c r="T11" i="5"/>
  <c r="O13" i="7"/>
  <c r="E11" i="5" s="1"/>
  <c r="O11" i="5" s="1"/>
  <c r="M11" i="15"/>
  <c r="L11" i="12"/>
  <c r="C10" i="15"/>
  <c r="C34" i="15"/>
  <c r="E22" i="15"/>
  <c r="D11" i="5"/>
  <c r="N11" i="5" s="1"/>
  <c r="M23" i="15"/>
  <c r="G46" i="15"/>
  <c r="B10" i="15"/>
  <c r="J10" i="15"/>
  <c r="F10" i="15"/>
  <c r="L22" i="15"/>
  <c r="H22" i="15"/>
  <c r="D22" i="15"/>
  <c r="B34" i="15"/>
  <c r="J34" i="15"/>
  <c r="F34" i="15"/>
  <c r="L46" i="15"/>
  <c r="H46" i="15"/>
  <c r="D46" i="15"/>
  <c r="E10" i="15"/>
  <c r="G22" i="15"/>
  <c r="E34" i="15"/>
  <c r="C46" i="15"/>
  <c r="M10" i="15"/>
  <c r="K22" i="15"/>
  <c r="M34" i="15"/>
  <c r="K46" i="15"/>
  <c r="L10" i="15"/>
  <c r="D10" i="15"/>
  <c r="B22" i="15"/>
  <c r="J22" i="15"/>
  <c r="F22" i="15"/>
  <c r="L34" i="15"/>
  <c r="H34" i="15"/>
  <c r="D34" i="15"/>
  <c r="B46" i="15"/>
  <c r="J46" i="15"/>
  <c r="F46" i="15"/>
  <c r="K46" i="12"/>
  <c r="I10" i="15"/>
  <c r="C22" i="15"/>
  <c r="I34" i="15"/>
  <c r="H10" i="15"/>
  <c r="K10" i="15"/>
  <c r="G10" i="15"/>
  <c r="M22" i="15"/>
  <c r="I22" i="15"/>
  <c r="K34" i="15"/>
  <c r="G34" i="15"/>
  <c r="M46" i="15"/>
  <c r="I46" i="15"/>
  <c r="E46" i="15"/>
  <c r="P35" i="2"/>
  <c r="B21" i="15" s="1"/>
  <c r="U11" i="5"/>
  <c r="P11" i="5"/>
  <c r="Q11" i="5"/>
  <c r="M47" i="15"/>
  <c r="N47" i="15" s="1"/>
  <c r="M35" i="15"/>
  <c r="N35" i="15" s="1"/>
  <c r="N11" i="15"/>
  <c r="N22" i="15" l="1"/>
  <c r="N34" i="15"/>
  <c r="N10" i="15"/>
  <c r="N46" i="15"/>
  <c r="N23" i="15"/>
  <c r="K19" i="12"/>
  <c r="K23" i="12"/>
  <c r="M15" i="7" l="1"/>
  <c r="M14" i="7"/>
  <c r="I14" i="7"/>
  <c r="N14" i="7" s="1"/>
  <c r="J14" i="7"/>
  <c r="O14" i="7" s="1"/>
  <c r="K14" i="7"/>
  <c r="L14" i="7"/>
  <c r="I15" i="7"/>
  <c r="N15" i="7" s="1"/>
  <c r="J15" i="7"/>
  <c r="O15" i="7" s="1"/>
  <c r="K15" i="7"/>
  <c r="L15" i="7"/>
  <c r="Q14" i="7" l="1"/>
  <c r="H29" i="2" s="1"/>
  <c r="M29" i="2" s="1"/>
  <c r="V12" i="5"/>
  <c r="P14" i="7"/>
  <c r="F18" i="1" s="1"/>
  <c r="U12" i="5"/>
  <c r="E18" i="1"/>
  <c r="T12" i="5"/>
  <c r="S12" i="5"/>
  <c r="T13" i="5"/>
  <c r="F32" i="2"/>
  <c r="K32" i="2" s="1"/>
  <c r="D13" i="5"/>
  <c r="N13" i="5" s="1"/>
  <c r="S13" i="5"/>
  <c r="V13" i="5"/>
  <c r="Q15" i="7"/>
  <c r="G19" i="1" s="1"/>
  <c r="U13" i="5"/>
  <c r="P15" i="7"/>
  <c r="F13" i="5" s="1"/>
  <c r="P13" i="5" s="1"/>
  <c r="C18" i="1"/>
  <c r="C19" i="1"/>
  <c r="Q19" i="1"/>
  <c r="B19" i="1"/>
  <c r="Q18" i="1"/>
  <c r="B18" i="1"/>
  <c r="A18" i="1"/>
  <c r="D18" i="1"/>
  <c r="H15" i="5"/>
  <c r="H16" i="5"/>
  <c r="I14" i="5"/>
  <c r="J14" i="5"/>
  <c r="K14" i="5"/>
  <c r="L14" i="5"/>
  <c r="R11" i="5"/>
  <c r="H11" i="5"/>
  <c r="N122" i="3"/>
  <c r="O122" i="3"/>
  <c r="P122" i="3"/>
  <c r="D131" i="3" s="1"/>
  <c r="N123" i="3"/>
  <c r="D198" i="3" s="1"/>
  <c r="O123" i="3"/>
  <c r="D264" i="3" s="1"/>
  <c r="P123" i="3"/>
  <c r="D132" i="3" s="1"/>
  <c r="N124" i="3"/>
  <c r="D199" i="3" s="1"/>
  <c r="O124" i="3"/>
  <c r="D265" i="3" s="1"/>
  <c r="P124" i="3"/>
  <c r="D133" i="3" s="1"/>
  <c r="N125" i="3"/>
  <c r="D200" i="3" s="1"/>
  <c r="O125" i="3"/>
  <c r="D266" i="3" s="1"/>
  <c r="P125" i="3"/>
  <c r="N126" i="3"/>
  <c r="D201" i="3" s="1"/>
  <c r="O126" i="3"/>
  <c r="D267" i="3" s="1"/>
  <c r="P126" i="3"/>
  <c r="D135" i="3" s="1"/>
  <c r="N127" i="3"/>
  <c r="D202" i="3" s="1"/>
  <c r="O127" i="3"/>
  <c r="P127" i="3"/>
  <c r="D136" i="3" s="1"/>
  <c r="N114" i="3"/>
  <c r="O114" i="3"/>
  <c r="D254" i="3" s="1"/>
  <c r="P114" i="3"/>
  <c r="D122" i="3" s="1"/>
  <c r="N115" i="3"/>
  <c r="D189" i="3" s="1"/>
  <c r="O115" i="3"/>
  <c r="P115" i="3"/>
  <c r="D123" i="3" s="1"/>
  <c r="N116" i="3"/>
  <c r="D190" i="3" s="1"/>
  <c r="O116" i="3"/>
  <c r="D256" i="3" s="1"/>
  <c r="P116" i="3"/>
  <c r="D124" i="3" s="1"/>
  <c r="N117" i="3"/>
  <c r="D192" i="3" s="1"/>
  <c r="O117" i="3"/>
  <c r="D258" i="3" s="1"/>
  <c r="P117" i="3"/>
  <c r="D126" i="3" s="1"/>
  <c r="N118" i="3"/>
  <c r="O118" i="3"/>
  <c r="D259" i="3" s="1"/>
  <c r="P118" i="3"/>
  <c r="D127" i="3" s="1"/>
  <c r="N119" i="3"/>
  <c r="D194" i="3" s="1"/>
  <c r="O119" i="3"/>
  <c r="D260" i="3" s="1"/>
  <c r="P119" i="3"/>
  <c r="D128" i="3" s="1"/>
  <c r="N105" i="3"/>
  <c r="D179" i="3" s="1"/>
  <c r="O105" i="3"/>
  <c r="P105" i="3"/>
  <c r="D113" i="3" s="1"/>
  <c r="N106" i="3"/>
  <c r="D180" i="3" s="1"/>
  <c r="O106" i="3"/>
  <c r="D246" i="3" s="1"/>
  <c r="P106" i="3"/>
  <c r="N107" i="3"/>
  <c r="D181" i="3" s="1"/>
  <c r="O107" i="3"/>
  <c r="D247" i="3" s="1"/>
  <c r="P107" i="3"/>
  <c r="N108" i="3"/>
  <c r="D182" i="3" s="1"/>
  <c r="O108" i="3"/>
  <c r="D248" i="3" s="1"/>
  <c r="P108" i="3"/>
  <c r="D116" i="3" s="1"/>
  <c r="N109" i="3"/>
  <c r="D183" i="3" s="1"/>
  <c r="O109" i="3"/>
  <c r="D249" i="3" s="1"/>
  <c r="P109" i="3"/>
  <c r="D117" i="3" s="1"/>
  <c r="N110" i="3"/>
  <c r="D184" i="3" s="1"/>
  <c r="O110" i="3"/>
  <c r="D250" i="3" s="1"/>
  <c r="P110" i="3"/>
  <c r="N111" i="3"/>
  <c r="D185" i="3" s="1"/>
  <c r="O111" i="3"/>
  <c r="D251" i="3" s="1"/>
  <c r="P111" i="3"/>
  <c r="D119" i="3" s="1"/>
  <c r="O102" i="3"/>
  <c r="D242" i="3" s="1"/>
  <c r="N81" i="3"/>
  <c r="D153" i="3" s="1"/>
  <c r="N82" i="3"/>
  <c r="D154" i="3" s="1"/>
  <c r="N83" i="3"/>
  <c r="D155" i="3" s="1"/>
  <c r="N84" i="3"/>
  <c r="D156" i="3" s="1"/>
  <c r="N85" i="3"/>
  <c r="D157" i="3" s="1"/>
  <c r="N86" i="3"/>
  <c r="D158" i="3" s="1"/>
  <c r="N87" i="3"/>
  <c r="N88" i="3"/>
  <c r="D160" i="3" s="1"/>
  <c r="N89" i="3"/>
  <c r="D161" i="3" s="1"/>
  <c r="N90" i="3"/>
  <c r="D162" i="3" s="1"/>
  <c r="N91" i="3"/>
  <c r="D163" i="3" s="1"/>
  <c r="N92" i="3"/>
  <c r="D164" i="3" s="1"/>
  <c r="N93" i="3"/>
  <c r="D165" i="3" s="1"/>
  <c r="N94" i="3"/>
  <c r="D166" i="3" s="1"/>
  <c r="N95" i="3"/>
  <c r="N96" i="3"/>
  <c r="D168" i="3" s="1"/>
  <c r="O81" i="3"/>
  <c r="D219" i="3" s="1"/>
  <c r="O82" i="3"/>
  <c r="D220" i="3" s="1"/>
  <c r="O83" i="3"/>
  <c r="D221" i="3" s="1"/>
  <c r="O84" i="3"/>
  <c r="D222" i="3" s="1"/>
  <c r="O85" i="3"/>
  <c r="D223" i="3" s="1"/>
  <c r="O86" i="3"/>
  <c r="D224" i="3" s="1"/>
  <c r="H224" i="3" s="1"/>
  <c r="O87" i="3"/>
  <c r="D225" i="3" s="1"/>
  <c r="O88" i="3"/>
  <c r="D226" i="3" s="1"/>
  <c r="O89" i="3"/>
  <c r="D227" i="3" s="1"/>
  <c r="O90" i="3"/>
  <c r="D228" i="3" s="1"/>
  <c r="O91" i="3"/>
  <c r="D229" i="3" s="1"/>
  <c r="O92" i="3"/>
  <c r="D230" i="3" s="1"/>
  <c r="O93" i="3"/>
  <c r="D231" i="3" s="1"/>
  <c r="O94" i="3"/>
  <c r="O95" i="3"/>
  <c r="D233" i="3" s="1"/>
  <c r="O96" i="3"/>
  <c r="D234" i="3" s="1"/>
  <c r="P81" i="3"/>
  <c r="P82" i="3"/>
  <c r="D88" i="3" s="1"/>
  <c r="P83" i="3"/>
  <c r="P84" i="3"/>
  <c r="D90" i="3" s="1"/>
  <c r="P85" i="3"/>
  <c r="D91" i="3" s="1"/>
  <c r="P86" i="3"/>
  <c r="D92" i="3" s="1"/>
  <c r="P87" i="3"/>
  <c r="P88" i="3"/>
  <c r="D94" i="3" s="1"/>
  <c r="P89" i="3"/>
  <c r="D95" i="3" s="1"/>
  <c r="P90" i="3"/>
  <c r="D96" i="3" s="1"/>
  <c r="P91" i="3"/>
  <c r="P92" i="3"/>
  <c r="D98" i="3" s="1"/>
  <c r="P93" i="3"/>
  <c r="D99" i="3" s="1"/>
  <c r="P94" i="3"/>
  <c r="D100" i="3" s="1"/>
  <c r="P95" i="3"/>
  <c r="D101" i="3" s="1"/>
  <c r="P96" i="3"/>
  <c r="D102" i="3" s="1"/>
  <c r="D263" i="3"/>
  <c r="D268" i="3"/>
  <c r="O121" i="3"/>
  <c r="D262" i="3" s="1"/>
  <c r="D255" i="3"/>
  <c r="D245" i="3"/>
  <c r="D232" i="3"/>
  <c r="O80" i="3"/>
  <c r="D218" i="3" s="1"/>
  <c r="G270" i="3"/>
  <c r="D269" i="3"/>
  <c r="G268" i="3"/>
  <c r="G267" i="3"/>
  <c r="G266" i="3"/>
  <c r="G265" i="3"/>
  <c r="G264" i="3"/>
  <c r="G263" i="3"/>
  <c r="G262" i="3"/>
  <c r="G260" i="3"/>
  <c r="G259" i="3"/>
  <c r="G258" i="3"/>
  <c r="G257" i="3"/>
  <c r="H257" i="3" s="1"/>
  <c r="G256" i="3"/>
  <c r="G255" i="3"/>
  <c r="H255" i="3" s="1"/>
  <c r="G254" i="3"/>
  <c r="G253" i="3"/>
  <c r="G251" i="3"/>
  <c r="G250" i="3"/>
  <c r="G249" i="3"/>
  <c r="G248" i="3"/>
  <c r="G247" i="3"/>
  <c r="G246" i="3"/>
  <c r="G245" i="3"/>
  <c r="G244" i="3"/>
  <c r="G242" i="3"/>
  <c r="G241" i="3"/>
  <c r="G240" i="3"/>
  <c r="G239" i="3"/>
  <c r="G238" i="3"/>
  <c r="H238" i="3" s="1"/>
  <c r="G237" i="3"/>
  <c r="G234" i="3"/>
  <c r="G233" i="3"/>
  <c r="G232" i="3"/>
  <c r="G231" i="3"/>
  <c r="G230" i="3"/>
  <c r="H230" i="3" s="1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H217" i="3" s="1"/>
  <c r="G216" i="3"/>
  <c r="H216" i="3" s="1"/>
  <c r="G215" i="3"/>
  <c r="H215" i="3" s="1"/>
  <c r="G213" i="3"/>
  <c r="H213" i="3" s="1"/>
  <c r="G212" i="3"/>
  <c r="H212" i="3" s="1"/>
  <c r="G211" i="3"/>
  <c r="H211" i="3" s="1"/>
  <c r="G210" i="3"/>
  <c r="D197" i="3"/>
  <c r="N121" i="3"/>
  <c r="D196" i="3" s="1"/>
  <c r="D193" i="3"/>
  <c r="D188" i="3"/>
  <c r="G204" i="3"/>
  <c r="G203" i="3" s="1"/>
  <c r="N102" i="3"/>
  <c r="D176" i="3" s="1"/>
  <c r="D159" i="3"/>
  <c r="D167" i="3"/>
  <c r="N80" i="3"/>
  <c r="D152" i="3" s="1"/>
  <c r="H204" i="3"/>
  <c r="H203" i="3" s="1"/>
  <c r="D203" i="3"/>
  <c r="G202" i="3"/>
  <c r="G201" i="3"/>
  <c r="G200" i="3"/>
  <c r="H200" i="3" s="1"/>
  <c r="G199" i="3"/>
  <c r="G198" i="3"/>
  <c r="G197" i="3"/>
  <c r="G196" i="3"/>
  <c r="G194" i="3"/>
  <c r="G193" i="3"/>
  <c r="G192" i="3"/>
  <c r="G190" i="3"/>
  <c r="G189" i="3"/>
  <c r="G188" i="3"/>
  <c r="G187" i="3"/>
  <c r="G185" i="3"/>
  <c r="G184" i="3"/>
  <c r="G183" i="3"/>
  <c r="G182" i="3"/>
  <c r="G181" i="3"/>
  <c r="G180" i="3"/>
  <c r="G179" i="3"/>
  <c r="G178" i="3"/>
  <c r="G176" i="3"/>
  <c r="G175" i="3" s="1"/>
  <c r="G174" i="3"/>
  <c r="G173" i="3"/>
  <c r="G172" i="3"/>
  <c r="H172" i="3" s="1"/>
  <c r="G171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H156" i="3" s="1"/>
  <c r="G155" i="3"/>
  <c r="G154" i="3"/>
  <c r="G153" i="3"/>
  <c r="G152" i="3"/>
  <c r="G151" i="3"/>
  <c r="H151" i="3" s="1"/>
  <c r="G150" i="3"/>
  <c r="G149" i="3"/>
  <c r="H149" i="3" s="1"/>
  <c r="G147" i="3"/>
  <c r="H147" i="3" s="1"/>
  <c r="G146" i="3"/>
  <c r="H146" i="3" s="1"/>
  <c r="G145" i="3"/>
  <c r="H145" i="3" s="1"/>
  <c r="G144" i="3"/>
  <c r="D134" i="3"/>
  <c r="D114" i="3"/>
  <c r="D115" i="3"/>
  <c r="D118" i="3"/>
  <c r="P102" i="3"/>
  <c r="D110" i="3" s="1"/>
  <c r="D87" i="3"/>
  <c r="D89" i="3"/>
  <c r="D93" i="3"/>
  <c r="D97" i="3"/>
  <c r="P80" i="3"/>
  <c r="D86" i="3" s="1"/>
  <c r="G17" i="3"/>
  <c r="H17" i="3" s="1"/>
  <c r="G74" i="3"/>
  <c r="G73" i="3" s="1"/>
  <c r="D73" i="3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D65" i="3"/>
  <c r="G64" i="3"/>
  <c r="H64" i="3" s="1"/>
  <c r="G63" i="3"/>
  <c r="H63" i="3" s="1"/>
  <c r="G62" i="3"/>
  <c r="H62" i="3" s="1"/>
  <c r="G60" i="3"/>
  <c r="H60" i="3" s="1"/>
  <c r="G59" i="3"/>
  <c r="H59" i="3" s="1"/>
  <c r="G58" i="3"/>
  <c r="H58" i="3" s="1"/>
  <c r="G57" i="3"/>
  <c r="D56" i="3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D47" i="3"/>
  <c r="G46" i="3"/>
  <c r="G45" i="3" s="1"/>
  <c r="D45" i="3"/>
  <c r="G44" i="3"/>
  <c r="H44" i="3" s="1"/>
  <c r="G43" i="3"/>
  <c r="H43" i="3"/>
  <c r="G42" i="3"/>
  <c r="G41" i="3"/>
  <c r="H41" i="3" s="1"/>
  <c r="D40" i="3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/>
  <c r="G19" i="3"/>
  <c r="D18" i="3"/>
  <c r="G16" i="3"/>
  <c r="H16" i="3" s="1"/>
  <c r="G15" i="3"/>
  <c r="G14" i="3"/>
  <c r="H194" i="3"/>
  <c r="D29" i="2"/>
  <c r="I29" i="2" s="1"/>
  <c r="I30" i="2"/>
  <c r="D30" i="2" s="1"/>
  <c r="E29" i="2"/>
  <c r="J29" i="2" s="1"/>
  <c r="J30" i="2"/>
  <c r="E30" i="2" s="1"/>
  <c r="K30" i="2"/>
  <c r="F30" i="2" s="1"/>
  <c r="L30" i="2"/>
  <c r="G30" i="2" s="1"/>
  <c r="M30" i="2"/>
  <c r="H30" i="2" s="1"/>
  <c r="D32" i="2"/>
  <c r="I33" i="2"/>
  <c r="D33" i="2" s="1"/>
  <c r="J33" i="2"/>
  <c r="E33" i="2" s="1"/>
  <c r="K33" i="2"/>
  <c r="F33" i="2" s="1"/>
  <c r="L33" i="2"/>
  <c r="G33" i="2" s="1"/>
  <c r="M33" i="2"/>
  <c r="H33" i="2" s="1"/>
  <c r="J37" i="2"/>
  <c r="E37" i="2" s="1"/>
  <c r="K37" i="2"/>
  <c r="F37" i="2" s="1"/>
  <c r="L37" i="2"/>
  <c r="G37" i="2" s="1"/>
  <c r="M37" i="2"/>
  <c r="I37" i="2"/>
  <c r="H30" i="7"/>
  <c r="A12" i="5"/>
  <c r="B12" i="5"/>
  <c r="C12" i="5"/>
  <c r="M12" i="5" s="1"/>
  <c r="G12" i="5"/>
  <c r="Q12" i="5" s="1"/>
  <c r="B13" i="5"/>
  <c r="C13" i="5"/>
  <c r="M13" i="5" s="1"/>
  <c r="P121" i="3"/>
  <c r="D130" i="3" s="1"/>
  <c r="P113" i="3"/>
  <c r="D121" i="3" s="1"/>
  <c r="O113" i="3"/>
  <c r="D253" i="3" s="1"/>
  <c r="H253" i="3" s="1"/>
  <c r="N113" i="3"/>
  <c r="D187" i="3" s="1"/>
  <c r="N104" i="3"/>
  <c r="D178" i="3" s="1"/>
  <c r="H178" i="3" s="1"/>
  <c r="O104" i="3"/>
  <c r="D244" i="3" s="1"/>
  <c r="P104" i="3"/>
  <c r="D112" i="3" s="1"/>
  <c r="A12" i="3"/>
  <c r="A76" i="3"/>
  <c r="N100" i="3"/>
  <c r="D174" i="3" s="1"/>
  <c r="H174" i="3" s="1"/>
  <c r="P100" i="3"/>
  <c r="D108" i="3" s="1"/>
  <c r="P99" i="3"/>
  <c r="D107" i="3" s="1"/>
  <c r="O100" i="3"/>
  <c r="D240" i="3" s="1"/>
  <c r="O99" i="3"/>
  <c r="D239" i="3" s="1"/>
  <c r="N99" i="3"/>
  <c r="D173" i="3" s="1"/>
  <c r="G138" i="3"/>
  <c r="H138" i="3" s="1"/>
  <c r="H137" i="3" s="1"/>
  <c r="D137" i="3"/>
  <c r="G136" i="3"/>
  <c r="H136" i="3" s="1"/>
  <c r="G135" i="3"/>
  <c r="G134" i="3"/>
  <c r="G133" i="3"/>
  <c r="G132" i="3"/>
  <c r="G131" i="3"/>
  <c r="G130" i="3"/>
  <c r="G128" i="3"/>
  <c r="G127" i="3"/>
  <c r="G126" i="3"/>
  <c r="G124" i="3"/>
  <c r="G123" i="3"/>
  <c r="G122" i="3"/>
  <c r="G121" i="3"/>
  <c r="G119" i="3"/>
  <c r="G118" i="3"/>
  <c r="G117" i="3"/>
  <c r="G116" i="3"/>
  <c r="G115" i="3"/>
  <c r="G114" i="3"/>
  <c r="H114" i="3" s="1"/>
  <c r="G113" i="3"/>
  <c r="G112" i="3"/>
  <c r="G110" i="3"/>
  <c r="G109" i="3" s="1"/>
  <c r="G108" i="3"/>
  <c r="G107" i="3"/>
  <c r="G106" i="3"/>
  <c r="H106" i="3" s="1"/>
  <c r="G105" i="3"/>
  <c r="H105" i="3" s="1"/>
  <c r="G102" i="3"/>
  <c r="G101" i="3"/>
  <c r="G100" i="3"/>
  <c r="G99" i="3"/>
  <c r="G98" i="3"/>
  <c r="G97" i="3"/>
  <c r="H97" i="3" s="1"/>
  <c r="G96" i="3"/>
  <c r="G95" i="3"/>
  <c r="G94" i="3"/>
  <c r="G93" i="3"/>
  <c r="G92" i="3"/>
  <c r="G91" i="3"/>
  <c r="G90" i="3"/>
  <c r="H90" i="3" s="1"/>
  <c r="G89" i="3"/>
  <c r="G88" i="3"/>
  <c r="G87" i="3"/>
  <c r="G86" i="3"/>
  <c r="G85" i="3"/>
  <c r="H85" i="3" s="1"/>
  <c r="G84" i="3"/>
  <c r="G83" i="3"/>
  <c r="H83" i="3" s="1"/>
  <c r="G81" i="3"/>
  <c r="H81" i="3" s="1"/>
  <c r="G80" i="3"/>
  <c r="H80" i="3" s="1"/>
  <c r="G79" i="3"/>
  <c r="H79" i="3" s="1"/>
  <c r="G78" i="3"/>
  <c r="H98" i="3"/>
  <c r="G137" i="3"/>
  <c r="H112" i="3"/>
  <c r="J43" i="2"/>
  <c r="E43" i="2" s="1"/>
  <c r="K43" i="2"/>
  <c r="F43" i="2" s="1"/>
  <c r="L43" i="2"/>
  <c r="G43" i="2" s="1"/>
  <c r="M43" i="2"/>
  <c r="H43" i="2" s="1"/>
  <c r="G13" i="5"/>
  <c r="Q13" i="5" s="1"/>
  <c r="E13" i="5"/>
  <c r="O13" i="5" s="1"/>
  <c r="C17" i="1"/>
  <c r="D12" i="5"/>
  <c r="N12" i="5" s="1"/>
  <c r="A10" i="2"/>
  <c r="A29" i="7"/>
  <c r="B29" i="7"/>
  <c r="H29" i="7"/>
  <c r="B30" i="7"/>
  <c r="B32" i="2" s="1"/>
  <c r="I32" i="2"/>
  <c r="I34" i="2" s="1"/>
  <c r="B29" i="2"/>
  <c r="A22" i="2"/>
  <c r="A8" i="15" s="1"/>
  <c r="J69" i="13"/>
  <c r="K69" i="13" s="1"/>
  <c r="J68" i="13"/>
  <c r="K68" i="13" s="1"/>
  <c r="J67" i="13"/>
  <c r="K67" i="13" s="1"/>
  <c r="J66" i="13"/>
  <c r="K66" i="13" s="1"/>
  <c r="J65" i="13"/>
  <c r="K65" i="13" s="1"/>
  <c r="I12" i="7"/>
  <c r="M12" i="7"/>
  <c r="C10" i="5" s="1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6" i="13"/>
  <c r="K46" i="13" s="1"/>
  <c r="J45" i="13"/>
  <c r="K45" i="13" s="1"/>
  <c r="R45" i="13" s="1"/>
  <c r="J44" i="13"/>
  <c r="K44" i="13" s="1"/>
  <c r="J43" i="13"/>
  <c r="K43" i="13" s="1"/>
  <c r="N43" i="13" s="1"/>
  <c r="J42" i="13"/>
  <c r="K42" i="13" s="1"/>
  <c r="N42" i="13" s="1"/>
  <c r="J41" i="13"/>
  <c r="K41" i="13" s="1"/>
  <c r="J53" i="13"/>
  <c r="K53" i="13" s="1"/>
  <c r="H35" i="7"/>
  <c r="Q16" i="1"/>
  <c r="R14" i="5"/>
  <c r="R10" i="5"/>
  <c r="H14" i="5"/>
  <c r="J10" i="5"/>
  <c r="K10" i="5"/>
  <c r="L10" i="5"/>
  <c r="W78" i="13"/>
  <c r="W70" i="13"/>
  <c r="W60" i="13"/>
  <c r="W49" i="13"/>
  <c r="W46" i="13"/>
  <c r="W41" i="13"/>
  <c r="W20" i="13"/>
  <c r="W16" i="13"/>
  <c r="J61" i="13"/>
  <c r="K61" i="13" s="1"/>
  <c r="R61" i="13" s="1"/>
  <c r="J60" i="13"/>
  <c r="K60" i="13" s="1"/>
  <c r="P60" i="13" s="1"/>
  <c r="J58" i="13"/>
  <c r="K58" i="13" s="1"/>
  <c r="R58" i="13" s="1"/>
  <c r="J57" i="13"/>
  <c r="K57" i="13" s="1"/>
  <c r="P57" i="13" s="1"/>
  <c r="J56" i="13"/>
  <c r="K56" i="13" s="1"/>
  <c r="P56" i="13" s="1"/>
  <c r="J55" i="13"/>
  <c r="K55" i="13" s="1"/>
  <c r="J54" i="13"/>
  <c r="K54" i="13" s="1"/>
  <c r="P54" i="13" s="1"/>
  <c r="J40" i="13"/>
  <c r="K40" i="13" s="1"/>
  <c r="J39" i="13"/>
  <c r="K39" i="13" s="1"/>
  <c r="J38" i="13"/>
  <c r="K38" i="13" s="1"/>
  <c r="J36" i="13"/>
  <c r="K36" i="13"/>
  <c r="N36" i="13" s="1"/>
  <c r="J35" i="13"/>
  <c r="K35" i="13" s="1"/>
  <c r="P35" i="13" s="1"/>
  <c r="J34" i="13"/>
  <c r="K34" i="13" s="1"/>
  <c r="J30" i="13"/>
  <c r="K30" i="13" s="1"/>
  <c r="J29" i="13"/>
  <c r="K29" i="13" s="1"/>
  <c r="J28" i="13"/>
  <c r="K28" i="13" s="1"/>
  <c r="N28" i="13" s="1"/>
  <c r="J27" i="13"/>
  <c r="K27" i="13" s="1"/>
  <c r="P27" i="13" s="1"/>
  <c r="J26" i="13"/>
  <c r="K26" i="13" s="1"/>
  <c r="R26" i="13" s="1"/>
  <c r="J25" i="13"/>
  <c r="K25" i="13" s="1"/>
  <c r="P25" i="13" s="1"/>
  <c r="J24" i="13"/>
  <c r="K24" i="13" s="1"/>
  <c r="J23" i="13"/>
  <c r="K23" i="13" s="1"/>
  <c r="P23" i="13" s="1"/>
  <c r="J22" i="13"/>
  <c r="K22" i="13" s="1"/>
  <c r="P22" i="13" s="1"/>
  <c r="J21" i="13"/>
  <c r="K21" i="13" s="1"/>
  <c r="J20" i="13"/>
  <c r="K20" i="13" s="1"/>
  <c r="P20" i="13" s="1"/>
  <c r="J19" i="13"/>
  <c r="K19" i="13" s="1"/>
  <c r="P19" i="13" s="1"/>
  <c r="J18" i="13"/>
  <c r="K18" i="13" s="1"/>
  <c r="P18" i="13" s="1"/>
  <c r="J17" i="13"/>
  <c r="K17" i="13" s="1"/>
  <c r="P17" i="13" s="1"/>
  <c r="J16" i="13"/>
  <c r="K16" i="13" s="1"/>
  <c r="N16" i="13" s="1"/>
  <c r="J15" i="13"/>
  <c r="K15" i="13" s="1"/>
  <c r="P15" i="13" s="1"/>
  <c r="E4" i="13"/>
  <c r="B45" i="12"/>
  <c r="B29" i="12"/>
  <c r="N56" i="13"/>
  <c r="R39" i="13"/>
  <c r="N58" i="13"/>
  <c r="P58" i="13"/>
  <c r="P34" i="13"/>
  <c r="D41" i="2"/>
  <c r="D38" i="2"/>
  <c r="I23" i="2"/>
  <c r="D23" i="2" s="1"/>
  <c r="M21" i="7"/>
  <c r="C16" i="5" s="1"/>
  <c r="M16" i="5" s="1"/>
  <c r="M20" i="7"/>
  <c r="C15" i="5" s="1"/>
  <c r="M15" i="5" s="1"/>
  <c r="I36" i="2"/>
  <c r="F41" i="2"/>
  <c r="K41" i="2"/>
  <c r="L21" i="7"/>
  <c r="V16" i="5" s="1"/>
  <c r="K21" i="7"/>
  <c r="U16" i="5" s="1"/>
  <c r="J21" i="7"/>
  <c r="I21" i="7"/>
  <c r="L19" i="7"/>
  <c r="Q19" i="7" s="1"/>
  <c r="G14" i="5" s="1"/>
  <c r="Q14" i="5" s="1"/>
  <c r="K19" i="7"/>
  <c r="U14" i="5" s="1"/>
  <c r="J19" i="7"/>
  <c r="I19" i="7"/>
  <c r="C11" i="5"/>
  <c r="L12" i="7"/>
  <c r="V10" i="5" s="1"/>
  <c r="K12" i="7"/>
  <c r="P12" i="7" s="1"/>
  <c r="P22" i="2"/>
  <c r="P24" i="2" s="1"/>
  <c r="E17" i="1"/>
  <c r="G17" i="1"/>
  <c r="D17" i="1"/>
  <c r="F17" i="1"/>
  <c r="P25" i="2"/>
  <c r="P27" i="2" s="1"/>
  <c r="K26" i="2"/>
  <c r="F26" i="2" s="1"/>
  <c r="K23" i="2"/>
  <c r="F23" i="2" s="1"/>
  <c r="J12" i="7"/>
  <c r="O12" i="7" s="1"/>
  <c r="H27" i="7"/>
  <c r="K25" i="2"/>
  <c r="F25" i="2" s="1"/>
  <c r="E4" i="12"/>
  <c r="B11" i="12"/>
  <c r="I43" i="2"/>
  <c r="I40" i="2"/>
  <c r="H37" i="2"/>
  <c r="B42" i="2"/>
  <c r="B39" i="2"/>
  <c r="B36" i="2"/>
  <c r="J26" i="2"/>
  <c r="E26" i="2" s="1"/>
  <c r="L26" i="2"/>
  <c r="G26" i="2" s="1"/>
  <c r="M26" i="2"/>
  <c r="H26" i="2" s="1"/>
  <c r="I26" i="2"/>
  <c r="D26" i="2" s="1"/>
  <c r="J23" i="2"/>
  <c r="E23" i="2" s="1"/>
  <c r="L23" i="2"/>
  <c r="G23" i="2" s="1"/>
  <c r="M23" i="2"/>
  <c r="H23" i="2" s="1"/>
  <c r="A36" i="2"/>
  <c r="B25" i="2"/>
  <c r="B22" i="2"/>
  <c r="I10" i="5"/>
  <c r="H10" i="5"/>
  <c r="B11" i="5"/>
  <c r="B14" i="5"/>
  <c r="B15" i="5"/>
  <c r="B16" i="5"/>
  <c r="A14" i="5"/>
  <c r="B17" i="1"/>
  <c r="B23" i="1"/>
  <c r="B24" i="1"/>
  <c r="B25" i="1"/>
  <c r="B16" i="1"/>
  <c r="A23" i="1"/>
  <c r="H36" i="7"/>
  <c r="B36" i="7"/>
  <c r="B35" i="7"/>
  <c r="H34" i="7"/>
  <c r="B34" i="7"/>
  <c r="A34" i="7"/>
  <c r="M25" i="2"/>
  <c r="H25" i="2" s="1"/>
  <c r="H28" i="7"/>
  <c r="A27" i="7"/>
  <c r="B28" i="7"/>
  <c r="B27" i="7"/>
  <c r="A16" i="1"/>
  <c r="C8" i="2"/>
  <c r="B8" i="2"/>
  <c r="M41" i="2"/>
  <c r="H41" i="2"/>
  <c r="L41" i="2"/>
  <c r="L25" i="2"/>
  <c r="G41" i="2"/>
  <c r="Q17" i="1"/>
  <c r="Q23" i="1"/>
  <c r="Q24" i="1"/>
  <c r="Q25" i="1"/>
  <c r="G4" i="5"/>
  <c r="D4" i="1"/>
  <c r="B10" i="5"/>
  <c r="A10" i="5"/>
  <c r="A9" i="2"/>
  <c r="D44" i="2"/>
  <c r="A9" i="5"/>
  <c r="B9" i="5"/>
  <c r="J41" i="2"/>
  <c r="J25" i="2"/>
  <c r="E25" i="2" s="1"/>
  <c r="E41" i="2"/>
  <c r="J36" i="2" l="1"/>
  <c r="H88" i="3"/>
  <c r="H192" i="3"/>
  <c r="S16" i="5"/>
  <c r="K36" i="2"/>
  <c r="N12" i="7"/>
  <c r="D16" i="1" s="1"/>
  <c r="I16" i="1" s="1"/>
  <c r="F12" i="5"/>
  <c r="P12" i="5" s="1"/>
  <c r="L19" i="1"/>
  <c r="I22" i="2"/>
  <c r="D22" i="2" s="1"/>
  <c r="I18" i="1"/>
  <c r="I17" i="1"/>
  <c r="H119" i="3"/>
  <c r="M11" i="5"/>
  <c r="K17" i="1"/>
  <c r="N41" i="2"/>
  <c r="B12" i="2" s="1"/>
  <c r="H118" i="3"/>
  <c r="H229" i="3"/>
  <c r="H221" i="3"/>
  <c r="H189" i="3"/>
  <c r="H132" i="3"/>
  <c r="H264" i="3"/>
  <c r="G111" i="3"/>
  <c r="H196" i="3"/>
  <c r="H219" i="3"/>
  <c r="H247" i="3"/>
  <c r="H245" i="3"/>
  <c r="H102" i="3"/>
  <c r="H94" i="3"/>
  <c r="H160" i="3"/>
  <c r="K18" i="1"/>
  <c r="G170" i="3"/>
  <c r="H256" i="3"/>
  <c r="H46" i="3"/>
  <c r="H45" i="3" s="1"/>
  <c r="H222" i="3"/>
  <c r="D111" i="3"/>
  <c r="H96" i="3"/>
  <c r="W15" i="13"/>
  <c r="R43" i="13"/>
  <c r="J50" i="13" s="1"/>
  <c r="K50" i="13" s="1"/>
  <c r="R23" i="13"/>
  <c r="N18" i="13"/>
  <c r="P28" i="2"/>
  <c r="B9" i="15" s="1"/>
  <c r="I31" i="2"/>
  <c r="R38" i="13"/>
  <c r="N38" i="13"/>
  <c r="P38" i="13"/>
  <c r="N44" i="13"/>
  <c r="R44" i="13"/>
  <c r="J51" i="13" s="1"/>
  <c r="K51" i="13" s="1"/>
  <c r="P51" i="13" s="1"/>
  <c r="R18" i="13"/>
  <c r="H115" i="3"/>
  <c r="H171" i="3"/>
  <c r="H167" i="3"/>
  <c r="H220" i="3"/>
  <c r="H154" i="3"/>
  <c r="H250" i="3"/>
  <c r="G18" i="1"/>
  <c r="L18" i="1" s="1"/>
  <c r="H263" i="3"/>
  <c r="H95" i="3"/>
  <c r="H227" i="3"/>
  <c r="H184" i="3"/>
  <c r="H248" i="3"/>
  <c r="H225" i="3"/>
  <c r="H249" i="3"/>
  <c r="H181" i="3"/>
  <c r="H254" i="3"/>
  <c r="I30" i="7"/>
  <c r="G17" i="15" s="1"/>
  <c r="H89" i="3"/>
  <c r="H87" i="3"/>
  <c r="H158" i="3"/>
  <c r="N15" i="13"/>
  <c r="H74" i="3"/>
  <c r="H73" i="3" s="1"/>
  <c r="H101" i="3"/>
  <c r="H262" i="3"/>
  <c r="H99" i="3"/>
  <c r="H91" i="3"/>
  <c r="H231" i="3"/>
  <c r="H223" i="3"/>
  <c r="H246" i="3"/>
  <c r="N60" i="13"/>
  <c r="J17" i="1"/>
  <c r="R56" i="13"/>
  <c r="H108" i="3"/>
  <c r="H240" i="3"/>
  <c r="G143" i="3"/>
  <c r="H232" i="3"/>
  <c r="H251" i="3"/>
  <c r="H164" i="3"/>
  <c r="H185" i="3"/>
  <c r="R60" i="13"/>
  <c r="H92" i="3"/>
  <c r="H188" i="3"/>
  <c r="H265" i="3"/>
  <c r="M31" i="2"/>
  <c r="N27" i="13"/>
  <c r="E32" i="2"/>
  <c r="E34" i="2" s="1"/>
  <c r="D34" i="2"/>
  <c r="G29" i="2"/>
  <c r="L29" i="2" s="1"/>
  <c r="L31" i="2" s="1"/>
  <c r="F29" i="2"/>
  <c r="K29" i="2" s="1"/>
  <c r="E12" i="5"/>
  <c r="O12" i="5" s="1"/>
  <c r="E16" i="5"/>
  <c r="O16" i="5" s="1"/>
  <c r="T16" i="5"/>
  <c r="C16" i="1"/>
  <c r="H16" i="1" s="1"/>
  <c r="D82" i="3"/>
  <c r="H86" i="3"/>
  <c r="G32" i="2"/>
  <c r="L32" i="2" s="1"/>
  <c r="L34" i="2" s="1"/>
  <c r="F19" i="1"/>
  <c r="K19" i="1" s="1"/>
  <c r="E19" i="1"/>
  <c r="J19" i="1" s="1"/>
  <c r="H32" i="2"/>
  <c r="M32" i="2" s="1"/>
  <c r="M34" i="2" s="1"/>
  <c r="E41" i="15"/>
  <c r="I41" i="15"/>
  <c r="M41" i="15"/>
  <c r="J41" i="15"/>
  <c r="B41" i="15"/>
  <c r="F41" i="15"/>
  <c r="C41" i="15"/>
  <c r="G41" i="15"/>
  <c r="K41" i="15"/>
  <c r="D41" i="15"/>
  <c r="H41" i="15"/>
  <c r="L41" i="15"/>
  <c r="L27" i="2"/>
  <c r="K31" i="2"/>
  <c r="J31" i="2"/>
  <c r="D17" i="15"/>
  <c r="I28" i="7"/>
  <c r="I5" i="15" s="1"/>
  <c r="H190" i="3"/>
  <c r="I36" i="7"/>
  <c r="H27" i="2"/>
  <c r="N30" i="13"/>
  <c r="R30" i="13"/>
  <c r="P24" i="13"/>
  <c r="R24" i="13"/>
  <c r="N24" i="13"/>
  <c r="N40" i="13"/>
  <c r="R40" i="13"/>
  <c r="J47" i="13" s="1"/>
  <c r="K47" i="13" s="1"/>
  <c r="R47" i="13" s="1"/>
  <c r="P40" i="13"/>
  <c r="P16" i="13"/>
  <c r="N20" i="13"/>
  <c r="R20" i="13"/>
  <c r="R25" i="13"/>
  <c r="N25" i="13"/>
  <c r="N34" i="13"/>
  <c r="R34" i="13"/>
  <c r="N54" i="13"/>
  <c r="R54" i="13"/>
  <c r="N46" i="13"/>
  <c r="P46" i="13"/>
  <c r="M10" i="5"/>
  <c r="B19" i="12"/>
  <c r="A29" i="2"/>
  <c r="A20" i="15" s="1"/>
  <c r="D243" i="3"/>
  <c r="G40" i="3"/>
  <c r="H42" i="3"/>
  <c r="H40" i="3" s="1"/>
  <c r="H57" i="3"/>
  <c r="H123" i="3"/>
  <c r="N39" i="13"/>
  <c r="P39" i="13"/>
  <c r="P45" i="13"/>
  <c r="N45" i="13"/>
  <c r="D45" i="2"/>
  <c r="R16" i="13"/>
  <c r="R57" i="13"/>
  <c r="N17" i="13"/>
  <c r="R17" i="13"/>
  <c r="J33" i="13" s="1"/>
  <c r="K33" i="13" s="1"/>
  <c r="P33" i="13" s="1"/>
  <c r="N55" i="13"/>
  <c r="R55" i="13"/>
  <c r="P61" i="13"/>
  <c r="N61" i="13"/>
  <c r="N41" i="13"/>
  <c r="R41" i="13"/>
  <c r="J48" i="13" s="1"/>
  <c r="K48" i="13" s="1"/>
  <c r="P48" i="13" s="1"/>
  <c r="P41" i="13"/>
  <c r="H84" i="3"/>
  <c r="G82" i="3"/>
  <c r="H47" i="3"/>
  <c r="H65" i="3"/>
  <c r="E16" i="1"/>
  <c r="J16" i="1" s="1"/>
  <c r="T10" i="5"/>
  <c r="I24" i="2"/>
  <c r="T14" i="5"/>
  <c r="P26" i="13"/>
  <c r="P55" i="13"/>
  <c r="N21" i="13"/>
  <c r="R21" i="13"/>
  <c r="R36" i="13"/>
  <c r="P36" i="13"/>
  <c r="P43" i="13"/>
  <c r="R51" i="13"/>
  <c r="G13" i="3"/>
  <c r="H15" i="3"/>
  <c r="D109" i="3"/>
  <c r="H110" i="3"/>
  <c r="H109" i="3" s="1"/>
  <c r="H150" i="3"/>
  <c r="G148" i="3"/>
  <c r="H161" i="3"/>
  <c r="G209" i="3"/>
  <c r="H100" i="3"/>
  <c r="G236" i="3"/>
  <c r="G261" i="3"/>
  <c r="H228" i="3"/>
  <c r="H268" i="3"/>
  <c r="H157" i="3"/>
  <c r="H183" i="3"/>
  <c r="H180" i="3"/>
  <c r="H128" i="3"/>
  <c r="H199" i="3"/>
  <c r="H134" i="3"/>
  <c r="H107" i="3"/>
  <c r="H104" i="3" s="1"/>
  <c r="K34" i="2"/>
  <c r="H127" i="3"/>
  <c r="H165" i="3"/>
  <c r="H237" i="3"/>
  <c r="H226" i="3"/>
  <c r="H116" i="3"/>
  <c r="H260" i="3"/>
  <c r="H259" i="3"/>
  <c r="H267" i="3"/>
  <c r="H19" i="1"/>
  <c r="J27" i="2"/>
  <c r="I38" i="2"/>
  <c r="H113" i="3"/>
  <c r="H117" i="3"/>
  <c r="H122" i="3"/>
  <c r="H126" i="3"/>
  <c r="H131" i="3"/>
  <c r="H135" i="3"/>
  <c r="H124" i="3"/>
  <c r="H168" i="3"/>
  <c r="H182" i="3"/>
  <c r="H202" i="3"/>
  <c r="H163" i="3"/>
  <c r="H155" i="3"/>
  <c r="H193" i="3"/>
  <c r="H201" i="3"/>
  <c r="H266" i="3"/>
  <c r="H133" i="3"/>
  <c r="R35" i="13"/>
  <c r="J37" i="13" s="1"/>
  <c r="K37" i="13" s="1"/>
  <c r="R37" i="13" s="1"/>
  <c r="N35" i="13"/>
  <c r="R46" i="13"/>
  <c r="N22" i="13"/>
  <c r="R27" i="13"/>
  <c r="P30" i="13"/>
  <c r="N26" i="13"/>
  <c r="R15" i="13"/>
  <c r="R22" i="13"/>
  <c r="K70" i="13"/>
  <c r="N23" i="13"/>
  <c r="P21" i="13"/>
  <c r="N57" i="13"/>
  <c r="P44" i="13"/>
  <c r="V14" i="5"/>
  <c r="E23" i="1"/>
  <c r="J23" i="1" s="1"/>
  <c r="P19" i="7"/>
  <c r="F14" i="5" s="1"/>
  <c r="P14" i="5" s="1"/>
  <c r="S14" i="5"/>
  <c r="P21" i="7"/>
  <c r="Q21" i="7"/>
  <c r="L22" i="2"/>
  <c r="G22" i="2" s="1"/>
  <c r="G24" i="2" s="1"/>
  <c r="F16" i="1"/>
  <c r="K16" i="1" s="1"/>
  <c r="F10" i="5"/>
  <c r="P10" i="5" s="1"/>
  <c r="U10" i="5"/>
  <c r="S10" i="5"/>
  <c r="J22" i="2"/>
  <c r="D10" i="5"/>
  <c r="N10" i="5" s="1"/>
  <c r="I35" i="2"/>
  <c r="K27" i="2"/>
  <c r="F34" i="2"/>
  <c r="I25" i="2"/>
  <c r="I39" i="2"/>
  <c r="I41" i="2" s="1"/>
  <c r="C23" i="1"/>
  <c r="H23" i="1" s="1"/>
  <c r="C24" i="1"/>
  <c r="H24" i="1" s="1"/>
  <c r="I42" i="2"/>
  <c r="I44" i="2" s="1"/>
  <c r="G23" i="1"/>
  <c r="L23" i="1" s="1"/>
  <c r="M36" i="2"/>
  <c r="D9" i="2"/>
  <c r="P50" i="13"/>
  <c r="N50" i="13"/>
  <c r="R50" i="13"/>
  <c r="L29" i="12"/>
  <c r="D144" i="3" s="1"/>
  <c r="G25" i="2"/>
  <c r="G27" i="2" s="1"/>
  <c r="F27" i="2"/>
  <c r="N19" i="13"/>
  <c r="R19" i="13"/>
  <c r="W40" i="13"/>
  <c r="W80" i="13" s="1"/>
  <c r="L19" i="12"/>
  <c r="D78" i="3" s="1"/>
  <c r="M27" i="2"/>
  <c r="Q12" i="7"/>
  <c r="C14" i="5"/>
  <c r="M14" i="5" s="1"/>
  <c r="C25" i="1"/>
  <c r="H25" i="1" s="1"/>
  <c r="D24" i="2"/>
  <c r="L45" i="12"/>
  <c r="P28" i="13"/>
  <c r="R28" i="13"/>
  <c r="H173" i="3"/>
  <c r="H170" i="3" s="1"/>
  <c r="D170" i="3"/>
  <c r="H130" i="3"/>
  <c r="D129" i="3"/>
  <c r="D14" i="5"/>
  <c r="N14" i="5" s="1"/>
  <c r="D23" i="1"/>
  <c r="I23" i="1" s="1"/>
  <c r="R42" i="13"/>
  <c r="J49" i="13" s="1"/>
  <c r="K49" i="13" s="1"/>
  <c r="N49" i="13" s="1"/>
  <c r="P42" i="13"/>
  <c r="E27" i="2"/>
  <c r="L17" i="1"/>
  <c r="H17" i="1"/>
  <c r="N29" i="13"/>
  <c r="P29" i="13"/>
  <c r="R29" i="13"/>
  <c r="N53" i="13"/>
  <c r="R53" i="13"/>
  <c r="P53" i="13"/>
  <c r="D120" i="3"/>
  <c r="H121" i="3"/>
  <c r="P45" i="2"/>
  <c r="H197" i="3"/>
  <c r="D195" i="3"/>
  <c r="G269" i="3"/>
  <c r="H270" i="3"/>
  <c r="H269" i="3" s="1"/>
  <c r="H258" i="3"/>
  <c r="E31" i="2"/>
  <c r="G214" i="3"/>
  <c r="H244" i="3"/>
  <c r="G252" i="3"/>
  <c r="H218" i="3"/>
  <c r="D214" i="3"/>
  <c r="D241" i="3"/>
  <c r="H242" i="3"/>
  <c r="H241" i="3" s="1"/>
  <c r="G104" i="3"/>
  <c r="G77" i="3"/>
  <c r="D236" i="3"/>
  <c r="H239" i="3"/>
  <c r="D39" i="3"/>
  <c r="H93" i="3"/>
  <c r="G195" i="3"/>
  <c r="H176" i="3"/>
  <c r="H175" i="3" s="1"/>
  <c r="D175" i="3"/>
  <c r="D261" i="3"/>
  <c r="H166" i="3"/>
  <c r="H162" i="3"/>
  <c r="D10" i="2"/>
  <c r="D19" i="1"/>
  <c r="I19" i="1" s="1"/>
  <c r="G129" i="3"/>
  <c r="D177" i="3"/>
  <c r="H31" i="2"/>
  <c r="D31" i="2"/>
  <c r="D104" i="3"/>
  <c r="H152" i="3"/>
  <c r="D148" i="3"/>
  <c r="H179" i="3"/>
  <c r="H233" i="3"/>
  <c r="H198" i="3"/>
  <c r="H187" i="3"/>
  <c r="D186" i="3"/>
  <c r="H19" i="3"/>
  <c r="H18" i="3" s="1"/>
  <c r="G18" i="3"/>
  <c r="G47" i="3"/>
  <c r="G177" i="3"/>
  <c r="H159" i="3"/>
  <c r="H234" i="3"/>
  <c r="H153" i="3"/>
  <c r="J18" i="1"/>
  <c r="D252" i="3"/>
  <c r="G65" i="3"/>
  <c r="G243" i="3"/>
  <c r="H18" i="1"/>
  <c r="E36" i="2" l="1"/>
  <c r="E38" i="2" s="1"/>
  <c r="J38" i="2"/>
  <c r="E14" i="5"/>
  <c r="O14" i="5" s="1"/>
  <c r="H111" i="3"/>
  <c r="G142" i="3"/>
  <c r="E35" i="2"/>
  <c r="J32" i="2"/>
  <c r="J34" i="2" s="1"/>
  <c r="O34" i="2" s="1"/>
  <c r="J17" i="15"/>
  <c r="M35" i="2"/>
  <c r="H243" i="3"/>
  <c r="E10" i="5"/>
  <c r="O10" i="5" s="1"/>
  <c r="H261" i="3"/>
  <c r="G208" i="3"/>
  <c r="J52" i="13"/>
  <c r="K52" i="13" s="1"/>
  <c r="N52" i="13" s="1"/>
  <c r="N51" i="13"/>
  <c r="P49" i="13"/>
  <c r="R49" i="13"/>
  <c r="R48" i="13"/>
  <c r="N48" i="13"/>
  <c r="N47" i="13"/>
  <c r="P47" i="13"/>
  <c r="N37" i="13"/>
  <c r="P37" i="13"/>
  <c r="J31" i="13"/>
  <c r="K31" i="13" s="1"/>
  <c r="R31" i="13" s="1"/>
  <c r="J32" i="13"/>
  <c r="K32" i="13" s="1"/>
  <c r="N32" i="13" s="1"/>
  <c r="N33" i="13"/>
  <c r="R33" i="13"/>
  <c r="K17" i="15"/>
  <c r="K5" i="15"/>
  <c r="F17" i="15"/>
  <c r="L17" i="15"/>
  <c r="M17" i="15"/>
  <c r="H17" i="15"/>
  <c r="I17" i="15"/>
  <c r="G31" i="2"/>
  <c r="F23" i="1"/>
  <c r="K23" i="1" s="1"/>
  <c r="F125" i="3"/>
  <c r="G125" i="3" s="1"/>
  <c r="E17" i="15"/>
  <c r="H177" i="3"/>
  <c r="H82" i="3"/>
  <c r="H252" i="3"/>
  <c r="O31" i="2"/>
  <c r="L35" i="2"/>
  <c r="F31" i="2"/>
  <c r="F35" i="2" s="1"/>
  <c r="L42" i="2"/>
  <c r="L44" i="2" s="1"/>
  <c r="F16" i="5"/>
  <c r="P16" i="5" s="1"/>
  <c r="M42" i="2"/>
  <c r="M44" i="2" s="1"/>
  <c r="G16" i="5"/>
  <c r="Q16" i="5" s="1"/>
  <c r="J42" i="2"/>
  <c r="E42" i="2" s="1"/>
  <c r="E44" i="2" s="1"/>
  <c r="E45" i="2" s="1"/>
  <c r="D16" i="5"/>
  <c r="N16" i="5" s="1"/>
  <c r="G34" i="2"/>
  <c r="K35" i="2"/>
  <c r="H34" i="2"/>
  <c r="H35" i="2" s="1"/>
  <c r="B29" i="15"/>
  <c r="G29" i="15"/>
  <c r="K29" i="15"/>
  <c r="F191" i="3"/>
  <c r="G191" i="3" s="1"/>
  <c r="H29" i="15"/>
  <c r="E29" i="15"/>
  <c r="I29" i="15"/>
  <c r="M29" i="15"/>
  <c r="F29" i="15"/>
  <c r="J29" i="15"/>
  <c r="D29" i="15"/>
  <c r="C29" i="15"/>
  <c r="L29" i="15"/>
  <c r="J5" i="15"/>
  <c r="F5" i="15"/>
  <c r="H5" i="15"/>
  <c r="E5" i="15"/>
  <c r="F61" i="3"/>
  <c r="G61" i="3" s="1"/>
  <c r="G5" i="15"/>
  <c r="M5" i="15"/>
  <c r="L5" i="15"/>
  <c r="D5" i="15"/>
  <c r="D210" i="3"/>
  <c r="H210" i="3" s="1"/>
  <c r="H209" i="3" s="1"/>
  <c r="L60" i="12"/>
  <c r="P46" i="2"/>
  <c r="G12" i="3"/>
  <c r="G76" i="3"/>
  <c r="J35" i="2"/>
  <c r="K22" i="2"/>
  <c r="F22" i="2" s="1"/>
  <c r="F24" i="2" s="1"/>
  <c r="F28" i="2" s="1"/>
  <c r="G235" i="3"/>
  <c r="J270" i="3"/>
  <c r="H148" i="3"/>
  <c r="H195" i="3"/>
  <c r="D103" i="3"/>
  <c r="H236" i="3"/>
  <c r="H129" i="3"/>
  <c r="G28" i="2"/>
  <c r="L24" i="2"/>
  <c r="L28" i="2" s="1"/>
  <c r="F25" i="1"/>
  <c r="K25" i="1" s="1"/>
  <c r="L36" i="2"/>
  <c r="L38" i="2" s="1"/>
  <c r="F36" i="2"/>
  <c r="F38" i="2" s="1"/>
  <c r="F45" i="2" s="1"/>
  <c r="K38" i="2"/>
  <c r="D25" i="1"/>
  <c r="I25" i="1" s="1"/>
  <c r="G25" i="1"/>
  <c r="L25" i="1" s="1"/>
  <c r="E22" i="2"/>
  <c r="E24" i="2" s="1"/>
  <c r="E28" i="2" s="1"/>
  <c r="J24" i="2"/>
  <c r="J28" i="2" s="1"/>
  <c r="O41" i="2"/>
  <c r="I45" i="2"/>
  <c r="D25" i="2"/>
  <c r="D27" i="2" s="1"/>
  <c r="D28" i="2" s="1"/>
  <c r="I27" i="2"/>
  <c r="I28" i="2" s="1"/>
  <c r="K42" i="2"/>
  <c r="E25" i="1"/>
  <c r="J25" i="1" s="1"/>
  <c r="H36" i="2"/>
  <c r="H38" i="2" s="1"/>
  <c r="M38" i="2"/>
  <c r="D235" i="3"/>
  <c r="M22" i="2"/>
  <c r="G10" i="5"/>
  <c r="Q10" i="5" s="1"/>
  <c r="G16" i="1"/>
  <c r="L16" i="1" s="1"/>
  <c r="N31" i="2"/>
  <c r="D35" i="2"/>
  <c r="H78" i="3"/>
  <c r="H77" i="3" s="1"/>
  <c r="H76" i="3" s="1"/>
  <c r="D77" i="3"/>
  <c r="D76" i="3" s="1"/>
  <c r="D14" i="3"/>
  <c r="D13" i="2"/>
  <c r="H214" i="3"/>
  <c r="D169" i="3"/>
  <c r="H144" i="3"/>
  <c r="H143" i="3" s="1"/>
  <c r="D143" i="3"/>
  <c r="D142" i="3" s="1"/>
  <c r="J44" i="2" l="1"/>
  <c r="J45" i="2" s="1"/>
  <c r="J46" i="2" s="1"/>
  <c r="O35" i="2"/>
  <c r="C10" i="2" s="1"/>
  <c r="H235" i="3"/>
  <c r="G271" i="3"/>
  <c r="R52" i="13"/>
  <c r="P52" i="13"/>
  <c r="R32" i="13"/>
  <c r="P31" i="13"/>
  <c r="N31" i="13"/>
  <c r="P32" i="13"/>
  <c r="H125" i="3"/>
  <c r="G120" i="3"/>
  <c r="G103" i="3" s="1"/>
  <c r="G139" i="3" s="1"/>
  <c r="L45" i="2"/>
  <c r="L46" i="2" s="1"/>
  <c r="K24" i="2"/>
  <c r="K28" i="2" s="1"/>
  <c r="G42" i="2"/>
  <c r="G44" i="2" s="1"/>
  <c r="N44" i="2" s="1"/>
  <c r="N34" i="2"/>
  <c r="N35" i="2" s="1"/>
  <c r="G35" i="2"/>
  <c r="H42" i="2"/>
  <c r="H44" i="2" s="1"/>
  <c r="H45" i="2" s="1"/>
  <c r="H142" i="3"/>
  <c r="D209" i="3"/>
  <c r="D208" i="3" s="1"/>
  <c r="D271" i="3" s="1"/>
  <c r="D205" i="3"/>
  <c r="C12" i="2"/>
  <c r="E12" i="2" s="1"/>
  <c r="C45" i="15"/>
  <c r="G45" i="15"/>
  <c r="K45" i="15"/>
  <c r="D45" i="15"/>
  <c r="H45" i="15"/>
  <c r="L45" i="15"/>
  <c r="E45" i="15"/>
  <c r="I45" i="15"/>
  <c r="M45" i="15"/>
  <c r="F45" i="15"/>
  <c r="J45" i="15"/>
  <c r="B45" i="15"/>
  <c r="H191" i="3"/>
  <c r="G186" i="3"/>
  <c r="G169" i="3" s="1"/>
  <c r="G205" i="3" s="1"/>
  <c r="F21" i="15"/>
  <c r="J21" i="15"/>
  <c r="E21" i="15"/>
  <c r="G21" i="15"/>
  <c r="K21" i="15"/>
  <c r="H21" i="15"/>
  <c r="L21" i="15"/>
  <c r="I21" i="15"/>
  <c r="M21" i="15"/>
  <c r="H61" i="3"/>
  <c r="G56" i="3"/>
  <c r="G39" i="3" s="1"/>
  <c r="G75" i="3" s="1"/>
  <c r="D139" i="3"/>
  <c r="G36" i="2"/>
  <c r="G38" i="2" s="1"/>
  <c r="G45" i="2" s="1"/>
  <c r="G46" i="2" s="1"/>
  <c r="Q41" i="2"/>
  <c r="E46" i="2"/>
  <c r="F46" i="2"/>
  <c r="I46" i="2"/>
  <c r="N27" i="2"/>
  <c r="D46" i="2"/>
  <c r="O27" i="2"/>
  <c r="F42" i="2"/>
  <c r="K44" i="2"/>
  <c r="M45" i="2"/>
  <c r="O38" i="2"/>
  <c r="Q31" i="2"/>
  <c r="D13" i="3"/>
  <c r="D12" i="3" s="1"/>
  <c r="D75" i="3" s="1"/>
  <c r="H14" i="3"/>
  <c r="H13" i="3" s="1"/>
  <c r="H12" i="3" s="1"/>
  <c r="H22" i="2"/>
  <c r="H24" i="2" s="1"/>
  <c r="M24" i="2"/>
  <c r="H208" i="3"/>
  <c r="H271" i="3" l="1"/>
  <c r="H48" i="15" s="1"/>
  <c r="H49" i="15" s="1"/>
  <c r="Q34" i="2"/>
  <c r="Q35" i="2" s="1"/>
  <c r="N38" i="2"/>
  <c r="N45" i="2" s="1"/>
  <c r="J138" i="3"/>
  <c r="H120" i="3"/>
  <c r="H103" i="3" s="1"/>
  <c r="H139" i="3" s="1"/>
  <c r="F24" i="15" s="1"/>
  <c r="F25" i="15" s="1"/>
  <c r="N45" i="15"/>
  <c r="H186" i="3"/>
  <c r="H169" i="3" s="1"/>
  <c r="H205" i="3" s="1"/>
  <c r="J204" i="3"/>
  <c r="B10" i="2"/>
  <c r="E10" i="2" s="1"/>
  <c r="D21" i="15"/>
  <c r="C21" i="15"/>
  <c r="J74" i="3"/>
  <c r="H56" i="3"/>
  <c r="H39" i="3" s="1"/>
  <c r="H75" i="3" s="1"/>
  <c r="Q27" i="2"/>
  <c r="K45" i="2"/>
  <c r="K46" i="2" s="1"/>
  <c r="O44" i="2"/>
  <c r="Q44" i="2" s="1"/>
  <c r="M28" i="2"/>
  <c r="M46" i="2" s="1"/>
  <c r="O24" i="2"/>
  <c r="O28" i="2" s="1"/>
  <c r="H28" i="2"/>
  <c r="H46" i="2" s="1"/>
  <c r="N24" i="2"/>
  <c r="Q38" i="2" l="1"/>
  <c r="B11" i="2"/>
  <c r="I48" i="15"/>
  <c r="I49" i="15" s="1"/>
  <c r="F12" i="2"/>
  <c r="D48" i="15"/>
  <c r="J48" i="15"/>
  <c r="J49" i="15" s="1"/>
  <c r="K48" i="15"/>
  <c r="K49" i="15" s="1"/>
  <c r="G48" i="15"/>
  <c r="G49" i="15" s="1"/>
  <c r="B48" i="15"/>
  <c r="B49" i="15" s="1"/>
  <c r="J271" i="3"/>
  <c r="F48" i="15"/>
  <c r="F49" i="15" s="1"/>
  <c r="M48" i="15"/>
  <c r="M49" i="15" s="1"/>
  <c r="C48" i="15"/>
  <c r="C49" i="15" s="1"/>
  <c r="E48" i="15"/>
  <c r="E49" i="15" s="1"/>
  <c r="L48" i="15"/>
  <c r="L49" i="15" s="1"/>
  <c r="F10" i="2"/>
  <c r="M24" i="15"/>
  <c r="M25" i="15" s="1"/>
  <c r="H24" i="15"/>
  <c r="H25" i="15" s="1"/>
  <c r="D24" i="15"/>
  <c r="D25" i="15" s="1"/>
  <c r="C24" i="15"/>
  <c r="C25" i="15" s="1"/>
  <c r="B24" i="15"/>
  <c r="B25" i="15" s="1"/>
  <c r="I24" i="15"/>
  <c r="I25" i="15" s="1"/>
  <c r="K24" i="15"/>
  <c r="K25" i="15" s="1"/>
  <c r="J24" i="15"/>
  <c r="J25" i="15" s="1"/>
  <c r="E24" i="15"/>
  <c r="E25" i="15" s="1"/>
  <c r="G24" i="15"/>
  <c r="G25" i="15" s="1"/>
  <c r="J139" i="3"/>
  <c r="L24" i="15"/>
  <c r="L25" i="15" s="1"/>
  <c r="D49" i="15"/>
  <c r="E33" i="15"/>
  <c r="B33" i="15"/>
  <c r="K33" i="15"/>
  <c r="G33" i="15"/>
  <c r="L33" i="15"/>
  <c r="M33" i="15"/>
  <c r="H33" i="15"/>
  <c r="J33" i="15"/>
  <c r="C33" i="15"/>
  <c r="I33" i="15"/>
  <c r="D33" i="15"/>
  <c r="F33" i="15"/>
  <c r="F11" i="2"/>
  <c r="E36" i="15"/>
  <c r="I36" i="15"/>
  <c r="M36" i="15"/>
  <c r="B36" i="15"/>
  <c r="F36" i="15"/>
  <c r="C36" i="15"/>
  <c r="G36" i="15"/>
  <c r="G37" i="15" s="1"/>
  <c r="K36" i="15"/>
  <c r="D36" i="15"/>
  <c r="H36" i="15"/>
  <c r="H37" i="15" s="1"/>
  <c r="L36" i="15"/>
  <c r="J36" i="15"/>
  <c r="J205" i="3"/>
  <c r="N21" i="15"/>
  <c r="E12" i="15"/>
  <c r="J12" i="15"/>
  <c r="L12" i="15"/>
  <c r="H272" i="3"/>
  <c r="J75" i="3"/>
  <c r="I12" i="15"/>
  <c r="D12" i="15"/>
  <c r="B12" i="15"/>
  <c r="B13" i="15" s="1"/>
  <c r="F9" i="2"/>
  <c r="G12" i="15"/>
  <c r="M12" i="15"/>
  <c r="K12" i="15"/>
  <c r="H12" i="15"/>
  <c r="F12" i="15"/>
  <c r="C12" i="15"/>
  <c r="F9" i="15"/>
  <c r="J9" i="15"/>
  <c r="E9" i="15"/>
  <c r="G9" i="15"/>
  <c r="K9" i="15"/>
  <c r="H9" i="15"/>
  <c r="H13" i="15" s="1"/>
  <c r="L9" i="15"/>
  <c r="I9" i="15"/>
  <c r="M9" i="15"/>
  <c r="O45" i="2"/>
  <c r="O46" i="2" s="1"/>
  <c r="C11" i="2"/>
  <c r="E11" i="2" s="1"/>
  <c r="Q45" i="2"/>
  <c r="N28" i="2"/>
  <c r="Q24" i="2"/>
  <c r="Q28" i="2" s="1"/>
  <c r="C9" i="2"/>
  <c r="N48" i="15" l="1"/>
  <c r="N49" i="15" s="1"/>
  <c r="N24" i="15"/>
  <c r="N25" i="15" s="1"/>
  <c r="K37" i="15"/>
  <c r="B37" i="15"/>
  <c r="D37" i="15"/>
  <c r="J37" i="15"/>
  <c r="C37" i="15"/>
  <c r="F13" i="2"/>
  <c r="E37" i="15"/>
  <c r="L37" i="15"/>
  <c r="M37" i="15"/>
  <c r="N33" i="15"/>
  <c r="I37" i="15"/>
  <c r="F37" i="15"/>
  <c r="N36" i="15"/>
  <c r="N12" i="15"/>
  <c r="E13" i="15"/>
  <c r="L13" i="15"/>
  <c r="J13" i="15"/>
  <c r="M13" i="15"/>
  <c r="F13" i="15"/>
  <c r="K13" i="15"/>
  <c r="I13" i="15"/>
  <c r="G13" i="15"/>
  <c r="D9" i="15"/>
  <c r="D13" i="15" s="1"/>
  <c r="C9" i="15"/>
  <c r="Q46" i="2"/>
  <c r="C13" i="2"/>
  <c r="B9" i="2"/>
  <c r="N46" i="2"/>
  <c r="N37" i="15" l="1"/>
  <c r="C13" i="15"/>
  <c r="N9" i="15"/>
  <c r="N13" i="15" s="1"/>
  <c r="B13" i="2"/>
  <c r="E9" i="2"/>
  <c r="E13" i="2" l="1"/>
  <c r="J59" i="13" l="1"/>
  <c r="K59" i="13" s="1"/>
  <c r="K62" i="13" l="1"/>
  <c r="R59" i="13"/>
  <c r="R62" i="13" s="1"/>
  <c r="N59" i="13"/>
  <c r="N62" i="13" s="1"/>
  <c r="P59" i="13"/>
  <c r="P62" i="13" s="1"/>
  <c r="AC15" i="13" l="1"/>
  <c r="O62" i="13"/>
  <c r="AB15" i="13" s="1"/>
  <c r="AI15" i="13" s="1"/>
  <c r="AJ15" i="13" s="1"/>
  <c r="AP15" i="13" s="1"/>
  <c r="AE15" i="13"/>
  <c r="Q62" i="13"/>
  <c r="AD15" i="13" s="1"/>
  <c r="AK15" i="13" s="1"/>
  <c r="AL15" i="13" s="1"/>
  <c r="AR15" i="13" s="1"/>
  <c r="AA15" i="13"/>
  <c r="M62" i="13"/>
  <c r="Z15" i="13" s="1"/>
  <c r="AG15" i="13" s="1"/>
  <c r="AH15" i="13" l="1"/>
  <c r="AN15" i="13" s="1"/>
  <c r="G10" i="2"/>
  <c r="G9" i="2"/>
  <c r="G11" i="2"/>
  <c r="G12" i="2"/>
  <c r="H10" i="2" l="1"/>
  <c r="I10" i="2" s="1"/>
  <c r="H12" i="2"/>
  <c r="I12" i="2" s="1"/>
  <c r="H9" i="2"/>
  <c r="G13" i="2"/>
  <c r="L10" i="2" s="1"/>
  <c r="H11" i="2"/>
  <c r="I11" i="2" s="1"/>
  <c r="L11" i="2" l="1"/>
  <c r="L12" i="2"/>
  <c r="L9" i="2"/>
  <c r="H13" i="2"/>
  <c r="I9" i="2"/>
  <c r="I13" i="2" s="1"/>
  <c r="L13" i="2" l="1"/>
  <c r="D49" i="9"/>
  <c r="D43" i="9"/>
  <c r="C50" i="9"/>
  <c r="D44" i="9"/>
  <c r="D45" i="9"/>
  <c r="D48" i="9"/>
  <c r="D46" i="9"/>
  <c r="D47" i="9"/>
  <c r="D50" i="9" l="1"/>
</calcChain>
</file>

<file path=xl/sharedStrings.xml><?xml version="1.0" encoding="utf-8"?>
<sst xmlns="http://schemas.openxmlformats.org/spreadsheetml/2006/main" count="1278" uniqueCount="467">
  <si>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</si>
  <si>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</si>
  <si>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</si>
  <si>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</si>
  <si>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</si>
  <si>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</si>
  <si>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</si>
  <si>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</si>
  <si>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</si>
  <si>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</si>
  <si>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</si>
  <si>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</si>
  <si>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</si>
  <si>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</si>
  <si>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</si>
  <si>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</si>
  <si>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</si>
  <si>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</si>
  <si>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</si>
  <si>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</si>
  <si>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</si>
  <si>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</si>
  <si>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</si>
  <si>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</si>
  <si>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</si>
  <si>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</si>
  <si>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</si>
  <si>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</si>
  <si>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</si>
  <si>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</si>
  <si>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</si>
  <si>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</si>
  <si>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</si>
  <si>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</si>
  <si>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</si>
  <si>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</si>
  <si>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</si>
  <si>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</si>
  <si>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</si>
  <si>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</si>
  <si>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</si>
  <si>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</si>
  <si>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</si>
  <si>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</si>
  <si>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</si>
  <si>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</si>
  <si>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</si>
  <si>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</si>
  <si>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</si>
  <si>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</si>
  <si>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</si>
  <si>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</si>
  <si>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</si>
  <si>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</si>
  <si>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</si>
  <si>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</si>
  <si>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</si>
  <si>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</si>
  <si>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</si>
  <si>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</si>
  <si>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</si>
  <si>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</si>
  <si>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</si>
  <si>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</si>
  <si>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</si>
  <si>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</si>
  <si>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</si>
  <si>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</si>
  <si>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</si>
  <si>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</si>
  <si>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</si>
  <si>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</si>
  <si>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</si>
  <si>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</si>
  <si>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</si>
  <si>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</si>
  <si>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</si>
  <si>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</si>
  <si>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</si>
  <si>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</si>
  <si>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</si>
  <si>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</si>
  <si>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</si>
  <si>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</si>
  <si>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</si>
  <si>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</si>
  <si>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</si>
  <si>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</si>
  <si>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</si>
  <si>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</si>
  <si>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</si>
  <si>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</si>
  <si>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</si>
  <si>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</si>
  <si>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</si>
  <si>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</si>
  <si>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</si>
  <si>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</si>
  <si>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</si>
  <si>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</si>
  <si>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</si>
  <si>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</si>
  <si>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</si>
  <si>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</si>
  <si>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</si>
  <si>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</si>
  <si>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</si>
  <si>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</si>
  <si>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</si>
  <si>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</si>
  <si>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</si>
  <si>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</si>
  <si>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</si>
  <si>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</si>
  <si>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</si>
  <si>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Total Bonos anual</t>
  </si>
  <si>
    <t>Total Aguinaldos anual</t>
  </si>
  <si>
    <t>Unidades de Apoyo Administrativo</t>
  </si>
  <si>
    <t>ADM. CENTRAL</t>
  </si>
  <si>
    <t>Otros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</si>
  <si>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</si>
  <si>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</si>
  <si>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</si>
  <si>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</si>
  <si>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</si>
  <si>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</si>
  <si>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</si>
  <si>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</si>
  <si>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SERVICIO DE SUSCRIPCION</t>
  </si>
  <si>
    <t>EQUIPOS COMPUTACIONALES</t>
  </si>
  <si>
    <t>Total Meta Ocupación</t>
  </si>
  <si>
    <t>Media Jornada</t>
  </si>
  <si>
    <t>Jardines Infantiles</t>
  </si>
  <si>
    <t>Salas Cunas</t>
  </si>
  <si>
    <t>PDI</t>
  </si>
  <si>
    <t>GENDARMERIA</t>
  </si>
  <si>
    <t>ÁREA APOYO A. EDUCACIONAL</t>
  </si>
  <si>
    <t>Nocturna</t>
  </si>
  <si>
    <t>ADMINISTRACIÓN CENTRAL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</si>
  <si>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</si>
  <si>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</si>
  <si>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</si>
  <si>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</si>
  <si>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</si>
  <si>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</si>
  <si>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</si>
  <si>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</si>
  <si>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</si>
  <si>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</si>
  <si>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</si>
  <si>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</si>
  <si>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</si>
  <si>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</si>
  <si>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</si>
  <si>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</si>
  <si>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</si>
  <si>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</si>
  <si>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</si>
  <si>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</si>
  <si>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</si>
  <si>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</si>
  <si>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</si>
  <si>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</si>
  <si>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</si>
  <si>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</si>
  <si>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</si>
  <si>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</si>
  <si>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</si>
  <si>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</si>
  <si>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</si>
  <si>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</si>
  <si>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</si>
  <si>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</si>
  <si>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</si>
  <si>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</si>
  <si>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</si>
  <si>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</si>
  <si>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</si>
  <si>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</si>
  <si>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</si>
  <si>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</si>
  <si>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</si>
  <si>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</si>
  <si>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</si>
  <si>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</si>
  <si>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</si>
  <si>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</si>
  <si>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</si>
  <si>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</si>
  <si>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</si>
  <si>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</si>
  <si>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</si>
  <si>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TOTAL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</si>
  <si>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</si>
  <si>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</si>
  <si>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</si>
  <si>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</si>
  <si>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</si>
  <si>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</si>
  <si>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</si>
  <si>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</si>
  <si>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</si>
  <si>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</si>
  <si>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</si>
  <si>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</si>
  <si>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</si>
  <si>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</si>
  <si>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Jardín Infantil Tortuguita Marina</t>
  </si>
  <si>
    <t xml:space="preserve">Doble Jornada </t>
  </si>
  <si>
    <t>Sala Cuna Burbujitas de Mar</t>
  </si>
  <si>
    <t>Jornada Completa Diurna</t>
  </si>
  <si>
    <t>Sala Cuna Burbujitas de Mar Diurna</t>
  </si>
  <si>
    <t>Sala Cuna Burbujitas de Mar Nocturna</t>
  </si>
  <si>
    <t xml:space="preserve">C) ESTIMACION DE COSTOS DIRECTOS </t>
  </si>
  <si>
    <t>Jardín Infantil Burbujitas de Mar</t>
  </si>
  <si>
    <t>Jornada  Completa</t>
  </si>
  <si>
    <t>Gasto Total empresa</t>
  </si>
  <si>
    <t>SCN (20%)</t>
  </si>
  <si>
    <t>PRODUCTOS QUIMICOS (EXTINTOR)</t>
  </si>
  <si>
    <t>PROD.QUIMIC,FARMACEUTICOS IND. (BOTIQUIN)</t>
  </si>
  <si>
    <t>OTROS MANTEN. Y REP.MENORES</t>
  </si>
  <si>
    <t>CUOTA DE PADRES</t>
  </si>
  <si>
    <t xml:space="preserve"> </t>
  </si>
  <si>
    <t xml:space="preserve"> COSTOS DIRECTOS COMUNES  "BURBUJITAS DE MAR"</t>
  </si>
  <si>
    <t>AFL</t>
  </si>
  <si>
    <t>PAF</t>
  </si>
  <si>
    <t>JI
 (20%)</t>
  </si>
  <si>
    <t>SCD 
(60%)</t>
  </si>
  <si>
    <t>Mensualidad 2022</t>
  </si>
  <si>
    <t>COSTO INDIRECTO ESTIMADO 2022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</si>
  <si>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</si>
  <si>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</si>
  <si>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</si>
  <si>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</si>
  <si>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</si>
  <si>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</si>
  <si>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</si>
  <si>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</si>
  <si>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</si>
  <si>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</si>
  <si>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</si>
  <si>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</si>
  <si>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DE OPERACION</t>
  </si>
  <si>
    <t>REMUNERACIONES COD.DEL TRABAJO</t>
  </si>
  <si>
    <t>COSTOS  DE OPERACION</t>
  </si>
  <si>
    <t>BONOS CÓDIGO DEL TRABAJO</t>
  </si>
  <si>
    <t>I) Proyección mensual</t>
  </si>
  <si>
    <t>TABLA N°15: PROYECCIÓN MENSUAL</t>
  </si>
  <si>
    <t>MATRICULA</t>
  </si>
  <si>
    <t>PERSONAL</t>
  </si>
  <si>
    <t>ACUMULADO A DICIEMBRE</t>
  </si>
  <si>
    <t>RESULTADO OPERACIONAL</t>
  </si>
  <si>
    <t>Gasto Total empresa
2022</t>
  </si>
  <si>
    <t>Jardín Infantil Burbujita de Mar</t>
  </si>
  <si>
    <t>Sala Cuna Burbujita de Mar</t>
  </si>
  <si>
    <t>BIENTALC</t>
  </si>
  <si>
    <t>Sala Cuna Brurbujita de Mar Diurna</t>
  </si>
  <si>
    <t>Sala Cuna Brurbujita de Mar Nocturna</t>
  </si>
  <si>
    <t xml:space="preserve">Ed. De Párvulos </t>
  </si>
  <si>
    <t>Técnicos en Párvulos</t>
  </si>
  <si>
    <t>Aux.  De Aseo</t>
  </si>
  <si>
    <t>Técnicos de Párvulos</t>
  </si>
  <si>
    <t>Manip. De Alimentos</t>
  </si>
  <si>
    <t>Matrícula 2023</t>
  </si>
  <si>
    <t>Mensualidad 2023</t>
  </si>
  <si>
    <t>Tarifa 2023</t>
  </si>
  <si>
    <t>Propuesta Mensualidad 2023</t>
  </si>
  <si>
    <t>Meta Ocupación niños 2023</t>
  </si>
  <si>
    <t>REMUNERACIONES 2022</t>
  </si>
  <si>
    <t>Costo Total anual por Servidor 2022</t>
  </si>
  <si>
    <t>Costo Total por Servidor Reajustado 2023</t>
  </si>
  <si>
    <t>Gasto Total empresa
2023</t>
  </si>
  <si>
    <t>COSTO DIRECTO ESTIMADO 2023</t>
  </si>
  <si>
    <t>SUPLENCIAS Y REEMPLAZOS (EC o PAC)</t>
  </si>
  <si>
    <t>Costo Total Remuneraciones 2023 por Centro de Beneficio</t>
  </si>
  <si>
    <t>Erices Solar Juana Del Carmen</t>
  </si>
  <si>
    <t xml:space="preserve">Cartez Medina </t>
  </si>
  <si>
    <t>Tracy Scarlett</t>
  </si>
  <si>
    <t>Pamela Antonia</t>
  </si>
  <si>
    <t xml:space="preserve">Villa Vargas </t>
  </si>
  <si>
    <t>Valeria Andrea</t>
  </si>
  <si>
    <t xml:space="preserve">Plaza Guzmán </t>
  </si>
  <si>
    <t>Alessandra</t>
  </si>
  <si>
    <t xml:space="preserve">Buceta Medina </t>
  </si>
  <si>
    <t xml:space="preserve"> Juana Del Carmen</t>
  </si>
  <si>
    <t xml:space="preserve">González Núñez </t>
  </si>
  <si>
    <t xml:space="preserve"> Catalina</t>
  </si>
  <si>
    <t xml:space="preserve">Mendoza Aravena </t>
  </si>
  <si>
    <t>María Luisa</t>
  </si>
  <si>
    <t>Acuña Parra</t>
  </si>
  <si>
    <t>Fernanda</t>
  </si>
  <si>
    <t xml:space="preserve">González Andrade </t>
  </si>
  <si>
    <t xml:space="preserve"> Lesly del Carmen</t>
  </si>
  <si>
    <t xml:space="preserve"> Natalia</t>
  </si>
  <si>
    <t xml:space="preserve">Romero Aguilar </t>
  </si>
  <si>
    <t>María Jesús</t>
  </si>
  <si>
    <t xml:space="preserve">Nuñez Riquelme </t>
  </si>
  <si>
    <t>Nadia Ana</t>
  </si>
  <si>
    <t xml:space="preserve">Muñoz Mora </t>
  </si>
  <si>
    <t xml:space="preserve"> Sandra Lilibeth</t>
  </si>
  <si>
    <t xml:space="preserve"> Yarlin Ivonne</t>
  </si>
  <si>
    <t xml:space="preserve">Maturana Rojas </t>
  </si>
  <si>
    <t xml:space="preserve">Díaz Figueroa </t>
  </si>
  <si>
    <t>Margarita Del Carmen</t>
  </si>
  <si>
    <t xml:space="preserve"> Margarita Edith</t>
  </si>
  <si>
    <t xml:space="preserve">Escobar Castro </t>
  </si>
  <si>
    <t xml:space="preserve">Arias Utreras </t>
  </si>
  <si>
    <t>Marianela Isabel</t>
  </si>
  <si>
    <t xml:space="preserve">Hidalgo Nocetti </t>
  </si>
  <si>
    <t>Leidy Adriana</t>
  </si>
  <si>
    <t xml:space="preserve">Monares Manzo </t>
  </si>
  <si>
    <t>Valentina</t>
  </si>
  <si>
    <t xml:space="preserve">Ramirez Lopez </t>
  </si>
  <si>
    <t>Liliana Ivette</t>
  </si>
  <si>
    <t xml:space="preserve"> Francisca Alejandra</t>
  </si>
  <si>
    <t>Véliz Gutiérrez</t>
  </si>
  <si>
    <t>Cecilia</t>
  </si>
  <si>
    <t>Navarrete</t>
  </si>
  <si>
    <t xml:space="preserve">Pedreros Sancho </t>
  </si>
  <si>
    <t>XXXXXXXXXXXXX</t>
  </si>
  <si>
    <t>Garcia Sanchez</t>
  </si>
  <si>
    <t xml:space="preserve">Ninoska </t>
  </si>
  <si>
    <t>Rocha Ruiz</t>
  </si>
  <si>
    <t>Chamorro Sierra</t>
  </si>
  <si>
    <t>Yesenia</t>
  </si>
  <si>
    <t xml:space="preserve">Maria </t>
  </si>
  <si>
    <t>Jiménez Sanhueza</t>
  </si>
  <si>
    <t xml:space="preserve">francisca </t>
  </si>
  <si>
    <t>martinez flores</t>
  </si>
  <si>
    <t>Elsa Graciela</t>
  </si>
  <si>
    <t>Contanzo Montecinos</t>
  </si>
  <si>
    <t>Encargada de Presupuesto</t>
  </si>
  <si>
    <t xml:space="preserve">Amelia </t>
  </si>
  <si>
    <t>Garcia Arredondo</t>
  </si>
  <si>
    <t>Encargada de Tesorería</t>
  </si>
  <si>
    <t xml:space="preserve">Erika </t>
  </si>
  <si>
    <t>Groth  Vega</t>
  </si>
  <si>
    <t>Supervisora Contable</t>
  </si>
  <si>
    <t>Maritza</t>
  </si>
  <si>
    <t>Mellado Medina</t>
  </si>
  <si>
    <t>Operadora sistema Activo</t>
  </si>
  <si>
    <t xml:space="preserve">Roxana </t>
  </si>
  <si>
    <t>Muñoz Cruces</t>
  </si>
  <si>
    <t>Administrativo</t>
  </si>
  <si>
    <t>Roxana</t>
  </si>
  <si>
    <t>Correa Villa</t>
  </si>
  <si>
    <t>Encargada de consumos basicos</t>
  </si>
  <si>
    <t xml:space="preserve">Franco </t>
  </si>
  <si>
    <t>Hinojosa Canales</t>
  </si>
  <si>
    <t xml:space="preserve">Luis </t>
  </si>
  <si>
    <t>Garrido Miranda</t>
  </si>
  <si>
    <t xml:space="preserve">Lilian </t>
  </si>
  <si>
    <t>Garcia Ponce</t>
  </si>
  <si>
    <t>Encargado RR.HH.</t>
  </si>
  <si>
    <t>Barra Gonzalez</t>
  </si>
  <si>
    <t>Solange Alejandra</t>
  </si>
  <si>
    <t>Ramon</t>
  </si>
  <si>
    <t>Delgado Ramirez</t>
  </si>
  <si>
    <t>Prevencionista de Riesgo</t>
  </si>
  <si>
    <t xml:space="preserve">Silvana </t>
  </si>
  <si>
    <t>Mena Meriño</t>
  </si>
  <si>
    <t xml:space="preserve">Antonio </t>
  </si>
  <si>
    <t>Toledo Araneda</t>
  </si>
  <si>
    <t>Eliana</t>
  </si>
  <si>
    <t>Velazquez  Marin</t>
  </si>
  <si>
    <t xml:space="preserve">Cristian </t>
  </si>
  <si>
    <t xml:space="preserve">Villegas Ulloa </t>
  </si>
  <si>
    <t>Hector</t>
  </si>
  <si>
    <t>Valencia Coronado</t>
  </si>
  <si>
    <t>Encargado Contratos Adq.</t>
  </si>
  <si>
    <t xml:space="preserve">Jorge </t>
  </si>
  <si>
    <t>Ramirez Sepulveda</t>
  </si>
  <si>
    <t>Encargado mantención informática</t>
  </si>
  <si>
    <t>Javier</t>
  </si>
  <si>
    <t>Niño Rubilar</t>
  </si>
  <si>
    <t>Encargado Infraestructura</t>
  </si>
  <si>
    <t xml:space="preserve">Carlos </t>
  </si>
  <si>
    <t>Rojas Solar</t>
  </si>
  <si>
    <t>Planes y Gestión</t>
  </si>
  <si>
    <t xml:space="preserve">Silvya </t>
  </si>
  <si>
    <t>Soto Villegas</t>
  </si>
  <si>
    <t>Auditoría Interna</t>
  </si>
  <si>
    <t xml:space="preserve">Jaime </t>
  </si>
  <si>
    <t>Ramos Morales</t>
  </si>
  <si>
    <t>Jaenette</t>
  </si>
  <si>
    <t>Retamal Mendoza</t>
  </si>
  <si>
    <t>ASISTENCIA JUR.</t>
  </si>
  <si>
    <t>NR</t>
  </si>
  <si>
    <t>Dias Mes</t>
  </si>
  <si>
    <t>Total C/U</t>
  </si>
  <si>
    <t>DESC.</t>
  </si>
  <si>
    <t>TOTAL  COSTO</t>
  </si>
  <si>
    <t>Total E.P.</t>
  </si>
  <si>
    <t>Total Mes</t>
  </si>
  <si>
    <t>SUB Total  Anual</t>
  </si>
  <si>
    <t>DIST. ADM.</t>
  </si>
  <si>
    <t>RACIONES</t>
  </si>
  <si>
    <t>Sala Cuna Dia</t>
  </si>
  <si>
    <t>20</t>
  </si>
  <si>
    <t>Sala Cuna Nocturna</t>
  </si>
  <si>
    <t>15</t>
  </si>
  <si>
    <t>2) Calculo raconamiento Párvulo 2021</t>
  </si>
  <si>
    <t>COMPORTAMIENTO</t>
  </si>
  <si>
    <t>Raciones Salla cuna Dia</t>
  </si>
  <si>
    <t>Raciones Salla cuna Noche</t>
  </si>
  <si>
    <t>ANUAL</t>
  </si>
  <si>
    <t>Anual</t>
  </si>
  <si>
    <t xml:space="preserve">TOTAL RACIONES </t>
  </si>
  <si>
    <t>COSTO UNITARIO</t>
  </si>
  <si>
    <t>Raciones Sala cuna Noche</t>
  </si>
  <si>
    <t>3) Consumos Basicos</t>
  </si>
  <si>
    <t>SALA</t>
  </si>
  <si>
    <t>CUNA</t>
  </si>
  <si>
    <t>KW</t>
  </si>
  <si>
    <t>VALOR</t>
  </si>
  <si>
    <t xml:space="preserve">CUNA </t>
  </si>
  <si>
    <t>M3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</si>
  <si>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</si>
  <si>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</si>
  <si>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</si>
  <si>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</si>
  <si>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</si>
  <si>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</si>
  <si>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</si>
  <si>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</si>
  <si>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</si>
  <si>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</si>
  <si>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</si>
  <si>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</si>
  <si>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</si>
  <si>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ta</t>
  </si>
  <si>
    <t>tb</t>
  </si>
  <si>
    <t>total</t>
  </si>
  <si>
    <t xml:space="preserve">La tarifa considera situación actual referente a personal de Educadoras de Párvulos que pertenecen  a la Institución, personal de planta Empleadas </t>
  </si>
  <si>
    <t xml:space="preserve">Civiles, de haber cambios por proceso de trasbordo, con la disminución de este tipo de personal para este Departamento, implicaría mayores gastos </t>
  </si>
  <si>
    <t>por concepto de remuneraciones en centro de costo afectado.</t>
  </si>
  <si>
    <t>1) Calculo gasto Alimentacion del personal 2023</t>
  </si>
  <si>
    <t>Jardin Burbujitas</t>
  </si>
  <si>
    <t>COMP. ENERO - JULIO</t>
  </si>
  <si>
    <t>PROY. AGO - DIC</t>
  </si>
  <si>
    <t>TOTAL GASTO 2022</t>
  </si>
  <si>
    <t>Prom. Ocupación  2022 (45)</t>
  </si>
  <si>
    <t>Prom. Ocupación  2022 (20)</t>
  </si>
  <si>
    <t>Proy. Ocupación  2020 (45)</t>
  </si>
  <si>
    <t>Proy. Ocupaciób  2020 (28)</t>
  </si>
  <si>
    <t>REAL 2019</t>
  </si>
  <si>
    <t>REAL  2020</t>
  </si>
  <si>
    <t>REAL 2021</t>
  </si>
  <si>
    <t>PROYECCION 2023</t>
  </si>
  <si>
    <t>2022</t>
  </si>
  <si>
    <t>4) Se considera servicio de fumigación para ambas instalaciones de  frecuencia mensual y proyectada de acuerdo valor que se cancela actualmente, contrato de servicio es anual y es licitadoa a travéss de Mercado Público.</t>
  </si>
  <si>
    <t>5) Notas Generales</t>
  </si>
  <si>
    <t>DEPENDENCIAS SALA CUNA</t>
  </si>
  <si>
    <t>JI The Baby School (Thno.)</t>
  </si>
  <si>
    <t>JI Mis Travesuras (Thno.)</t>
  </si>
  <si>
    <t>Sala Cuna Mis Travesuras</t>
  </si>
  <si>
    <t>nn</t>
  </si>
  <si>
    <t>modificado según cantidad de personal y solo por 11 meses al año</t>
  </si>
  <si>
    <t>NN</t>
  </si>
  <si>
    <t>Raul</t>
  </si>
  <si>
    <t>Asencio Peña</t>
  </si>
  <si>
    <t>Encargado Área Hospedaje y Rec</t>
  </si>
  <si>
    <t>APOYO ADM.</t>
  </si>
  <si>
    <t xml:space="preserve">Rosa </t>
  </si>
  <si>
    <t>Jara Fuentes</t>
  </si>
  <si>
    <t>Secretaria Administrativa</t>
  </si>
  <si>
    <t>Asistencia Rceracional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</si>
</sst>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2" formatCode="_ &quot;$&quot;* #,##0_ ;_ &quot;$&quot;* \-#,##0_ ;_ &quot;$&quot;* &quot;-&quot;_ ;_ @_ "/>
    <numFmt numFmtId="41" formatCode="_ * #,##0_ ;_ * \-#,##0_ ;_ * &quot;-&quot;_ ;_ @_ "/>
    <numFmt numFmtId="164" formatCode="_-&quot;$&quot;\ * #,##0_-;\-&quot;$&quot;\ * #,##0_-;_-&quot;$&quot;\ * &quot;-&quot;_-;_-@_-"/>
    <numFmt numFmtId="165" formatCode="_-* #,##0.00_-;\-* #,##0.00_-;_-* &quot;-&quot;??_-;_-@_-"/>
    <numFmt numFmtId="166" formatCode="_-\$* #,##0.00_-;&quot;-$&quot;* #,##0.00_-;_-\$* \-??_-;_-@_-"/>
    <numFmt numFmtId="167" formatCode="\$#,##0_);&quot;($&quot;#,##0\)"/>
    <numFmt numFmtId="168" formatCode="_-&quot;$ &quot;* #,##0_-;&quot;-$ &quot;* #,##0_-;_-&quot;$ &quot;* \-_-;_-@_-"/>
    <numFmt numFmtId="169" formatCode="0\ %"/>
    <numFmt numFmtId="170" formatCode="0.0%"/>
    <numFmt numFmtId="171" formatCode="#,##0_ ;[Red]\-#,##0\ "/>
    <numFmt numFmtId="172" formatCode="_-* #,##0.00_-;\-* #,##0.00_-;_-* \-??_-;_-@_-"/>
    <numFmt numFmtId="173" formatCode="_-\ * #,##0_-;&quot;$ &quot;* #,##0_-;_-\ * \-_-;_-@_-"/>
    <numFmt numFmtId="174" formatCode="_-* #,##0.0_-;\-* #,##0.0_-;_-* \-??_-;_-@_-"/>
    <numFmt numFmtId="175" formatCode="_(* #,##0_);_(* \(#,##0\);_(* \-_);_(@_)"/>
    <numFmt numFmtId="176" formatCode="_-* #,##0_-;\-* #,##0_-;_-* \-??_-;_-@_-"/>
    <numFmt numFmtId="177" formatCode="&quot;$&quot;\ #,##0"/>
    <numFmt numFmtId="178" formatCode="_-&quot;$&quot;* #,##0_-;\-&quot;$&quot;* #,##0_-;_-&quot;$&quot;* &quot;-&quot;??_-;_-@_-"/>
    <numFmt numFmtId="179" formatCode="#,##0_ ;\-#,##0\ "/>
    <numFmt numFmtId="180" formatCode="0.00\ %"/>
    <numFmt numFmtId="181" formatCode="_-\$* #,##0_-;&quot;-$&quot;* #,##0_-;_-\$* \-??_-;_-@_-"/>
    <numFmt numFmtId="182" formatCode="_-[$$-340A]\ * #,##0_-;\-[$$-340A]\ * #,##0_-;_-[$$-340A]\ * &quot;-&quot;??_-;_-@_-"/>
    <numFmt numFmtId="183" formatCode="_-* #,##0.00\ &quot;€&quot;_-;\-* #,##0.00\ &quot;€&quot;_-;_-* &quot;-&quot;??\ &quot;€&quot;_-;_-@_-"/>
    <numFmt numFmtId="184" formatCode="_-[$€]* #,##0.00_-;\-[$€]* #,##0.00_-;_-[$€]* &quot;-&quot;??_-;_-@_-"/>
    <numFmt numFmtId="185" formatCode="_-[$€-2]\ * #,##0.00_-;\-[$€-2]\ * #,##0.00_-;_-[$€-2]\ * &quot;-&quot;??_-"/>
    <numFmt numFmtId="186" formatCode="_-&quot;$&quot;\ * #,##0_-;\-&quot;$&quot;\ * #,##0_-;_-&quot;$&quot;\ * &quot;-&quot;??_-;_-@_-"/>
    <numFmt numFmtId="187" formatCode="_-* #,##0_-;\-* #,##0_-;_-* &quot;-&quot;??_-;_-@_-"/>
  </numFmts>
  <fonts count="4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Arial Narrow"/>
      <family val="2"/>
    </font>
    <font>
      <sz val="11"/>
      <color indexed="8"/>
      <name val="Calibri"/>
      <family val="2"/>
    </font>
    <font>
      <sz val="10"/>
      <name val="Verdana"/>
      <family val="2"/>
    </font>
    <font>
      <b/>
      <sz val="10"/>
      <color theme="1"/>
      <name val="Arial Narrow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name val="Arial Narrow"/>
      <family val="2"/>
    </font>
    <font>
      <b/>
      <sz val="10"/>
      <color rgb="FFFF0000"/>
      <name val="Arial Narrow"/>
      <family val="2"/>
    </font>
    <font>
      <b/>
      <sz val="10"/>
      <name val="Arial Narrow"/>
      <family val="2"/>
    </font>
    <font>
      <sz val="10"/>
      <color rgb="FFFF0000"/>
      <name val="Arial Narrow"/>
      <family val="2"/>
    </font>
    <font>
      <sz val="10"/>
      <color rgb="FFFF0909"/>
      <name val="Arial"/>
      <family val="2"/>
    </font>
    <font>
      <sz val="8"/>
      <color rgb="FFFF0909"/>
      <name val="Arial"/>
      <family val="2"/>
    </font>
    <font>
      <b/>
      <sz val="10"/>
      <color rgb="FFFF0909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gray125">
        <bgColor theme="0"/>
      </patternFill>
    </fill>
    <fill>
      <patternFill patternType="solid">
        <fgColor theme="4" tint="0.59999389629810485"/>
        <bgColor indexed="64"/>
      </patternFill>
    </fill>
    <fill>
      <patternFill patternType="gray125">
        <fgColor indexed="24"/>
        <bgColor theme="4" tint="0.5999938962981048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gray125">
        <bgColor theme="4" tint="0.59999389629810485"/>
      </patternFill>
    </fill>
    <fill>
      <patternFill patternType="gray125">
        <bgColor theme="0" tint="-0.14996795556505021"/>
      </patternFill>
    </fill>
    <fill>
      <patternFill patternType="solid">
        <fgColor theme="5" tint="0.39994506668294322"/>
        <bgColor auto="1"/>
      </patternFill>
    </fill>
    <fill>
      <patternFill patternType="gray125">
        <bgColor theme="5" tint="0.79992065187536243"/>
      </patternFill>
    </fill>
    <fill>
      <patternFill patternType="gray125">
        <bgColor theme="5" tint="0.39994506668294322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auto="1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auto="1"/>
      </patternFill>
    </fill>
    <fill>
      <patternFill patternType="gray125">
        <bgColor rgb="FFFFFF00"/>
      </patternFill>
    </fill>
    <fill>
      <patternFill patternType="gray125">
        <bgColor theme="3" tint="0.79995117038483843"/>
      </patternFill>
    </fill>
    <fill>
      <patternFill patternType="gray125">
        <fgColor auto="1"/>
        <bgColor theme="5" tint="0.399975585192419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66"/>
        <bgColor indexed="64"/>
      </patternFill>
    </fill>
  </fills>
  <borders count="29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/>
      <top style="thin">
        <color auto="1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7">
    <xf numFmtId="0" fontId="0" fillId="0" borderId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2" fontId="14" fillId="0" borderId="0"/>
    <xf numFmtId="166" fontId="14" fillId="0" borderId="0"/>
    <xf numFmtId="0" fontId="8" fillId="8" borderId="0" applyNumberFormat="0" applyBorder="0" applyAlignment="0" applyProtection="0"/>
    <xf numFmtId="0" fontId="5" fillId="8" borderId="1" applyNumberFormat="0" applyAlignment="0" applyProtection="0"/>
    <xf numFmtId="169" fontId="1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4" fontId="32" fillId="0" borderId="0" applyFont="0" applyFill="0" applyBorder="0" applyAlignment="0" applyProtection="0"/>
    <xf numFmtId="185" fontId="33" fillId="0" borderId="0" applyFont="0" applyFill="0" applyBorder="0" applyAlignment="0" applyProtection="0"/>
    <xf numFmtId="185" fontId="33" fillId="0" borderId="0" applyFont="0" applyFill="0" applyBorder="0" applyAlignment="0" applyProtection="0"/>
    <xf numFmtId="172" fontId="14" fillId="0" borderId="0" applyFill="0" applyBorder="0" applyAlignment="0" applyProtection="0"/>
    <xf numFmtId="166" fontId="14" fillId="0" borderId="0" applyFill="0" applyBorder="0" applyAlignment="0" applyProtection="0"/>
    <xf numFmtId="18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ill="0" applyBorder="0" applyAlignment="0" applyProtection="0"/>
    <xf numFmtId="41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4" fillId="0" borderId="0"/>
  </cellStyleXfs>
  <cellXfs count="1179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69" fontId="0" fillId="0" borderId="0" xfId="16" applyFont="1" applyProtection="1"/>
    <xf numFmtId="0" fontId="0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3" fillId="15" borderId="5" xfId="0" applyFont="1" applyFill="1" applyBorder="1" applyAlignment="1" applyProtection="1">
      <alignment horizontal="center" vertical="center" wrapText="1"/>
    </xf>
    <xf numFmtId="0" fontId="13" fillId="15" borderId="3" xfId="0" applyFont="1" applyFill="1" applyBorder="1" applyAlignment="1" applyProtection="1">
      <alignment horizontal="center" vertical="center" wrapText="1"/>
    </xf>
    <xf numFmtId="0" fontId="13" fillId="15" borderId="5" xfId="0" applyFont="1" applyFill="1" applyBorder="1" applyAlignment="1" applyProtection="1">
      <alignment horizontal="center" vertical="center"/>
    </xf>
    <xf numFmtId="0" fontId="13" fillId="9" borderId="0" xfId="0" applyFont="1" applyFill="1" applyBorder="1" applyAlignment="1" applyProtection="1">
      <alignment horizontal="left" vertical="center"/>
    </xf>
    <xf numFmtId="168" fontId="13" fillId="9" borderId="0" xfId="13" applyNumberFormat="1" applyFont="1" applyFill="1" applyBorder="1" applyAlignment="1" applyProtection="1">
      <alignment vertical="center"/>
    </xf>
    <xf numFmtId="166" fontId="13" fillId="0" borderId="0" xfId="13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171" fontId="13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8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166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9" fontId="16" fillId="0" borderId="0" xfId="16" applyFont="1" applyBorder="1" applyAlignment="1" applyProtection="1">
      <alignment vertical="center"/>
    </xf>
    <xf numFmtId="174" fontId="0" fillId="0" borderId="0" xfId="12" applyNumberFormat="1" applyFont="1" applyFill="1" applyBorder="1" applyAlignment="1" applyProtection="1">
      <alignment vertical="center"/>
    </xf>
    <xf numFmtId="169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7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177" fontId="0" fillId="0" borderId="0" xfId="0" applyNumberFormat="1" applyFont="1" applyFill="1" applyBorder="1" applyAlignment="1" applyProtection="1">
      <alignment horizontal="right" vertical="center"/>
    </xf>
    <xf numFmtId="177" fontId="13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7" fontId="0" fillId="0" borderId="0" xfId="0" applyNumberFormat="1" applyFont="1" applyFill="1" applyBorder="1" applyProtection="1"/>
    <xf numFmtId="177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3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3" fillId="0" borderId="0" xfId="0" applyFont="1" applyBorder="1" applyProtection="1"/>
    <xf numFmtId="0" fontId="18" fillId="24" borderId="9" xfId="0" applyFont="1" applyFill="1" applyBorder="1" applyAlignment="1" applyProtection="1">
      <alignment horizontal="center" vertical="center" wrapText="1"/>
    </xf>
    <xf numFmtId="0" fontId="18" fillId="24" borderId="6" xfId="0" applyFont="1" applyFill="1" applyBorder="1" applyAlignment="1" applyProtection="1">
      <alignment horizontal="center" vertical="center" wrapText="1"/>
    </xf>
    <xf numFmtId="0" fontId="18" fillId="24" borderId="3" xfId="0" applyFont="1" applyFill="1" applyBorder="1" applyAlignment="1" applyProtection="1">
      <alignment horizontal="center" vertical="center" wrapText="1"/>
    </xf>
    <xf numFmtId="168" fontId="0" fillId="19" borderId="10" xfId="13" applyNumberFormat="1" applyFont="1" applyFill="1" applyBorder="1" applyAlignment="1" applyProtection="1">
      <alignment vertical="center"/>
    </xf>
    <xf numFmtId="168" fontId="0" fillId="19" borderId="6" xfId="13" applyNumberFormat="1" applyFont="1" applyFill="1" applyBorder="1" applyAlignment="1" applyProtection="1">
      <alignment vertical="center"/>
    </xf>
    <xf numFmtId="168" fontId="0" fillId="19" borderId="16" xfId="13" applyNumberFormat="1" applyFont="1" applyFill="1" applyBorder="1" applyAlignment="1" applyProtection="1">
      <alignment vertical="center"/>
    </xf>
    <xf numFmtId="168" fontId="13" fillId="19" borderId="3" xfId="13" applyNumberFormat="1" applyFont="1" applyFill="1" applyBorder="1" applyAlignment="1" applyProtection="1">
      <alignment vertical="center"/>
    </xf>
    <xf numFmtId="0" fontId="13" fillId="0" borderId="7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169" fontId="13" fillId="0" borderId="0" xfId="16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3" fillId="0" borderId="0" xfId="0" applyFont="1" applyFill="1" applyBorder="1" applyAlignment="1" applyProtection="1">
      <alignment horizontal="center"/>
    </xf>
    <xf numFmtId="177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horizontal="left" vertical="center"/>
    </xf>
    <xf numFmtId="168" fontId="18" fillId="35" borderId="13" xfId="0" applyNumberFormat="1" applyFont="1" applyFill="1" applyBorder="1" applyAlignment="1" applyProtection="1">
      <alignment horizontal="center" vertical="center" wrapText="1"/>
    </xf>
    <xf numFmtId="168" fontId="18" fillId="35" borderId="4" xfId="0" applyNumberFormat="1" applyFont="1" applyFill="1" applyBorder="1" applyAlignment="1" applyProtection="1">
      <alignment horizontal="center" vertical="center" wrapText="1"/>
    </xf>
    <xf numFmtId="168" fontId="18" fillId="35" borderId="24" xfId="0" applyNumberFormat="1" applyFont="1" applyFill="1" applyBorder="1" applyAlignment="1" applyProtection="1">
      <alignment horizontal="center" vertical="center" wrapText="1"/>
    </xf>
    <xf numFmtId="0" fontId="18" fillId="35" borderId="5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3" fillId="16" borderId="26" xfId="0" applyFont="1" applyFill="1" applyBorder="1" applyAlignment="1" applyProtection="1">
      <alignment horizontal="center" vertical="center" wrapText="1"/>
    </xf>
    <xf numFmtId="168" fontId="0" fillId="28" borderId="13" xfId="13" applyNumberFormat="1" applyFont="1" applyFill="1" applyBorder="1" applyAlignment="1" applyProtection="1">
      <alignment vertical="center"/>
    </xf>
    <xf numFmtId="168" fontId="0" fillId="28" borderId="3" xfId="13" applyNumberFormat="1" applyFont="1" applyFill="1" applyBorder="1" applyAlignment="1" applyProtection="1">
      <alignment vertical="center"/>
    </xf>
    <xf numFmtId="168" fontId="13" fillId="28" borderId="23" xfId="13" applyNumberFormat="1" applyFont="1" applyFill="1" applyBorder="1" applyAlignment="1" applyProtection="1">
      <alignment vertical="center"/>
    </xf>
    <xf numFmtId="0" fontId="23" fillId="0" borderId="41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77" fontId="13" fillId="25" borderId="26" xfId="0" applyNumberFormat="1" applyFont="1" applyFill="1" applyBorder="1" applyAlignment="1" applyProtection="1">
      <alignment horizontal="center" vertical="center"/>
    </xf>
    <xf numFmtId="170" fontId="13" fillId="19" borderId="26" xfId="16" applyNumberFormat="1" applyFont="1" applyFill="1" applyBorder="1" applyAlignment="1" applyProtection="1">
      <alignment horizontal="center" vertical="center"/>
    </xf>
    <xf numFmtId="177" fontId="0" fillId="25" borderId="26" xfId="0" applyNumberFormat="1" applyFont="1" applyFill="1" applyBorder="1" applyAlignment="1" applyProtection="1">
      <alignment horizontal="center" vertical="center"/>
    </xf>
    <xf numFmtId="168" fontId="0" fillId="28" borderId="45" xfId="13" applyNumberFormat="1" applyFont="1" applyFill="1" applyBorder="1" applyAlignment="1" applyProtection="1">
      <alignment vertical="center"/>
    </xf>
    <xf numFmtId="168" fontId="13" fillId="0" borderId="3" xfId="13" applyNumberFormat="1" applyFont="1" applyFill="1" applyBorder="1" applyAlignment="1" applyProtection="1">
      <alignment vertical="center"/>
    </xf>
    <xf numFmtId="168" fontId="0" fillId="28" borderId="46" xfId="13" applyNumberFormat="1" applyFont="1" applyFill="1" applyBorder="1" applyAlignment="1" applyProtection="1">
      <alignment vertical="center"/>
    </xf>
    <xf numFmtId="169" fontId="15" fillId="19" borderId="8" xfId="16" applyFont="1" applyFill="1" applyBorder="1" applyAlignment="1" applyProtection="1">
      <alignment horizontal="center" vertical="center"/>
    </xf>
    <xf numFmtId="168" fontId="22" fillId="15" borderId="11" xfId="13" applyNumberFormat="1" applyFont="1" applyFill="1" applyBorder="1" applyAlignment="1" applyProtection="1">
      <alignment vertical="center"/>
    </xf>
    <xf numFmtId="168" fontId="22" fillId="15" borderId="30" xfId="13" applyNumberFormat="1" applyFont="1" applyFill="1" applyBorder="1" applyAlignment="1" applyProtection="1">
      <alignment vertical="center"/>
    </xf>
    <xf numFmtId="0" fontId="13" fillId="42" borderId="0" xfId="0" applyFont="1" applyFill="1" applyBorder="1" applyAlignment="1" applyProtection="1">
      <alignment horizontal="center" vertical="center"/>
    </xf>
    <xf numFmtId="0" fontId="0" fillId="42" borderId="0" xfId="0" applyFill="1" applyProtection="1"/>
    <xf numFmtId="0" fontId="0" fillId="42" borderId="0" xfId="0" applyFill="1" applyAlignment="1" applyProtection="1">
      <alignment horizontal="center" vertical="center"/>
    </xf>
    <xf numFmtId="178" fontId="0" fillId="0" borderId="0" xfId="13" applyNumberFormat="1" applyFont="1" applyFill="1" applyBorder="1" applyAlignment="1" applyProtection="1">
      <alignment vertical="center"/>
    </xf>
    <xf numFmtId="178" fontId="0" fillId="0" borderId="0" xfId="13" applyNumberFormat="1" applyFont="1" applyFill="1" applyBorder="1" applyProtection="1"/>
    <xf numFmtId="0" fontId="0" fillId="12" borderId="34" xfId="0" applyFont="1" applyFill="1" applyBorder="1" applyAlignment="1" applyProtection="1">
      <alignment horizontal="left" vertical="center"/>
      <protection locked="0"/>
    </xf>
    <xf numFmtId="0" fontId="0" fillId="12" borderId="36" xfId="0" applyFont="1" applyFill="1" applyBorder="1" applyAlignment="1" applyProtection="1">
      <alignment horizontal="left" vertical="center"/>
      <protection locked="0"/>
    </xf>
    <xf numFmtId="0" fontId="0" fillId="12" borderId="20" xfId="0" applyFont="1" applyFill="1" applyBorder="1" applyAlignment="1" applyProtection="1">
      <alignment horizontal="left" vertical="center"/>
      <protection locked="0"/>
    </xf>
    <xf numFmtId="0" fontId="0" fillId="12" borderId="27" xfId="0" applyFont="1" applyFill="1" applyBorder="1" applyAlignment="1" applyProtection="1">
      <alignment horizontal="left" vertical="center"/>
      <protection locked="0"/>
    </xf>
    <xf numFmtId="0" fontId="0" fillId="12" borderId="27" xfId="0" applyFont="1" applyFill="1" applyBorder="1" applyProtection="1">
      <protection locked="0"/>
    </xf>
    <xf numFmtId="169" fontId="14" fillId="0" borderId="26" xfId="16" applyBorder="1" applyAlignment="1" applyProtection="1">
      <alignment horizontal="center" vertical="center"/>
    </xf>
    <xf numFmtId="169" fontId="14" fillId="0" borderId="0" xfId="16" applyFill="1" applyBorder="1" applyAlignment="1" applyProtection="1">
      <alignment horizontal="center" vertical="center"/>
    </xf>
    <xf numFmtId="169" fontId="13" fillId="16" borderId="26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0" fillId="12" borderId="50" xfId="0" applyFont="1" applyFill="1" applyBorder="1" applyProtection="1">
      <protection locked="0"/>
    </xf>
    <xf numFmtId="168" fontId="13" fillId="34" borderId="56" xfId="0" applyNumberFormat="1" applyFont="1" applyFill="1" applyBorder="1" applyAlignment="1" applyProtection="1">
      <alignment horizontal="center" vertical="center" wrapText="1"/>
    </xf>
    <xf numFmtId="168" fontId="13" fillId="34" borderId="57" xfId="0" applyNumberFormat="1" applyFont="1" applyFill="1" applyBorder="1" applyAlignment="1" applyProtection="1">
      <alignment horizontal="center" vertical="center" wrapText="1"/>
    </xf>
    <xf numFmtId="168" fontId="0" fillId="28" borderId="55" xfId="13" applyNumberFormat="1" applyFont="1" applyFill="1" applyBorder="1" applyAlignment="1" applyProtection="1">
      <alignment vertical="center"/>
    </xf>
    <xf numFmtId="168" fontId="13" fillId="28" borderId="62" xfId="13" applyNumberFormat="1" applyFont="1" applyFill="1" applyBorder="1" applyAlignment="1" applyProtection="1">
      <alignment vertical="center"/>
    </xf>
    <xf numFmtId="0" fontId="28" fillId="0" borderId="0" xfId="0" applyFont="1" applyFill="1" applyBorder="1" applyAlignment="1" applyProtection="1">
      <alignment horizontal="center" vertical="center" wrapText="1"/>
    </xf>
    <xf numFmtId="169" fontId="29" fillId="0" borderId="0" xfId="16" applyFont="1" applyFill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right" vertical="center"/>
    </xf>
    <xf numFmtId="0" fontId="25" fillId="11" borderId="0" xfId="0" applyFont="1" applyFill="1" applyBorder="1" applyAlignment="1" applyProtection="1">
      <alignment horizontal="left" vertical="center" indent="2"/>
    </xf>
    <xf numFmtId="0" fontId="25" fillId="0" borderId="0" xfId="0" applyFont="1" applyBorder="1" applyAlignment="1" applyProtection="1">
      <alignment horizontal="left" vertical="center" indent="2"/>
    </xf>
    <xf numFmtId="0" fontId="13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178" fontId="0" fillId="12" borderId="65" xfId="13" applyNumberFormat="1" applyFont="1" applyFill="1" applyBorder="1" applyAlignment="1" applyProtection="1">
      <alignment vertical="center"/>
      <protection locked="0"/>
    </xf>
    <xf numFmtId="178" fontId="0" fillId="12" borderId="66" xfId="13" applyNumberFormat="1" applyFont="1" applyFill="1" applyBorder="1" applyAlignment="1" applyProtection="1">
      <alignment vertical="center"/>
      <protection locked="0"/>
    </xf>
    <xf numFmtId="0" fontId="0" fillId="12" borderId="67" xfId="0" applyFont="1" applyFill="1" applyBorder="1" applyAlignment="1" applyProtection="1">
      <alignment horizontal="left" vertical="center"/>
      <protection locked="0"/>
    </xf>
    <xf numFmtId="0" fontId="0" fillId="12" borderId="67" xfId="0" applyFont="1" applyFill="1" applyBorder="1" applyProtection="1">
      <protection locked="0"/>
    </xf>
    <xf numFmtId="0" fontId="0" fillId="12" borderId="68" xfId="0" applyFont="1" applyFill="1" applyBorder="1" applyProtection="1">
      <protection locked="0"/>
    </xf>
    <xf numFmtId="178" fontId="0" fillId="12" borderId="67" xfId="13" applyNumberFormat="1" applyFont="1" applyFill="1" applyBorder="1" applyAlignment="1" applyProtection="1">
      <alignment vertical="center"/>
      <protection locked="0"/>
    </xf>
    <xf numFmtId="0" fontId="0" fillId="12" borderId="65" xfId="0" applyFont="1" applyFill="1" applyBorder="1" applyAlignment="1" applyProtection="1">
      <alignment horizontal="left" vertical="center"/>
      <protection locked="0"/>
    </xf>
    <xf numFmtId="0" fontId="0" fillId="12" borderId="65" xfId="0" applyFont="1" applyFill="1" applyBorder="1" applyProtection="1">
      <protection locked="0"/>
    </xf>
    <xf numFmtId="0" fontId="0" fillId="12" borderId="70" xfId="0" applyFont="1" applyFill="1" applyBorder="1" applyProtection="1">
      <protection locked="0"/>
    </xf>
    <xf numFmtId="0" fontId="0" fillId="12" borderId="66" xfId="0" applyFont="1" applyFill="1" applyBorder="1" applyAlignment="1" applyProtection="1">
      <alignment horizontal="left" vertical="center"/>
      <protection locked="0"/>
    </xf>
    <xf numFmtId="0" fontId="0" fillId="12" borderId="66" xfId="0" applyFont="1" applyFill="1" applyBorder="1" applyProtection="1">
      <protection locked="0"/>
    </xf>
    <xf numFmtId="0" fontId="0" fillId="12" borderId="72" xfId="0" applyFont="1" applyFill="1" applyBorder="1" applyProtection="1">
      <protection locked="0"/>
    </xf>
    <xf numFmtId="177" fontId="0" fillId="0" borderId="73" xfId="0" applyNumberFormat="1" applyFont="1" applyFill="1" applyBorder="1" applyAlignment="1" applyProtection="1">
      <alignment horizontal="right" vertical="center"/>
    </xf>
    <xf numFmtId="177" fontId="0" fillId="0" borderId="75" xfId="0" applyNumberFormat="1" applyFont="1" applyFill="1" applyBorder="1" applyAlignment="1" applyProtection="1">
      <alignment horizontal="right" vertical="center"/>
    </xf>
    <xf numFmtId="177" fontId="0" fillId="0" borderId="76" xfId="0" applyNumberFormat="1" applyFont="1" applyFill="1" applyBorder="1" applyAlignment="1" applyProtection="1">
      <alignment horizontal="right" vertical="center"/>
    </xf>
    <xf numFmtId="178" fontId="0" fillId="12" borderId="70" xfId="13" applyNumberFormat="1" applyFont="1" applyFill="1" applyBorder="1" applyAlignment="1" applyProtection="1">
      <alignment vertical="center"/>
      <protection locked="0"/>
    </xf>
    <xf numFmtId="178" fontId="0" fillId="12" borderId="72" xfId="13" applyNumberFormat="1" applyFont="1" applyFill="1" applyBorder="1" applyAlignment="1" applyProtection="1">
      <alignment vertical="center"/>
      <protection locked="0"/>
    </xf>
    <xf numFmtId="178" fontId="0" fillId="12" borderId="68" xfId="13" applyNumberFormat="1" applyFont="1" applyFill="1" applyBorder="1" applyAlignment="1" applyProtection="1">
      <alignment vertical="center"/>
      <protection locked="0"/>
    </xf>
    <xf numFmtId="177" fontId="0" fillId="28" borderId="75" xfId="0" applyNumberFormat="1" applyFont="1" applyFill="1" applyBorder="1" applyAlignment="1" applyProtection="1">
      <alignment horizontal="right" vertical="center"/>
    </xf>
    <xf numFmtId="177" fontId="0" fillId="28" borderId="76" xfId="0" applyNumberFormat="1" applyFont="1" applyFill="1" applyBorder="1" applyAlignment="1" applyProtection="1">
      <alignment horizontal="right" vertical="center"/>
    </xf>
    <xf numFmtId="177" fontId="0" fillId="28" borderId="73" xfId="0" applyNumberFormat="1" applyFont="1" applyFill="1" applyBorder="1" applyAlignment="1" applyProtection="1">
      <alignment horizontal="right" vertical="center"/>
    </xf>
    <xf numFmtId="177" fontId="0" fillId="28" borderId="69" xfId="0" applyNumberFormat="1" applyFont="1" applyFill="1" applyBorder="1" applyAlignment="1" applyProtection="1">
      <alignment horizontal="right" vertical="center"/>
    </xf>
    <xf numFmtId="177" fontId="0" fillId="28" borderId="77" xfId="0" applyNumberFormat="1" applyFont="1" applyFill="1" applyBorder="1" applyAlignment="1" applyProtection="1">
      <alignment horizontal="right" vertical="center"/>
    </xf>
    <xf numFmtId="177" fontId="0" fillId="0" borderId="69" xfId="0" applyNumberFormat="1" applyFont="1" applyFill="1" applyBorder="1" applyAlignment="1" applyProtection="1">
      <alignment horizontal="right" vertical="center"/>
    </xf>
    <xf numFmtId="177" fontId="0" fillId="0" borderId="77" xfId="0" applyNumberFormat="1" applyFont="1" applyFill="1" applyBorder="1" applyAlignment="1" applyProtection="1">
      <alignment horizontal="right" vertical="center"/>
    </xf>
    <xf numFmtId="0" fontId="0" fillId="12" borderId="78" xfId="0" applyFont="1" applyFill="1" applyBorder="1" applyAlignment="1" applyProtection="1">
      <alignment horizontal="left" vertical="center"/>
      <protection locked="0"/>
    </xf>
    <xf numFmtId="0" fontId="0" fillId="12" borderId="79" xfId="0" applyFont="1" applyFill="1" applyBorder="1" applyAlignment="1" applyProtection="1">
      <alignment horizontal="left" vertical="center"/>
      <protection locked="0"/>
    </xf>
    <xf numFmtId="0" fontId="0" fillId="12" borderId="80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vertical="center"/>
    </xf>
    <xf numFmtId="0" fontId="11" fillId="23" borderId="66" xfId="0" applyFont="1" applyFill="1" applyBorder="1" applyAlignment="1" applyProtection="1">
      <alignment horizontal="left" vertical="center"/>
    </xf>
    <xf numFmtId="0" fontId="11" fillId="20" borderId="66" xfId="0" applyFont="1" applyFill="1" applyBorder="1" applyAlignment="1" applyProtection="1">
      <alignment horizontal="left" vertical="center"/>
    </xf>
    <xf numFmtId="175" fontId="19" fillId="0" borderId="66" xfId="0" applyNumberFormat="1" applyFont="1" applyFill="1" applyBorder="1" applyAlignment="1" applyProtection="1">
      <alignment horizontal="left"/>
    </xf>
    <xf numFmtId="0" fontId="13" fillId="21" borderId="66" xfId="0" applyFont="1" applyFill="1" applyBorder="1" applyAlignment="1" applyProtection="1">
      <alignment horizontal="center" vertical="center"/>
    </xf>
    <xf numFmtId="0" fontId="13" fillId="20" borderId="66" xfId="0" applyFont="1" applyFill="1" applyBorder="1" applyAlignment="1" applyProtection="1">
      <alignment horizontal="center" vertical="center" wrapText="1"/>
    </xf>
    <xf numFmtId="1" fontId="0" fillId="0" borderId="66" xfId="0" applyNumberFormat="1" applyFont="1" applyFill="1" applyBorder="1" applyAlignment="1" applyProtection="1">
      <alignment horizontal="center" vertical="center" wrapText="1"/>
    </xf>
    <xf numFmtId="168" fontId="11" fillId="23" borderId="66" xfId="13" applyNumberFormat="1" applyFont="1" applyFill="1" applyBorder="1" applyAlignment="1" applyProtection="1">
      <alignment horizontal="center" vertical="center"/>
    </xf>
    <xf numFmtId="168" fontId="11" fillId="20" borderId="66" xfId="13" applyNumberFormat="1" applyFont="1" applyFill="1" applyBorder="1" applyAlignment="1" applyProtection="1">
      <alignment horizontal="center" vertical="center"/>
    </xf>
    <xf numFmtId="168" fontId="0" fillId="12" borderId="66" xfId="13" applyNumberFormat="1" applyFont="1" applyFill="1" applyBorder="1" applyAlignment="1" applyProtection="1">
      <alignment vertical="center"/>
      <protection locked="0"/>
    </xf>
    <xf numFmtId="0" fontId="13" fillId="30" borderId="66" xfId="0" applyFont="1" applyFill="1" applyBorder="1" applyAlignment="1" applyProtection="1">
      <alignment horizontal="center" vertical="center" wrapText="1"/>
    </xf>
    <xf numFmtId="0" fontId="13" fillId="31" borderId="66" xfId="0" applyFont="1" applyFill="1" applyBorder="1" applyAlignment="1" applyProtection="1">
      <alignment horizontal="left" vertical="center"/>
    </xf>
    <xf numFmtId="168" fontId="13" fillId="30" borderId="66" xfId="0" applyNumberFormat="1" applyFont="1" applyFill="1" applyBorder="1" applyAlignment="1" applyProtection="1">
      <alignment horizontal="center" vertical="center" wrapText="1"/>
    </xf>
    <xf numFmtId="9" fontId="0" fillId="12" borderId="81" xfId="0" applyNumberFormat="1" applyFont="1" applyFill="1" applyBorder="1" applyAlignment="1" applyProtection="1">
      <alignment horizontal="center" vertical="center"/>
      <protection locked="0"/>
    </xf>
    <xf numFmtId="182" fontId="0" fillId="11" borderId="0" xfId="0" applyNumberFormat="1" applyFont="1" applyFill="1" applyProtection="1"/>
    <xf numFmtId="181" fontId="0" fillId="11" borderId="0" xfId="0" applyNumberFormat="1" applyFont="1" applyFill="1" applyProtection="1"/>
    <xf numFmtId="168" fontId="0" fillId="28" borderId="81" xfId="13" applyNumberFormat="1" applyFont="1" applyFill="1" applyBorder="1" applyAlignment="1" applyProtection="1">
      <alignment vertical="center"/>
    </xf>
    <xf numFmtId="168" fontId="0" fillId="28" borderId="91" xfId="13" applyNumberFormat="1" applyFont="1" applyFill="1" applyBorder="1" applyAlignment="1" applyProtection="1">
      <alignment vertical="center"/>
    </xf>
    <xf numFmtId="167" fontId="0" fillId="0" borderId="93" xfId="13" applyNumberFormat="1" applyFont="1" applyFill="1" applyBorder="1" applyAlignment="1" applyProtection="1">
      <alignment vertical="center"/>
    </xf>
    <xf numFmtId="168" fontId="0" fillId="28" borderId="94" xfId="13" applyNumberFormat="1" applyFont="1" applyFill="1" applyBorder="1" applyAlignment="1" applyProtection="1">
      <alignment vertical="center"/>
    </xf>
    <xf numFmtId="168" fontId="13" fillId="15" borderId="95" xfId="0" applyNumberFormat="1" applyFont="1" applyFill="1" applyBorder="1" applyAlignment="1" applyProtection="1">
      <alignment horizontal="center" vertical="center" wrapText="1"/>
    </xf>
    <xf numFmtId="180" fontId="14" fillId="36" borderId="81" xfId="16" applyNumberFormat="1" applyFill="1" applyBorder="1" applyAlignment="1" applyProtection="1">
      <alignment horizontal="center" vertical="center"/>
    </xf>
    <xf numFmtId="180" fontId="14" fillId="36" borderId="99" xfId="16" applyNumberFormat="1" applyFill="1" applyBorder="1" applyAlignment="1" applyProtection="1">
      <alignment horizontal="center" vertical="center"/>
    </xf>
    <xf numFmtId="168" fontId="13" fillId="15" borderId="101" xfId="0" applyNumberFormat="1" applyFont="1" applyFill="1" applyBorder="1" applyAlignment="1" applyProtection="1">
      <alignment horizontal="center" vertical="center" wrapText="1"/>
    </xf>
    <xf numFmtId="179" fontId="0" fillId="12" borderId="102" xfId="13" applyNumberFormat="1" applyFont="1" applyFill="1" applyBorder="1" applyAlignment="1" applyProtection="1">
      <alignment horizontal="center" vertical="center"/>
      <protection locked="0"/>
    </xf>
    <xf numFmtId="169" fontId="14" fillId="0" borderId="0" xfId="16" applyProtection="1"/>
    <xf numFmtId="181" fontId="14" fillId="0" borderId="0" xfId="13" applyNumberFormat="1" applyProtection="1"/>
    <xf numFmtId="0" fontId="23" fillId="12" borderId="40" xfId="0" applyFont="1" applyFill="1" applyBorder="1" applyAlignment="1" applyProtection="1">
      <alignment horizontal="center" vertical="center"/>
      <protection locked="0"/>
    </xf>
    <xf numFmtId="178" fontId="0" fillId="12" borderId="98" xfId="13" applyNumberFormat="1" applyFont="1" applyFill="1" applyBorder="1" applyAlignment="1" applyProtection="1">
      <alignment vertical="center"/>
      <protection locked="0"/>
    </xf>
    <xf numFmtId="9" fontId="0" fillId="12" borderId="99" xfId="0" applyNumberFormat="1" applyFont="1" applyFill="1" applyBorder="1" applyAlignment="1" applyProtection="1">
      <alignment horizontal="center" vertical="center"/>
      <protection locked="0"/>
    </xf>
    <xf numFmtId="177" fontId="0" fillId="0" borderId="100" xfId="0" applyNumberFormat="1" applyFont="1" applyFill="1" applyBorder="1" applyAlignment="1" applyProtection="1">
      <alignment horizontal="right" vertical="center"/>
    </xf>
    <xf numFmtId="177" fontId="0" fillId="0" borderId="70" xfId="0" applyNumberFormat="1" applyFont="1" applyFill="1" applyBorder="1" applyAlignment="1" applyProtection="1">
      <alignment horizontal="right" vertical="center"/>
    </xf>
    <xf numFmtId="177" fontId="0" fillId="0" borderId="110" xfId="0" applyNumberFormat="1" applyFont="1" applyFill="1" applyBorder="1" applyAlignment="1" applyProtection="1">
      <alignment horizontal="right" vertical="center"/>
    </xf>
    <xf numFmtId="177" fontId="0" fillId="0" borderId="94" xfId="0" applyNumberFormat="1" applyFont="1" applyFill="1" applyBorder="1" applyAlignment="1" applyProtection="1">
      <alignment horizontal="right" vertical="center"/>
    </xf>
    <xf numFmtId="9" fontId="0" fillId="12" borderId="104" xfId="0" applyNumberFormat="1" applyFont="1" applyFill="1" applyBorder="1" applyAlignment="1" applyProtection="1">
      <alignment horizontal="center" vertical="center"/>
      <protection locked="0"/>
    </xf>
    <xf numFmtId="0" fontId="10" fillId="14" borderId="104" xfId="0" applyFont="1" applyFill="1" applyBorder="1" applyAlignment="1" applyProtection="1">
      <alignment horizontal="center" vertical="center"/>
    </xf>
    <xf numFmtId="0" fontId="10" fillId="48" borderId="103" xfId="0" applyFont="1" applyFill="1" applyBorder="1" applyAlignment="1" applyProtection="1">
      <alignment horizontal="center" vertical="center"/>
    </xf>
    <xf numFmtId="0" fontId="10" fillId="14" borderId="94" xfId="0" applyFont="1" applyFill="1" applyBorder="1" applyAlignment="1" applyProtection="1">
      <alignment horizontal="center" vertical="center"/>
    </xf>
    <xf numFmtId="0" fontId="10" fillId="48" borderId="117" xfId="0" applyFont="1" applyFill="1" applyBorder="1" applyAlignment="1" applyProtection="1">
      <alignment horizontal="center" vertical="center"/>
    </xf>
    <xf numFmtId="169" fontId="0" fillId="12" borderId="83" xfId="16" applyFont="1" applyFill="1" applyBorder="1" applyAlignment="1" applyProtection="1">
      <alignment horizontal="center" vertical="center"/>
      <protection locked="0"/>
    </xf>
    <xf numFmtId="169" fontId="0" fillId="12" borderId="118" xfId="16" applyFont="1" applyFill="1" applyBorder="1" applyAlignment="1" applyProtection="1">
      <alignment horizontal="center" vertical="center"/>
      <protection locked="0"/>
    </xf>
    <xf numFmtId="169" fontId="0" fillId="12" borderId="117" xfId="16" applyFont="1" applyFill="1" applyBorder="1" applyAlignment="1" applyProtection="1">
      <alignment horizontal="center" vertical="center"/>
      <protection locked="0"/>
    </xf>
    <xf numFmtId="177" fontId="0" fillId="0" borderId="97" xfId="0" applyNumberFormat="1" applyFont="1" applyFill="1" applyBorder="1" applyAlignment="1" applyProtection="1">
      <alignment horizontal="right" vertical="center"/>
    </xf>
    <xf numFmtId="177" fontId="0" fillId="0" borderId="103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vertical="center" wrapText="1"/>
    </xf>
    <xf numFmtId="0" fontId="10" fillId="49" borderId="104" xfId="0" applyFont="1" applyFill="1" applyBorder="1" applyAlignment="1" applyProtection="1">
      <alignment horizontal="center" vertical="center"/>
    </xf>
    <xf numFmtId="0" fontId="10" fillId="49" borderId="103" xfId="0" applyFont="1" applyFill="1" applyBorder="1" applyAlignment="1" applyProtection="1">
      <alignment horizontal="center" vertical="center"/>
    </xf>
    <xf numFmtId="169" fontId="30" fillId="0" borderId="84" xfId="16" applyFont="1" applyFill="1" applyBorder="1" applyAlignment="1" applyProtection="1">
      <alignment horizontal="center" vertical="center"/>
    </xf>
    <xf numFmtId="169" fontId="30" fillId="0" borderId="87" xfId="16" applyFont="1" applyFill="1" applyBorder="1" applyAlignment="1" applyProtection="1">
      <alignment horizontal="center" vertical="center"/>
    </xf>
    <xf numFmtId="177" fontId="0" fillId="26" borderId="86" xfId="0" applyNumberFormat="1" applyFont="1" applyFill="1" applyBorder="1" applyAlignment="1" applyProtection="1">
      <alignment horizontal="right" vertical="center"/>
    </xf>
    <xf numFmtId="177" fontId="0" fillId="26" borderId="121" xfId="0" applyNumberFormat="1" applyFont="1" applyFill="1" applyBorder="1" applyAlignment="1" applyProtection="1">
      <alignment horizontal="right" vertical="center"/>
    </xf>
    <xf numFmtId="0" fontId="0" fillId="11" borderId="124" xfId="0" applyFont="1" applyFill="1" applyBorder="1" applyProtection="1"/>
    <xf numFmtId="0" fontId="0" fillId="11" borderId="125" xfId="0" applyFont="1" applyFill="1" applyBorder="1" applyProtection="1"/>
    <xf numFmtId="0" fontId="0" fillId="11" borderId="126" xfId="0" applyFont="1" applyFill="1" applyBorder="1" applyProtection="1"/>
    <xf numFmtId="0" fontId="0" fillId="11" borderId="113" xfId="0" applyFont="1" applyFill="1" applyBorder="1" applyProtection="1"/>
    <xf numFmtId="0" fontId="0" fillId="11" borderId="63" xfId="0" applyFont="1" applyFill="1" applyBorder="1" applyProtection="1"/>
    <xf numFmtId="0" fontId="25" fillId="0" borderId="113" xfId="0" applyFont="1" applyBorder="1" applyAlignment="1" applyProtection="1">
      <alignment vertical="center"/>
    </xf>
    <xf numFmtId="0" fontId="10" fillId="14" borderId="105" xfId="0" applyFont="1" applyFill="1" applyBorder="1" applyAlignment="1" applyProtection="1">
      <alignment horizontal="center" vertical="center"/>
    </xf>
    <xf numFmtId="0" fontId="10" fillId="14" borderId="122" xfId="0" applyFont="1" applyFill="1" applyBorder="1" applyAlignment="1" applyProtection="1">
      <alignment horizontal="center" vertical="center"/>
    </xf>
    <xf numFmtId="0" fontId="10" fillId="49" borderId="105" xfId="0" applyFont="1" applyFill="1" applyBorder="1" applyAlignment="1" applyProtection="1">
      <alignment horizontal="center" vertical="center"/>
    </xf>
    <xf numFmtId="0" fontId="10" fillId="49" borderId="122" xfId="0" applyFont="1" applyFill="1" applyBorder="1" applyAlignment="1" applyProtection="1">
      <alignment horizontal="center" vertical="center"/>
    </xf>
    <xf numFmtId="0" fontId="10" fillId="48" borderId="105" xfId="0" applyFont="1" applyFill="1" applyBorder="1" applyAlignment="1" applyProtection="1">
      <alignment horizontal="center" vertical="center"/>
    </xf>
    <xf numFmtId="0" fontId="10" fillId="48" borderId="122" xfId="0" applyFont="1" applyFill="1" applyBorder="1" applyAlignment="1" applyProtection="1">
      <alignment horizontal="center" vertical="center"/>
    </xf>
    <xf numFmtId="0" fontId="0" fillId="11" borderId="114" xfId="0" applyFont="1" applyFill="1" applyBorder="1" applyProtection="1"/>
    <xf numFmtId="0" fontId="0" fillId="11" borderId="120" xfId="0" applyFont="1" applyFill="1" applyBorder="1" applyProtection="1"/>
    <xf numFmtId="0" fontId="0" fillId="11" borderId="58" xfId="0" applyFont="1" applyFill="1" applyBorder="1" applyProtection="1"/>
    <xf numFmtId="168" fontId="11" fillId="20" borderId="66" xfId="13" applyNumberFormat="1" applyFont="1" applyFill="1" applyBorder="1" applyAlignment="1" applyProtection="1">
      <alignment horizontal="center" vertical="center"/>
      <protection locked="0"/>
    </xf>
    <xf numFmtId="0" fontId="13" fillId="16" borderId="122" xfId="0" applyFont="1" applyFill="1" applyBorder="1" applyAlignment="1" applyProtection="1">
      <alignment horizontal="center" vertical="center" wrapText="1"/>
    </xf>
    <xf numFmtId="0" fontId="0" fillId="12" borderId="98" xfId="0" applyFont="1" applyFill="1" applyBorder="1" applyAlignment="1" applyProtection="1">
      <alignment horizontal="left" vertical="center"/>
      <protection locked="0"/>
    </xf>
    <xf numFmtId="0" fontId="0" fillId="12" borderId="96" xfId="0" applyFont="1" applyFill="1" applyBorder="1" applyAlignment="1" applyProtection="1">
      <alignment horizontal="left" vertical="center"/>
      <protection locked="0"/>
    </xf>
    <xf numFmtId="178" fontId="0" fillId="12" borderId="96" xfId="13" applyNumberFormat="1" applyFont="1" applyFill="1" applyBorder="1" applyAlignment="1" applyProtection="1">
      <alignment vertical="center"/>
      <protection locked="0"/>
    </xf>
    <xf numFmtId="0" fontId="0" fillId="12" borderId="102" xfId="0" applyFont="1" applyFill="1" applyBorder="1" applyAlignment="1" applyProtection="1">
      <alignment horizontal="left" vertical="center"/>
      <protection locked="0"/>
    </xf>
    <xf numFmtId="178" fontId="0" fillId="12" borderId="102" xfId="13" applyNumberFormat="1" applyFont="1" applyFill="1" applyBorder="1" applyAlignment="1" applyProtection="1">
      <alignment vertical="center"/>
      <protection locked="0"/>
    </xf>
    <xf numFmtId="0" fontId="0" fillId="12" borderId="70" xfId="0" applyFont="1" applyFill="1" applyBorder="1" applyAlignment="1" applyProtection="1">
      <alignment horizontal="left" vertical="center"/>
      <protection locked="0"/>
    </xf>
    <xf numFmtId="0" fontId="0" fillId="12" borderId="110" xfId="0" applyFont="1" applyFill="1" applyBorder="1" applyAlignment="1" applyProtection="1">
      <alignment horizontal="left" vertical="center"/>
      <protection locked="0"/>
    </xf>
    <xf numFmtId="177" fontId="0" fillId="28" borderId="116" xfId="0" applyNumberFormat="1" applyFont="1" applyFill="1" applyBorder="1" applyAlignment="1" applyProtection="1">
      <alignment horizontal="right" vertical="center"/>
    </xf>
    <xf numFmtId="177" fontId="0" fillId="28" borderId="134" xfId="0" applyNumberFormat="1" applyFont="1" applyFill="1" applyBorder="1" applyAlignment="1" applyProtection="1">
      <alignment horizontal="right" vertical="center"/>
    </xf>
    <xf numFmtId="177" fontId="23" fillId="27" borderId="49" xfId="0" applyNumberFormat="1" applyFont="1" applyFill="1" applyBorder="1" applyAlignment="1" applyProtection="1">
      <alignment vertical="center"/>
    </xf>
    <xf numFmtId="180" fontId="14" fillId="36" borderId="94" xfId="16" applyNumberFormat="1" applyFill="1" applyBorder="1" applyAlignment="1" applyProtection="1">
      <alignment horizontal="center" vertical="center"/>
    </xf>
    <xf numFmtId="0" fontId="0" fillId="12" borderId="99" xfId="0" applyFont="1" applyFill="1" applyBorder="1" applyAlignment="1" applyProtection="1">
      <alignment horizontal="left" vertical="center"/>
      <protection locked="0"/>
    </xf>
    <xf numFmtId="168" fontId="0" fillId="12" borderId="100" xfId="13" applyNumberFormat="1" applyFont="1" applyFill="1" applyBorder="1" applyAlignment="1" applyProtection="1">
      <alignment vertical="center"/>
      <protection locked="0"/>
    </xf>
    <xf numFmtId="0" fontId="0" fillId="12" borderId="104" xfId="0" applyFont="1" applyFill="1" applyBorder="1" applyAlignment="1" applyProtection="1">
      <alignment horizontal="left" vertical="center"/>
      <protection locked="0"/>
    </xf>
    <xf numFmtId="168" fontId="0" fillId="12" borderId="103" xfId="13" applyNumberFormat="1" applyFont="1" applyFill="1" applyBorder="1" applyAlignment="1" applyProtection="1">
      <alignment vertical="center"/>
      <protection locked="0"/>
    </xf>
    <xf numFmtId="0" fontId="0" fillId="12" borderId="118" xfId="0" applyFont="1" applyFill="1" applyBorder="1" applyAlignment="1" applyProtection="1">
      <alignment horizontal="left" vertical="center"/>
      <protection locked="0"/>
    </xf>
    <xf numFmtId="0" fontId="0" fillId="12" borderId="117" xfId="0" applyFont="1" applyFill="1" applyBorder="1" applyAlignment="1" applyProtection="1">
      <alignment horizontal="left" vertical="center"/>
      <protection locked="0"/>
    </xf>
    <xf numFmtId="0" fontId="13" fillId="16" borderId="103" xfId="0" applyFont="1" applyFill="1" applyBorder="1" applyAlignment="1" applyProtection="1">
      <alignment horizontal="center" vertical="center" wrapText="1"/>
    </xf>
    <xf numFmtId="180" fontId="14" fillId="36" borderId="104" xfId="16" applyNumberFormat="1" applyFill="1" applyBorder="1" applyAlignment="1" applyProtection="1">
      <alignment horizontal="center" vertical="center"/>
    </xf>
    <xf numFmtId="180" fontId="14" fillId="36" borderId="102" xfId="16" applyNumberFormat="1" applyFill="1" applyBorder="1" applyAlignment="1" applyProtection="1">
      <alignment horizontal="center" vertical="center"/>
    </xf>
    <xf numFmtId="180" fontId="14" fillId="36" borderId="103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1" fillId="0" borderId="0" xfId="20" applyFill="1" applyBorder="1" applyAlignment="1" applyProtection="1">
      <alignment vertical="center"/>
    </xf>
    <xf numFmtId="0" fontId="21" fillId="11" borderId="0" xfId="20" applyFill="1" applyBorder="1" applyAlignment="1" applyProtection="1">
      <alignment vertical="center"/>
    </xf>
    <xf numFmtId="0" fontId="21" fillId="0" borderId="0" xfId="20" applyProtection="1"/>
    <xf numFmtId="0" fontId="21" fillId="0" borderId="0" xfId="20" applyBorder="1" applyAlignment="1" applyProtection="1">
      <alignment vertical="center"/>
    </xf>
    <xf numFmtId="0" fontId="21" fillId="0" borderId="0" xfId="20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1" fillId="0" borderId="0" xfId="20" quotePrefix="1" applyBorder="1" applyAlignment="1" applyProtection="1">
      <alignment horizontal="left" vertical="center"/>
    </xf>
    <xf numFmtId="0" fontId="21" fillId="0" borderId="0" xfId="20"/>
    <xf numFmtId="0" fontId="21" fillId="11" borderId="0" xfId="20" applyFill="1" applyBorder="1" applyAlignment="1" applyProtection="1">
      <alignment horizontal="left" vertical="center"/>
    </xf>
    <xf numFmtId="0" fontId="21" fillId="0" borderId="0" xfId="20" applyAlignment="1" applyProtection="1">
      <alignment horizontal="left"/>
    </xf>
    <xf numFmtId="0" fontId="13" fillId="0" borderId="0" xfId="0" applyFont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 indent="2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168" fontId="0" fillId="0" borderId="0" xfId="0" applyNumberFormat="1" applyFont="1" applyAlignment="1" applyProtection="1">
      <alignment vertical="center"/>
    </xf>
    <xf numFmtId="168" fontId="13" fillId="0" borderId="0" xfId="0" applyNumberFormat="1" applyFont="1" applyAlignment="1" applyProtection="1">
      <alignment vertical="center"/>
    </xf>
    <xf numFmtId="168" fontId="0" fillId="28" borderId="139" xfId="13" applyNumberFormat="1" applyFont="1" applyFill="1" applyBorder="1" applyAlignment="1" applyProtection="1">
      <alignment vertical="center"/>
    </xf>
    <xf numFmtId="0" fontId="13" fillId="15" borderId="105" xfId="0" applyFont="1" applyFill="1" applyBorder="1" applyAlignment="1" applyProtection="1">
      <alignment horizontal="center" vertical="center"/>
    </xf>
    <xf numFmtId="0" fontId="13" fillId="15" borderId="137" xfId="0" applyFont="1" applyFill="1" applyBorder="1" applyAlignment="1" applyProtection="1">
      <alignment horizontal="center" vertical="center"/>
    </xf>
    <xf numFmtId="177" fontId="23" fillId="25" borderId="64" xfId="0" applyNumberFormat="1" applyFont="1" applyFill="1" applyBorder="1" applyAlignment="1" applyProtection="1">
      <alignment horizontal="right" vertical="center"/>
    </xf>
    <xf numFmtId="169" fontId="15" fillId="19" borderId="52" xfId="16" applyFont="1" applyFill="1" applyBorder="1" applyAlignment="1" applyProtection="1">
      <alignment horizontal="center" vertical="center"/>
    </xf>
    <xf numFmtId="177" fontId="23" fillId="25" borderId="54" xfId="0" applyNumberFormat="1" applyFont="1" applyFill="1" applyBorder="1" applyAlignment="1" applyProtection="1">
      <alignment horizontal="right" vertical="center"/>
    </xf>
    <xf numFmtId="177" fontId="0" fillId="28" borderId="129" xfId="0" applyNumberFormat="1" applyFont="1" applyFill="1" applyBorder="1" applyAlignment="1" applyProtection="1">
      <alignment horizontal="right" vertical="center"/>
    </xf>
    <xf numFmtId="177" fontId="0" fillId="0" borderId="129" xfId="0" applyNumberFormat="1" applyFont="1" applyFill="1" applyBorder="1" applyAlignment="1" applyProtection="1">
      <alignment horizontal="right" vertical="center"/>
    </xf>
    <xf numFmtId="0" fontId="0" fillId="12" borderId="141" xfId="0" applyFont="1" applyFill="1" applyBorder="1" applyAlignment="1" applyProtection="1">
      <alignment horizontal="left" vertical="center"/>
      <protection locked="0"/>
    </xf>
    <xf numFmtId="0" fontId="0" fillId="12" borderId="141" xfId="0" applyFont="1" applyFill="1" applyBorder="1" applyProtection="1">
      <protection locked="0"/>
    </xf>
    <xf numFmtId="0" fontId="0" fillId="12" borderId="142" xfId="0" applyFont="1" applyFill="1" applyBorder="1" applyProtection="1">
      <protection locked="0"/>
    </xf>
    <xf numFmtId="178" fontId="0" fillId="12" borderId="110" xfId="13" applyNumberFormat="1" applyFont="1" applyFill="1" applyBorder="1" applyAlignment="1" applyProtection="1">
      <alignment vertical="center"/>
      <protection locked="0"/>
    </xf>
    <xf numFmtId="177" fontId="0" fillId="28" borderId="130" xfId="0" applyNumberFormat="1" applyFont="1" applyFill="1" applyBorder="1" applyAlignment="1" applyProtection="1">
      <alignment horizontal="right" vertical="center"/>
    </xf>
    <xf numFmtId="177" fontId="0" fillId="0" borderId="130" xfId="0" applyNumberFormat="1" applyFont="1" applyFill="1" applyBorder="1" applyAlignment="1" applyProtection="1">
      <alignment horizontal="right" vertical="center"/>
    </xf>
    <xf numFmtId="0" fontId="0" fillId="12" borderId="143" xfId="0" applyFont="1" applyFill="1" applyBorder="1" applyAlignment="1" applyProtection="1">
      <alignment horizontal="left" vertical="center"/>
      <protection locked="0"/>
    </xf>
    <xf numFmtId="0" fontId="0" fillId="12" borderId="98" xfId="0" applyFont="1" applyFill="1" applyBorder="1" applyProtection="1">
      <protection locked="0"/>
    </xf>
    <xf numFmtId="0" fontId="0" fillId="12" borderId="110" xfId="0" applyFont="1" applyFill="1" applyBorder="1" applyProtection="1">
      <protection locked="0"/>
    </xf>
    <xf numFmtId="0" fontId="0" fillId="12" borderId="102" xfId="0" applyFont="1" applyFill="1" applyBorder="1" applyProtection="1">
      <protection locked="0"/>
    </xf>
    <xf numFmtId="0" fontId="0" fillId="12" borderId="94" xfId="0" applyFont="1" applyFill="1" applyBorder="1" applyProtection="1">
      <protection locked="0"/>
    </xf>
    <xf numFmtId="178" fontId="0" fillId="12" borderId="94" xfId="13" applyNumberFormat="1" applyFont="1" applyFill="1" applyBorder="1" applyAlignment="1" applyProtection="1">
      <alignment vertical="center"/>
      <protection locked="0"/>
    </xf>
    <xf numFmtId="177" fontId="0" fillId="28" borderId="131" xfId="0" applyNumberFormat="1" applyFont="1" applyFill="1" applyBorder="1" applyAlignment="1" applyProtection="1">
      <alignment horizontal="right" vertical="center"/>
    </xf>
    <xf numFmtId="177" fontId="0" fillId="0" borderId="131" xfId="0" applyNumberFormat="1" applyFont="1" applyFill="1" applyBorder="1" applyAlignment="1" applyProtection="1">
      <alignment horizontal="right" vertical="center"/>
    </xf>
    <xf numFmtId="9" fontId="0" fillId="43" borderId="52" xfId="0" applyNumberFormat="1" applyFont="1" applyFill="1" applyBorder="1" applyAlignment="1" applyProtection="1">
      <alignment horizontal="center" vertical="center"/>
    </xf>
    <xf numFmtId="177" fontId="0" fillId="25" borderId="53" xfId="0" applyNumberFormat="1" applyFont="1" applyFill="1" applyBorder="1" applyAlignment="1" applyProtection="1">
      <alignment horizontal="right" vertical="center"/>
    </xf>
    <xf numFmtId="9" fontId="0" fillId="43" borderId="53" xfId="0" applyNumberFormat="1" applyFont="1" applyFill="1" applyBorder="1" applyAlignment="1" applyProtection="1">
      <alignment horizontal="center" vertical="center"/>
    </xf>
    <xf numFmtId="169" fontId="0" fillId="43" borderId="53" xfId="16" applyFont="1" applyFill="1" applyBorder="1" applyAlignment="1" applyProtection="1">
      <alignment horizontal="center" vertical="center"/>
    </xf>
    <xf numFmtId="177" fontId="0" fillId="25" borderId="54" xfId="0" applyNumberFormat="1" applyFont="1" applyFill="1" applyBorder="1" applyAlignment="1" applyProtection="1">
      <alignment horizontal="right" vertical="center"/>
    </xf>
    <xf numFmtId="168" fontId="13" fillId="34" borderId="151" xfId="0" applyNumberFormat="1" applyFont="1" applyFill="1" applyBorder="1" applyAlignment="1" applyProtection="1">
      <alignment horizontal="center" vertical="center" wrapText="1"/>
    </xf>
    <xf numFmtId="168" fontId="13" fillId="34" borderId="152" xfId="0" applyNumberFormat="1" applyFont="1" applyFill="1" applyBorder="1" applyAlignment="1" applyProtection="1">
      <alignment horizontal="center" vertical="center" wrapText="1"/>
    </xf>
    <xf numFmtId="168" fontId="13" fillId="34" borderId="150" xfId="0" applyNumberFormat="1" applyFont="1" applyFill="1" applyBorder="1" applyAlignment="1" applyProtection="1">
      <alignment horizontal="center" vertical="center" wrapText="1"/>
    </xf>
    <xf numFmtId="168" fontId="22" fillId="31" borderId="52" xfId="13" applyNumberFormat="1" applyFont="1" applyFill="1" applyBorder="1" applyAlignment="1" applyProtection="1">
      <alignment vertical="center" wrapText="1"/>
    </xf>
    <xf numFmtId="168" fontId="13" fillId="34" borderId="163" xfId="0" applyNumberFormat="1" applyFont="1" applyFill="1" applyBorder="1" applyAlignment="1" applyProtection="1">
      <alignment horizontal="center" vertical="center" wrapText="1"/>
    </xf>
    <xf numFmtId="0" fontId="13" fillId="16" borderId="164" xfId="0" applyFont="1" applyFill="1" applyBorder="1" applyAlignment="1" applyProtection="1">
      <alignment horizontal="center" vertical="center" wrapText="1"/>
    </xf>
    <xf numFmtId="179" fontId="0" fillId="12" borderId="81" xfId="13" applyNumberFormat="1" applyFont="1" applyFill="1" applyBorder="1" applyAlignment="1" applyProtection="1">
      <alignment horizontal="center" vertical="center"/>
      <protection locked="0"/>
    </xf>
    <xf numFmtId="179" fontId="0" fillId="12" borderId="153" xfId="13" applyNumberFormat="1" applyFont="1" applyFill="1" applyBorder="1" applyAlignment="1" applyProtection="1">
      <alignment horizontal="center" vertical="center"/>
      <protection locked="0"/>
    </xf>
    <xf numFmtId="179" fontId="0" fillId="12" borderId="104" xfId="13" applyNumberFormat="1" applyFont="1" applyFill="1" applyBorder="1" applyAlignment="1" applyProtection="1">
      <alignment horizontal="center" vertical="center"/>
      <protection locked="0"/>
    </xf>
    <xf numFmtId="0" fontId="0" fillId="0" borderId="106" xfId="0" applyFont="1" applyFill="1" applyBorder="1" applyAlignment="1" applyProtection="1">
      <alignment horizontal="left" vertical="center"/>
    </xf>
    <xf numFmtId="0" fontId="0" fillId="0" borderId="107" xfId="0" applyFont="1" applyFill="1" applyBorder="1" applyAlignment="1" applyProtection="1">
      <alignment horizontal="left" vertical="center"/>
    </xf>
    <xf numFmtId="0" fontId="0" fillId="0" borderId="108" xfId="0" applyFont="1" applyFill="1" applyBorder="1" applyAlignment="1" applyProtection="1">
      <alignment horizontal="left" vertical="center"/>
    </xf>
    <xf numFmtId="179" fontId="0" fillId="12" borderId="99" xfId="13" applyNumberFormat="1" applyFont="1" applyFill="1" applyBorder="1" applyAlignment="1" applyProtection="1">
      <alignment horizontal="center" vertical="center"/>
      <protection locked="0"/>
    </xf>
    <xf numFmtId="168" fontId="13" fillId="15" borderId="152" xfId="0" applyNumberFormat="1" applyFont="1" applyFill="1" applyBorder="1" applyAlignment="1" applyProtection="1">
      <alignment horizontal="center" vertical="center" wrapText="1"/>
    </xf>
    <xf numFmtId="168" fontId="13" fillId="15" borderId="157" xfId="0" applyNumberFormat="1" applyFont="1" applyFill="1" applyBorder="1" applyAlignment="1" applyProtection="1">
      <alignment horizontal="center" vertical="center" wrapText="1"/>
    </xf>
    <xf numFmtId="0" fontId="13" fillId="15" borderId="151" xfId="0" applyFont="1" applyFill="1" applyBorder="1" applyAlignment="1" applyProtection="1">
      <alignment horizontal="center" vertical="center"/>
    </xf>
    <xf numFmtId="0" fontId="13" fillId="15" borderId="149" xfId="0" applyFont="1" applyFill="1" applyBorder="1" applyAlignment="1" applyProtection="1">
      <alignment horizontal="center" vertical="center"/>
    </xf>
    <xf numFmtId="167" fontId="0" fillId="0" borderId="158" xfId="13" applyNumberFormat="1" applyFont="1" applyFill="1" applyBorder="1" applyAlignment="1" applyProtection="1">
      <alignment vertical="center"/>
    </xf>
    <xf numFmtId="168" fontId="0" fillId="28" borderId="171" xfId="13" applyNumberFormat="1" applyFont="1" applyFill="1" applyBorder="1" applyAlignment="1" applyProtection="1">
      <alignment vertical="center"/>
    </xf>
    <xf numFmtId="168" fontId="0" fillId="28" borderId="161" xfId="13" applyNumberFormat="1" applyFont="1" applyFill="1" applyBorder="1" applyAlignment="1" applyProtection="1">
      <alignment vertical="center"/>
    </xf>
    <xf numFmtId="180" fontId="14" fillId="36" borderId="153" xfId="16" applyNumberFormat="1" applyFill="1" applyBorder="1" applyAlignment="1" applyProtection="1">
      <alignment horizontal="center" vertical="center"/>
    </xf>
    <xf numFmtId="180" fontId="14" fillId="36" borderId="154" xfId="16" applyNumberFormat="1" applyFill="1" applyBorder="1" applyAlignment="1" applyProtection="1">
      <alignment horizontal="center" vertical="center"/>
    </xf>
    <xf numFmtId="0" fontId="0" fillId="12" borderId="172" xfId="0" applyFont="1" applyFill="1" applyBorder="1" applyAlignment="1" applyProtection="1">
      <alignment horizontal="left" vertical="center"/>
      <protection locked="0"/>
    </xf>
    <xf numFmtId="168" fontId="0" fillId="12" borderId="154" xfId="13" applyNumberFormat="1" applyFont="1" applyFill="1" applyBorder="1" applyAlignment="1" applyProtection="1">
      <alignment vertical="center"/>
      <protection locked="0"/>
    </xf>
    <xf numFmtId="168" fontId="0" fillId="28" borderId="104" xfId="13" applyNumberFormat="1" applyFont="1" applyFill="1" applyBorder="1" applyAlignment="1" applyProtection="1">
      <alignment vertical="center"/>
    </xf>
    <xf numFmtId="168" fontId="0" fillId="28" borderId="102" xfId="13" applyNumberFormat="1" applyFont="1" applyFill="1" applyBorder="1" applyAlignment="1" applyProtection="1">
      <alignment vertical="center"/>
    </xf>
    <xf numFmtId="168" fontId="13" fillId="15" borderId="156" xfId="0" applyNumberFormat="1" applyFont="1" applyFill="1" applyBorder="1" applyAlignment="1" applyProtection="1">
      <alignment horizontal="center" vertical="center" wrapText="1"/>
    </xf>
    <xf numFmtId="168" fontId="13" fillId="15" borderId="158" xfId="0" applyNumberFormat="1" applyFont="1" applyFill="1" applyBorder="1" applyAlignment="1" applyProtection="1">
      <alignment horizontal="center" vertical="center" wrapText="1"/>
    </xf>
    <xf numFmtId="167" fontId="0" fillId="0" borderId="175" xfId="13" applyNumberFormat="1" applyFont="1" applyFill="1" applyBorder="1" applyAlignment="1" applyProtection="1">
      <alignment vertical="center"/>
    </xf>
    <xf numFmtId="180" fontId="14" fillId="36" borderId="171" xfId="16" applyNumberFormat="1" applyFill="1" applyBorder="1" applyAlignment="1" applyProtection="1">
      <alignment horizontal="center" vertical="center"/>
    </xf>
    <xf numFmtId="180" fontId="14" fillId="36" borderId="161" xfId="16" applyNumberFormat="1" applyFill="1" applyBorder="1" applyAlignment="1" applyProtection="1">
      <alignment horizontal="center" vertical="center"/>
    </xf>
    <xf numFmtId="0" fontId="0" fillId="12" borderId="176" xfId="0" applyFont="1" applyFill="1" applyBorder="1" applyAlignment="1" applyProtection="1">
      <alignment horizontal="left" vertical="center"/>
      <protection locked="0"/>
    </xf>
    <xf numFmtId="168" fontId="0" fillId="28" borderId="167" xfId="13" applyNumberFormat="1" applyFont="1" applyFill="1" applyBorder="1" applyAlignment="1" applyProtection="1">
      <alignment vertical="center"/>
    </xf>
    <xf numFmtId="168" fontId="0" fillId="28" borderId="99" xfId="13" applyNumberFormat="1" applyFont="1" applyFill="1" applyBorder="1" applyAlignment="1" applyProtection="1">
      <alignment vertical="center"/>
    </xf>
    <xf numFmtId="168" fontId="0" fillId="28" borderId="160" xfId="13" applyNumberFormat="1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horizontal="center" vertical="center"/>
    </xf>
    <xf numFmtId="0" fontId="13" fillId="16" borderId="113" xfId="0" applyFont="1" applyFill="1" applyBorder="1" applyAlignment="1">
      <alignment horizontal="center" vertical="center" wrapText="1"/>
    </xf>
    <xf numFmtId="0" fontId="13" fillId="16" borderId="33" xfId="0" applyFont="1" applyFill="1" applyBorder="1" applyAlignment="1">
      <alignment horizontal="center" vertical="center" wrapText="1"/>
    </xf>
    <xf numFmtId="0" fontId="13" fillId="16" borderId="178" xfId="0" applyFont="1" applyFill="1" applyBorder="1" applyAlignment="1">
      <alignment horizontal="center" vertical="center" wrapText="1"/>
    </xf>
    <xf numFmtId="0" fontId="13" fillId="20" borderId="135" xfId="0" applyFont="1" applyFill="1" applyBorder="1" applyAlignment="1">
      <alignment horizontal="center" vertical="center" wrapText="1"/>
    </xf>
    <xf numFmtId="1" fontId="0" fillId="0" borderId="135" xfId="0" applyNumberFormat="1" applyBorder="1" applyAlignment="1">
      <alignment horizontal="center" vertical="center" wrapText="1"/>
    </xf>
    <xf numFmtId="1" fontId="0" fillId="0" borderId="181" xfId="0" applyNumberFormat="1" applyBorder="1" applyAlignment="1">
      <alignment horizontal="center"/>
    </xf>
    <xf numFmtId="1" fontId="0" fillId="0" borderId="136" xfId="0" applyNumberFormat="1" applyBorder="1"/>
    <xf numFmtId="1" fontId="0" fillId="43" borderId="135" xfId="0" applyNumberFormat="1" applyFill="1" applyBorder="1" applyAlignment="1">
      <alignment horizontal="center" vertical="center" wrapText="1"/>
    </xf>
    <xf numFmtId="1" fontId="0" fillId="0" borderId="61" xfId="0" applyNumberFormat="1" applyBorder="1" applyAlignment="1">
      <alignment horizontal="center" vertical="center" wrapText="1"/>
    </xf>
    <xf numFmtId="0" fontId="11" fillId="23" borderId="187" xfId="0" applyFont="1" applyFill="1" applyBorder="1" applyAlignment="1">
      <alignment horizontal="left" vertical="center"/>
    </xf>
    <xf numFmtId="168" fontId="11" fillId="23" borderId="188" xfId="13" applyNumberFormat="1" applyFont="1" applyFill="1" applyBorder="1" applyAlignment="1">
      <alignment horizontal="center" vertical="center"/>
    </xf>
    <xf numFmtId="168" fontId="11" fillId="23" borderId="185" xfId="13" applyNumberFormat="1" applyFont="1" applyFill="1" applyBorder="1" applyAlignment="1">
      <alignment horizontal="center" vertical="center"/>
    </xf>
    <xf numFmtId="168" fontId="11" fillId="20" borderId="184" xfId="13" applyNumberFormat="1" applyFont="1" applyFill="1" applyBorder="1" applyAlignment="1">
      <alignment horizontal="center" vertical="center"/>
    </xf>
    <xf numFmtId="168" fontId="11" fillId="20" borderId="188" xfId="13" applyNumberFormat="1" applyFont="1" applyFill="1" applyBorder="1" applyAlignment="1">
      <alignment horizontal="center" vertical="center"/>
    </xf>
    <xf numFmtId="168" fontId="11" fillId="20" borderId="185" xfId="13" applyNumberFormat="1" applyFont="1" applyFill="1" applyBorder="1" applyAlignment="1">
      <alignment horizontal="center" vertical="center"/>
    </xf>
    <xf numFmtId="42" fontId="0" fillId="12" borderId="182" xfId="32" applyFont="1" applyFill="1" applyBorder="1" applyAlignment="1" applyProtection="1">
      <alignment horizontal="center" vertical="center"/>
      <protection locked="0"/>
    </xf>
    <xf numFmtId="181" fontId="14" fillId="48" borderId="182" xfId="13" applyNumberFormat="1" applyFill="1" applyBorder="1" applyAlignment="1">
      <alignment vertical="center"/>
    </xf>
    <xf numFmtId="181" fontId="14" fillId="48" borderId="182" xfId="13" applyNumberFormat="1" applyFill="1" applyBorder="1"/>
    <xf numFmtId="42" fontId="0" fillId="58" borderId="182" xfId="32" applyFont="1" applyFill="1" applyBorder="1" applyAlignment="1" applyProtection="1">
      <alignment horizontal="center" vertical="center"/>
      <protection locked="0"/>
    </xf>
    <xf numFmtId="0" fontId="11" fillId="20" borderId="187" xfId="0" applyFont="1" applyFill="1" applyBorder="1" applyAlignment="1">
      <alignment horizontal="left" vertical="center"/>
    </xf>
    <xf numFmtId="175" fontId="19" fillId="0" borderId="187" xfId="0" applyNumberFormat="1" applyFont="1" applyBorder="1" applyAlignment="1">
      <alignment horizontal="left" wrapText="1"/>
    </xf>
    <xf numFmtId="175" fontId="19" fillId="0" borderId="187" xfId="0" applyNumberFormat="1" applyFont="1" applyBorder="1" applyAlignment="1">
      <alignment horizontal="left"/>
    </xf>
    <xf numFmtId="0" fontId="0" fillId="12" borderId="182" xfId="0" applyFont="1" applyFill="1" applyBorder="1" applyAlignment="1" applyProtection="1">
      <alignment horizontal="left" vertical="center"/>
      <protection locked="0"/>
    </xf>
    <xf numFmtId="0" fontId="0" fillId="12" borderId="184" xfId="0" applyFont="1" applyFill="1" applyBorder="1" applyAlignment="1" applyProtection="1">
      <alignment horizontal="left" vertical="center"/>
      <protection locked="0"/>
    </xf>
    <xf numFmtId="178" fontId="0" fillId="12" borderId="182" xfId="13" applyNumberFormat="1" applyFont="1" applyFill="1" applyBorder="1" applyAlignment="1" applyProtection="1">
      <alignment vertical="center"/>
      <protection locked="0"/>
    </xf>
    <xf numFmtId="0" fontId="0" fillId="12" borderId="192" xfId="0" applyFont="1" applyFill="1" applyBorder="1" applyAlignment="1" applyProtection="1">
      <alignment horizontal="left" vertical="center"/>
      <protection locked="0"/>
    </xf>
    <xf numFmtId="0" fontId="0" fillId="12" borderId="193" xfId="0" applyFont="1" applyFill="1" applyBorder="1" applyAlignment="1" applyProtection="1">
      <alignment horizontal="left" vertical="center"/>
      <protection locked="0"/>
    </xf>
    <xf numFmtId="178" fontId="0" fillId="12" borderId="192" xfId="13" applyNumberFormat="1" applyFont="1" applyFill="1" applyBorder="1" applyAlignment="1" applyProtection="1">
      <alignment vertical="center"/>
      <protection locked="0"/>
    </xf>
    <xf numFmtId="177" fontId="0" fillId="28" borderId="195" xfId="0" applyNumberFormat="1" applyFont="1" applyFill="1" applyBorder="1" applyAlignment="1" applyProtection="1">
      <alignment horizontal="right" vertical="center"/>
    </xf>
    <xf numFmtId="179" fontId="0" fillId="12" borderId="189" xfId="13" applyNumberFormat="1" applyFont="1" applyFill="1" applyBorder="1" applyAlignment="1" applyProtection="1">
      <alignment horizontal="center" vertical="center"/>
      <protection locked="0"/>
    </xf>
    <xf numFmtId="179" fontId="0" fillId="12" borderId="192" xfId="13" applyNumberFormat="1" applyFont="1" applyFill="1" applyBorder="1" applyAlignment="1" applyProtection="1">
      <alignment horizontal="center" vertical="center"/>
      <protection locked="0"/>
    </xf>
    <xf numFmtId="179" fontId="0" fillId="60" borderId="98" xfId="13" applyNumberFormat="1" applyFont="1" applyFill="1" applyBorder="1" applyAlignment="1" applyProtection="1">
      <alignment horizontal="center" vertical="center"/>
      <protection locked="0"/>
    </xf>
    <xf numFmtId="168" fontId="0" fillId="61" borderId="3" xfId="13" applyNumberFormat="1" applyFont="1" applyFill="1" applyBorder="1" applyAlignment="1" applyProtection="1">
      <alignment vertical="center"/>
    </xf>
    <xf numFmtId="168" fontId="0" fillId="61" borderId="55" xfId="13" applyNumberFormat="1" applyFont="1" applyFill="1" applyBorder="1" applyAlignment="1" applyProtection="1">
      <alignment vertical="center"/>
    </xf>
    <xf numFmtId="168" fontId="13" fillId="34" borderId="198" xfId="0" applyNumberFormat="1" applyFont="1" applyFill="1" applyBorder="1" applyAlignment="1" applyProtection="1">
      <alignment horizontal="center" vertical="center" wrapText="1"/>
    </xf>
    <xf numFmtId="168" fontId="13" fillId="34" borderId="199" xfId="0" applyNumberFormat="1" applyFont="1" applyFill="1" applyBorder="1" applyAlignment="1" applyProtection="1">
      <alignment horizontal="center" vertical="center" wrapText="1"/>
    </xf>
    <xf numFmtId="168" fontId="13" fillId="34" borderId="200" xfId="0" applyNumberFormat="1" applyFont="1" applyFill="1" applyBorder="1" applyAlignment="1" applyProtection="1">
      <alignment horizontal="center" vertical="center" wrapText="1"/>
    </xf>
    <xf numFmtId="179" fontId="13" fillId="28" borderId="154" xfId="0" applyNumberFormat="1" applyFont="1" applyFill="1" applyBorder="1" applyAlignment="1" applyProtection="1">
      <alignment horizontal="center" vertical="center"/>
    </xf>
    <xf numFmtId="179" fontId="13" fillId="28" borderId="100" xfId="0" applyNumberFormat="1" applyFont="1" applyFill="1" applyBorder="1" applyAlignment="1" applyProtection="1">
      <alignment horizontal="center" vertical="center"/>
    </xf>
    <xf numFmtId="179" fontId="13" fillId="28" borderId="103" xfId="0" applyNumberFormat="1" applyFont="1" applyFill="1" applyBorder="1" applyAlignment="1" applyProtection="1">
      <alignment horizontal="center" vertical="center"/>
    </xf>
    <xf numFmtId="0" fontId="13" fillId="21" borderId="211" xfId="0" applyFont="1" applyFill="1" applyBorder="1" applyAlignment="1">
      <alignment horizontal="center" vertical="center"/>
    </xf>
    <xf numFmtId="0" fontId="11" fillId="23" borderId="212" xfId="0" applyFont="1" applyFill="1" applyBorder="1" applyAlignment="1">
      <alignment horizontal="left" vertical="center"/>
    </xf>
    <xf numFmtId="168" fontId="11" fillId="23" borderId="208" xfId="1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20" borderId="212" xfId="0" applyFont="1" applyFill="1" applyBorder="1" applyAlignment="1">
      <alignment horizontal="left" vertical="center"/>
    </xf>
    <xf numFmtId="168" fontId="11" fillId="20" borderId="208" xfId="13" applyNumberFormat="1" applyFont="1" applyFill="1" applyBorder="1" applyAlignment="1">
      <alignment horizontal="center" vertical="center"/>
    </xf>
    <xf numFmtId="168" fontId="13" fillId="41" borderId="208" xfId="13" applyNumberFormat="1" applyFont="1" applyFill="1" applyBorder="1" applyAlignment="1">
      <alignment vertical="center"/>
    </xf>
    <xf numFmtId="175" fontId="19" fillId="0" borderId="212" xfId="0" applyNumberFormat="1" applyFont="1" applyBorder="1" applyAlignment="1">
      <alignment horizontal="left"/>
    </xf>
    <xf numFmtId="168" fontId="0" fillId="46" borderId="208" xfId="13" applyNumberFormat="1" applyFont="1" applyFill="1" applyBorder="1" applyAlignment="1">
      <alignment vertical="center"/>
    </xf>
    <xf numFmtId="168" fontId="19" fillId="28" borderId="208" xfId="13" applyNumberFormat="1" applyFont="1" applyFill="1" applyBorder="1" applyAlignment="1">
      <alignment vertical="center"/>
    </xf>
    <xf numFmtId="168" fontId="0" fillId="12" borderId="208" xfId="13" applyNumberFormat="1" applyFont="1" applyFill="1" applyBorder="1" applyAlignment="1" applyProtection="1">
      <alignment vertical="center"/>
      <protection locked="0"/>
    </xf>
    <xf numFmtId="168" fontId="19" fillId="12" borderId="208" xfId="13" applyNumberFormat="1" applyFont="1" applyFill="1" applyBorder="1" applyAlignment="1" applyProtection="1">
      <alignment vertical="center"/>
      <protection locked="0"/>
    </xf>
    <xf numFmtId="176" fontId="19" fillId="12" borderId="208" xfId="12" applyNumberFormat="1" applyFont="1" applyFill="1" applyBorder="1" applyAlignment="1" applyProtection="1">
      <alignment vertical="center"/>
      <protection locked="0"/>
    </xf>
    <xf numFmtId="175" fontId="30" fillId="0" borderId="212" xfId="0" applyNumberFormat="1" applyFont="1" applyBorder="1" applyAlignment="1">
      <alignment horizontal="left"/>
    </xf>
    <xf numFmtId="168" fontId="11" fillId="20" borderId="208" xfId="13" applyNumberFormat="1" applyFont="1" applyFill="1" applyBorder="1" applyAlignment="1">
      <alignment vertical="center"/>
    </xf>
    <xf numFmtId="175" fontId="19" fillId="0" borderId="213" xfId="0" applyNumberFormat="1" applyFont="1" applyBorder="1" applyAlignment="1">
      <alignment horizontal="left"/>
    </xf>
    <xf numFmtId="0" fontId="13" fillId="21" borderId="215" xfId="0" applyFont="1" applyFill="1" applyBorder="1" applyAlignment="1">
      <alignment horizontal="center" vertical="center"/>
    </xf>
    <xf numFmtId="0" fontId="11" fillId="23" borderId="216" xfId="0" applyFont="1" applyFill="1" applyBorder="1" applyAlignment="1">
      <alignment horizontal="left" vertical="center"/>
    </xf>
    <xf numFmtId="168" fontId="11" fillId="23" borderId="203" xfId="13" applyNumberFormat="1" applyFont="1" applyFill="1" applyBorder="1" applyAlignment="1">
      <alignment horizontal="center" vertical="center"/>
    </xf>
    <xf numFmtId="168" fontId="11" fillId="53" borderId="203" xfId="13" applyNumberFormat="1" applyFont="1" applyFill="1" applyBorder="1" applyAlignment="1">
      <alignment vertical="center"/>
    </xf>
    <xf numFmtId="168" fontId="13" fillId="40" borderId="203" xfId="13" applyNumberFormat="1" applyFont="1" applyFill="1" applyBorder="1" applyAlignment="1">
      <alignment vertical="center"/>
    </xf>
    <xf numFmtId="168" fontId="11" fillId="23" borderId="217" xfId="13" applyNumberFormat="1" applyFont="1" applyFill="1" applyBorder="1" applyAlignment="1">
      <alignment horizontal="center" vertical="center"/>
    </xf>
    <xf numFmtId="168" fontId="11" fillId="54" borderId="208" xfId="13" applyNumberFormat="1" applyFont="1" applyFill="1" applyBorder="1" applyAlignment="1">
      <alignment vertical="center"/>
    </xf>
    <xf numFmtId="168" fontId="11" fillId="20" borderId="138" xfId="13" applyNumberFormat="1" applyFont="1" applyFill="1" applyBorder="1" applyAlignment="1">
      <alignment horizontal="center" vertical="center"/>
    </xf>
    <xf numFmtId="176" fontId="19" fillId="28" borderId="208" xfId="12" applyNumberFormat="1" applyFont="1" applyFill="1" applyBorder="1" applyAlignment="1">
      <alignment vertical="center"/>
    </xf>
    <xf numFmtId="168" fontId="11" fillId="27" borderId="218" xfId="13" applyNumberFormat="1" applyFont="1" applyFill="1" applyBorder="1" applyAlignment="1">
      <alignment vertical="center"/>
    </xf>
    <xf numFmtId="176" fontId="14" fillId="28" borderId="208" xfId="12" applyNumberFormat="1" applyFill="1" applyBorder="1"/>
    <xf numFmtId="168" fontId="11" fillId="55" borderId="208" xfId="13" applyNumberFormat="1" applyFont="1" applyFill="1" applyBorder="1" applyAlignment="1">
      <alignment vertical="center"/>
    </xf>
    <xf numFmtId="168" fontId="11" fillId="23" borderId="138" xfId="13" applyNumberFormat="1" applyFont="1" applyFill="1" applyBorder="1" applyAlignment="1">
      <alignment horizontal="center" vertical="center"/>
    </xf>
    <xf numFmtId="168" fontId="11" fillId="20" borderId="210" xfId="13" applyNumberFormat="1" applyFont="1" applyFill="1" applyBorder="1" applyAlignment="1">
      <alignment horizontal="center" vertical="center"/>
    </xf>
    <xf numFmtId="176" fontId="14" fillId="12" borderId="208" xfId="12" applyNumberFormat="1" applyFill="1" applyBorder="1" applyProtection="1">
      <protection locked="0"/>
    </xf>
    <xf numFmtId="168" fontId="19" fillId="56" borderId="208" xfId="13" applyNumberFormat="1" applyFont="1" applyFill="1" applyBorder="1" applyAlignment="1">
      <alignment vertical="center"/>
    </xf>
    <xf numFmtId="176" fontId="14" fillId="56" borderId="208" xfId="12" applyNumberFormat="1" applyFill="1" applyBorder="1"/>
    <xf numFmtId="168" fontId="19" fillId="57" borderId="208" xfId="13" applyNumberFormat="1" applyFont="1" applyFill="1" applyBorder="1" applyAlignment="1">
      <alignment vertical="center"/>
    </xf>
    <xf numFmtId="168" fontId="11" fillId="27" borderId="219" xfId="13" applyNumberFormat="1" applyFont="1" applyFill="1" applyBorder="1" applyAlignment="1">
      <alignment vertical="center"/>
    </xf>
    <xf numFmtId="0" fontId="13" fillId="30" borderId="220" xfId="0" applyFont="1" applyFill="1" applyBorder="1" applyAlignment="1">
      <alignment horizontal="center" vertical="center" wrapText="1"/>
    </xf>
    <xf numFmtId="0" fontId="13" fillId="31" borderId="221" xfId="0" applyFont="1" applyFill="1" applyBorder="1" applyAlignment="1">
      <alignment vertical="center"/>
    </xf>
    <xf numFmtId="167" fontId="13" fillId="31" borderId="192" xfId="13" applyNumberFormat="1" applyFont="1" applyFill="1" applyBorder="1" applyAlignment="1">
      <alignment vertical="center"/>
    </xf>
    <xf numFmtId="167" fontId="13" fillId="32" borderId="192" xfId="13" applyNumberFormat="1" applyFont="1" applyFill="1" applyBorder="1" applyAlignment="1">
      <alignment vertical="center"/>
    </xf>
    <xf numFmtId="167" fontId="13" fillId="31" borderId="119" xfId="13" applyNumberFormat="1" applyFont="1" applyFill="1" applyBorder="1" applyAlignment="1">
      <alignment vertical="center"/>
    </xf>
    <xf numFmtId="168" fontId="13" fillId="43" borderId="143" xfId="13" applyNumberFormat="1" applyFont="1" applyFill="1" applyBorder="1" applyAlignment="1">
      <alignment horizontal="center" vertical="center"/>
    </xf>
    <xf numFmtId="0" fontId="13" fillId="43" borderId="143" xfId="0" applyFont="1" applyFill="1" applyBorder="1" applyAlignment="1">
      <alignment horizontal="center" vertical="center"/>
    </xf>
    <xf numFmtId="168" fontId="11" fillId="62" borderId="203" xfId="13" applyNumberFormat="1" applyFont="1" applyFill="1" applyBorder="1" applyAlignment="1">
      <alignment vertical="center"/>
    </xf>
    <xf numFmtId="0" fontId="11" fillId="20" borderId="222" xfId="0" applyFont="1" applyFill="1" applyBorder="1" applyAlignment="1">
      <alignment horizontal="left" vertical="center"/>
    </xf>
    <xf numFmtId="168" fontId="11" fillId="20" borderId="223" xfId="13" applyNumberFormat="1" applyFont="1" applyFill="1" applyBorder="1" applyAlignment="1">
      <alignment horizontal="center" vertical="center"/>
    </xf>
    <xf numFmtId="168" fontId="11" fillId="22" borderId="223" xfId="13" applyNumberFormat="1" applyFont="1" applyFill="1" applyBorder="1" applyAlignment="1">
      <alignment vertical="center"/>
    </xf>
    <xf numFmtId="168" fontId="13" fillId="41" borderId="223" xfId="13" applyNumberFormat="1" applyFont="1" applyFill="1" applyBorder="1" applyAlignment="1">
      <alignment vertical="center"/>
    </xf>
    <xf numFmtId="175" fontId="19" fillId="0" borderId="222" xfId="0" applyNumberFormat="1" applyFont="1" applyBorder="1" applyAlignment="1">
      <alignment horizontal="left"/>
    </xf>
    <xf numFmtId="168" fontId="0" fillId="46" borderId="223" xfId="13" applyNumberFormat="1" applyFont="1" applyFill="1" applyBorder="1" applyAlignment="1">
      <alignment vertical="center"/>
    </xf>
    <xf numFmtId="168" fontId="19" fillId="1" borderId="223" xfId="13" applyNumberFormat="1" applyFont="1" applyFill="1" applyBorder="1" applyAlignment="1">
      <alignment vertical="center"/>
    </xf>
    <xf numFmtId="176" fontId="19" fillId="1" borderId="223" xfId="12" applyNumberFormat="1" applyFont="1" applyFill="1" applyBorder="1" applyAlignment="1">
      <alignment vertical="center"/>
    </xf>
    <xf numFmtId="168" fontId="19" fillId="28" borderId="223" xfId="13" applyNumberFormat="1" applyFont="1" applyFill="1" applyBorder="1" applyAlignment="1">
      <alignment vertical="center"/>
    </xf>
    <xf numFmtId="168" fontId="11" fillId="27" borderId="224" xfId="13" applyNumberFormat="1" applyFont="1" applyFill="1" applyBorder="1" applyAlignment="1">
      <alignment vertical="center"/>
    </xf>
    <xf numFmtId="168" fontId="0" fillId="12" borderId="223" xfId="13" applyNumberFormat="1" applyFont="1" applyFill="1" applyBorder="1" applyAlignment="1" applyProtection="1">
      <alignment vertical="center"/>
      <protection locked="0"/>
    </xf>
    <xf numFmtId="168" fontId="19" fillId="12" borderId="223" xfId="13" applyNumberFormat="1" applyFont="1" applyFill="1" applyBorder="1" applyAlignment="1" applyProtection="1">
      <alignment vertical="center"/>
      <protection locked="0"/>
    </xf>
    <xf numFmtId="176" fontId="19" fillId="12" borderId="223" xfId="12" applyNumberFormat="1" applyFont="1" applyFill="1" applyBorder="1" applyAlignment="1" applyProtection="1">
      <alignment vertical="center"/>
      <protection locked="0"/>
    </xf>
    <xf numFmtId="168" fontId="11" fillId="20" borderId="223" xfId="13" applyNumberFormat="1" applyFont="1" applyFill="1" applyBorder="1" applyAlignment="1" applyProtection="1">
      <alignment horizontal="center" vertical="center"/>
      <protection locked="0"/>
    </xf>
    <xf numFmtId="168" fontId="11" fillId="22" borderId="223" xfId="13" applyNumberFormat="1" applyFont="1" applyFill="1" applyBorder="1" applyAlignment="1" applyProtection="1">
      <alignment vertical="center"/>
      <protection locked="0"/>
    </xf>
    <xf numFmtId="175" fontId="30" fillId="0" borderId="222" xfId="0" applyNumberFormat="1" applyFont="1" applyBorder="1" applyAlignment="1">
      <alignment horizontal="left"/>
    </xf>
    <xf numFmtId="168" fontId="14" fillId="12" borderId="223" xfId="13" applyNumberFormat="1" applyFill="1" applyBorder="1" applyAlignment="1" applyProtection="1">
      <alignment vertical="center"/>
      <protection locked="0"/>
    </xf>
    <xf numFmtId="41" fontId="19" fillId="12" borderId="223" xfId="31" applyFont="1" applyFill="1" applyBorder="1" applyAlignment="1" applyProtection="1">
      <alignment vertical="center"/>
      <protection locked="0"/>
    </xf>
    <xf numFmtId="168" fontId="19" fillId="59" borderId="223" xfId="13" applyNumberFormat="1" applyFont="1" applyFill="1" applyBorder="1" applyAlignment="1" applyProtection="1">
      <alignment vertical="center"/>
      <protection locked="0"/>
    </xf>
    <xf numFmtId="41" fontId="11" fillId="59" borderId="223" xfId="31" applyFont="1" applyFill="1" applyBorder="1" applyAlignment="1" applyProtection="1">
      <alignment vertical="center"/>
      <protection locked="0"/>
    </xf>
    <xf numFmtId="168" fontId="19" fillId="58" borderId="223" xfId="13" applyNumberFormat="1" applyFont="1" applyFill="1" applyBorder="1" applyAlignment="1" applyProtection="1">
      <alignment vertical="center"/>
      <protection locked="0"/>
    </xf>
    <xf numFmtId="41" fontId="19" fillId="58" borderId="223" xfId="31" applyFont="1" applyFill="1" applyBorder="1" applyAlignment="1" applyProtection="1">
      <alignment vertical="center"/>
      <protection locked="0"/>
    </xf>
    <xf numFmtId="168" fontId="11" fillId="59" borderId="223" xfId="13" applyNumberFormat="1" applyFont="1" applyFill="1" applyBorder="1" applyAlignment="1" applyProtection="1">
      <alignment vertical="center"/>
      <protection locked="0"/>
    </xf>
    <xf numFmtId="0" fontId="13" fillId="21" borderId="225" xfId="0" applyFont="1" applyFill="1" applyBorder="1" applyAlignment="1">
      <alignment horizontal="center" vertical="center"/>
    </xf>
    <xf numFmtId="0" fontId="11" fillId="23" borderId="222" xfId="0" applyFont="1" applyFill="1" applyBorder="1" applyAlignment="1">
      <alignment horizontal="left" vertical="center"/>
    </xf>
    <xf numFmtId="168" fontId="11" fillId="23" borderId="223" xfId="13" applyNumberFormat="1" applyFont="1" applyFill="1" applyBorder="1" applyAlignment="1" applyProtection="1">
      <alignment horizontal="center" vertical="center"/>
      <protection locked="0"/>
    </xf>
    <xf numFmtId="168" fontId="11" fillId="40" borderId="223" xfId="13" applyNumberFormat="1" applyFont="1" applyFill="1" applyBorder="1" applyAlignment="1" applyProtection="1">
      <alignment vertical="center"/>
      <protection locked="0"/>
    </xf>
    <xf numFmtId="168" fontId="11" fillId="23" borderId="226" xfId="13" applyNumberFormat="1" applyFont="1" applyFill="1" applyBorder="1" applyAlignment="1" applyProtection="1">
      <alignment horizontal="center" vertical="center"/>
      <protection locked="0"/>
    </xf>
    <xf numFmtId="168" fontId="11" fillId="41" borderId="223" xfId="13" applyNumberFormat="1" applyFont="1" applyFill="1" applyBorder="1" applyAlignment="1" applyProtection="1">
      <alignment vertical="center"/>
      <protection locked="0"/>
    </xf>
    <xf numFmtId="168" fontId="11" fillId="20" borderId="223" xfId="13" applyNumberFormat="1" applyFont="1" applyFill="1" applyBorder="1" applyAlignment="1">
      <alignment vertical="center"/>
    </xf>
    <xf numFmtId="168" fontId="11" fillId="20" borderId="224" xfId="13" applyNumberFormat="1" applyFont="1" applyFill="1" applyBorder="1" applyAlignment="1">
      <alignment vertical="center"/>
    </xf>
    <xf numFmtId="41" fontId="11" fillId="41" borderId="223" xfId="31" applyFont="1" applyFill="1" applyBorder="1" applyAlignment="1" applyProtection="1">
      <alignment vertical="center"/>
      <protection locked="0"/>
    </xf>
    <xf numFmtId="175" fontId="19" fillId="0" borderId="227" xfId="0" applyNumberFormat="1" applyFont="1" applyBorder="1" applyAlignment="1">
      <alignment horizontal="left"/>
    </xf>
    <xf numFmtId="168" fontId="11" fillId="27" borderId="228" xfId="13" applyNumberFormat="1" applyFont="1" applyFill="1" applyBorder="1" applyAlignment="1">
      <alignment vertical="center"/>
    </xf>
    <xf numFmtId="0" fontId="13" fillId="30" borderId="229" xfId="0" applyFont="1" applyFill="1" applyBorder="1" applyAlignment="1">
      <alignment horizontal="center" vertical="center" wrapText="1"/>
    </xf>
    <xf numFmtId="0" fontId="13" fillId="31" borderId="230" xfId="0" applyFont="1" applyFill="1" applyBorder="1" applyAlignment="1">
      <alignment vertical="center"/>
    </xf>
    <xf numFmtId="167" fontId="13" fillId="31" borderId="231" xfId="13" applyNumberFormat="1" applyFont="1" applyFill="1" applyBorder="1" applyAlignment="1">
      <alignment vertical="center"/>
    </xf>
    <xf numFmtId="0" fontId="13" fillId="17" borderId="192" xfId="0" applyFont="1" applyFill="1" applyBorder="1" applyAlignment="1" applyProtection="1">
      <alignment horizontal="center" vertical="center" wrapText="1"/>
    </xf>
    <xf numFmtId="174" fontId="13" fillId="17" borderId="192" xfId="12" applyNumberFormat="1" applyFont="1" applyFill="1" applyBorder="1" applyAlignment="1" applyProtection="1">
      <alignment horizontal="center" vertical="center" wrapText="1"/>
    </xf>
    <xf numFmtId="0" fontId="11" fillId="17" borderId="192" xfId="0" applyFont="1" applyFill="1" applyBorder="1" applyAlignment="1" applyProtection="1">
      <alignment horizontal="center" vertical="center"/>
    </xf>
    <xf numFmtId="176" fontId="14" fillId="28" borderId="208" xfId="12" applyNumberFormat="1" applyFont="1" applyFill="1" applyBorder="1"/>
    <xf numFmtId="0" fontId="11" fillId="20" borderId="238" xfId="0" applyFont="1" applyFill="1" applyBorder="1" applyAlignment="1">
      <alignment horizontal="left" vertical="center"/>
    </xf>
    <xf numFmtId="168" fontId="11" fillId="20" borderId="239" xfId="13" applyNumberFormat="1" applyFont="1" applyFill="1" applyBorder="1" applyAlignment="1">
      <alignment horizontal="center" vertical="center"/>
    </xf>
    <xf numFmtId="168" fontId="11" fillId="54" borderId="239" xfId="13" applyNumberFormat="1" applyFont="1" applyFill="1" applyBorder="1" applyAlignment="1">
      <alignment vertical="center"/>
    </xf>
    <xf numFmtId="168" fontId="13" fillId="41" borderId="239" xfId="13" applyNumberFormat="1" applyFont="1" applyFill="1" applyBorder="1" applyAlignment="1">
      <alignment vertical="center"/>
    </xf>
    <xf numFmtId="175" fontId="19" fillId="0" borderId="238" xfId="0" applyNumberFormat="1" applyFont="1" applyBorder="1" applyAlignment="1">
      <alignment horizontal="left"/>
    </xf>
    <xf numFmtId="168" fontId="0" fillId="46" borderId="239" xfId="13" applyNumberFormat="1" applyFont="1" applyFill="1" applyBorder="1" applyAlignment="1">
      <alignment vertical="center"/>
    </xf>
    <xf numFmtId="168" fontId="19" fillId="28" borderId="239" xfId="13" applyNumberFormat="1" applyFont="1" applyFill="1" applyBorder="1" applyAlignment="1">
      <alignment vertical="center"/>
    </xf>
    <xf numFmtId="176" fontId="19" fillId="28" borderId="239" xfId="12" applyNumberFormat="1" applyFont="1" applyFill="1" applyBorder="1" applyAlignment="1">
      <alignment vertical="center"/>
    </xf>
    <xf numFmtId="168" fontId="11" fillId="27" borderId="240" xfId="13" applyNumberFormat="1" applyFont="1" applyFill="1" applyBorder="1" applyAlignment="1">
      <alignment vertical="center"/>
    </xf>
    <xf numFmtId="168" fontId="0" fillId="12" borderId="239" xfId="13" applyNumberFormat="1" applyFont="1" applyFill="1" applyBorder="1" applyAlignment="1" applyProtection="1">
      <alignment vertical="center"/>
      <protection locked="0"/>
    </xf>
    <xf numFmtId="168" fontId="19" fillId="12" borderId="239" xfId="13" applyNumberFormat="1" applyFont="1" applyFill="1" applyBorder="1" applyAlignment="1" applyProtection="1">
      <alignment vertical="center"/>
      <protection locked="0"/>
    </xf>
    <xf numFmtId="176" fontId="19" fillId="12" borderId="239" xfId="12" applyNumberFormat="1" applyFont="1" applyFill="1" applyBorder="1" applyAlignment="1" applyProtection="1">
      <alignment vertical="center"/>
      <protection locked="0"/>
    </xf>
    <xf numFmtId="175" fontId="30" fillId="0" borderId="238" xfId="0" applyNumberFormat="1" applyFont="1" applyBorder="1" applyAlignment="1">
      <alignment horizontal="left"/>
    </xf>
    <xf numFmtId="0" fontId="13" fillId="21" borderId="241" xfId="0" applyFont="1" applyFill="1" applyBorder="1" applyAlignment="1">
      <alignment horizontal="center" vertical="center"/>
    </xf>
    <xf numFmtId="0" fontId="11" fillId="23" borderId="238" xfId="0" applyFont="1" applyFill="1" applyBorder="1" applyAlignment="1">
      <alignment horizontal="left" vertical="center"/>
    </xf>
    <xf numFmtId="168" fontId="11" fillId="55" borderId="239" xfId="13" applyNumberFormat="1" applyFont="1" applyFill="1" applyBorder="1" applyAlignment="1">
      <alignment vertical="center"/>
    </xf>
    <xf numFmtId="168" fontId="11" fillId="20" borderId="242" xfId="13" applyNumberFormat="1" applyFont="1" applyFill="1" applyBorder="1" applyAlignment="1">
      <alignment horizontal="center" vertical="center"/>
    </xf>
    <xf numFmtId="176" fontId="14" fillId="12" borderId="239" xfId="12" applyNumberFormat="1" applyFill="1" applyBorder="1" applyProtection="1">
      <protection locked="0"/>
    </xf>
    <xf numFmtId="168" fontId="19" fillId="56" borderId="239" xfId="13" applyNumberFormat="1" applyFont="1" applyFill="1" applyBorder="1" applyAlignment="1">
      <alignment vertical="center"/>
    </xf>
    <xf numFmtId="176" fontId="14" fillId="56" borderId="239" xfId="12" applyNumberFormat="1" applyFill="1" applyBorder="1"/>
    <xf numFmtId="168" fontId="11" fillId="20" borderId="239" xfId="13" applyNumberFormat="1" applyFont="1" applyFill="1" applyBorder="1" applyAlignment="1">
      <alignment vertical="center"/>
    </xf>
    <xf numFmtId="168" fontId="19" fillId="57" borderId="239" xfId="13" applyNumberFormat="1" applyFont="1" applyFill="1" applyBorder="1" applyAlignment="1">
      <alignment vertical="center"/>
    </xf>
    <xf numFmtId="176" fontId="14" fillId="28" borderId="239" xfId="12" applyNumberFormat="1" applyFill="1" applyBorder="1"/>
    <xf numFmtId="175" fontId="19" fillId="0" borderId="243" xfId="0" applyNumberFormat="1" applyFont="1" applyBorder="1" applyAlignment="1">
      <alignment horizontal="left"/>
    </xf>
    <xf numFmtId="168" fontId="11" fillId="27" borderId="244" xfId="13" applyNumberFormat="1" applyFont="1" applyFill="1" applyBorder="1" applyAlignment="1">
      <alignment vertical="center"/>
    </xf>
    <xf numFmtId="0" fontId="13" fillId="30" borderId="246" xfId="0" applyFont="1" applyFill="1" applyBorder="1" applyAlignment="1">
      <alignment horizontal="center" vertical="center" wrapText="1"/>
    </xf>
    <xf numFmtId="0" fontId="13" fillId="31" borderId="247" xfId="0" applyFont="1" applyFill="1" applyBorder="1" applyAlignment="1">
      <alignment vertical="center"/>
    </xf>
    <xf numFmtId="167" fontId="13" fillId="31" borderId="248" xfId="13" applyNumberFormat="1" applyFont="1" applyFill="1" applyBorder="1" applyAlignment="1">
      <alignment vertical="center"/>
    </xf>
    <xf numFmtId="168" fontId="11" fillId="23" borderId="239" xfId="13" applyNumberFormat="1" applyFont="1" applyFill="1" applyBorder="1" applyAlignment="1">
      <alignment horizontal="center" vertical="center"/>
    </xf>
    <xf numFmtId="168" fontId="13" fillId="43" borderId="250" xfId="13" applyNumberFormat="1" applyFont="1" applyFill="1" applyBorder="1" applyAlignment="1">
      <alignment horizontal="center" vertical="center"/>
    </xf>
    <xf numFmtId="0" fontId="13" fillId="43" borderId="250" xfId="0" applyFont="1" applyFill="1" applyBorder="1" applyAlignment="1">
      <alignment horizontal="center" vertical="center"/>
    </xf>
    <xf numFmtId="167" fontId="24" fillId="29" borderId="85" xfId="0" applyNumberFormat="1" applyFont="1" applyFill="1" applyBorder="1" applyAlignment="1">
      <alignment vertical="center"/>
    </xf>
    <xf numFmtId="0" fontId="13" fillId="17" borderId="192" xfId="0" applyFont="1" applyFill="1" applyBorder="1" applyAlignment="1">
      <alignment horizontal="center" vertical="center" wrapText="1"/>
    </xf>
    <xf numFmtId="174" fontId="13" fillId="17" borderId="192" xfId="12" applyNumberFormat="1" applyFont="1" applyFill="1" applyBorder="1" applyAlignment="1">
      <alignment horizontal="center" vertical="center" wrapText="1"/>
    </xf>
    <xf numFmtId="0" fontId="11" fillId="17" borderId="192" xfId="0" applyFont="1" applyFill="1" applyBorder="1" applyAlignment="1">
      <alignment horizontal="center" vertical="center"/>
    </xf>
    <xf numFmtId="168" fontId="0" fillId="28" borderId="203" xfId="13" applyNumberFormat="1" applyFont="1" applyFill="1" applyBorder="1" applyAlignment="1" applyProtection="1">
      <alignment vertical="center"/>
    </xf>
    <xf numFmtId="168" fontId="0" fillId="36" borderId="203" xfId="13" applyNumberFormat="1" applyFont="1" applyFill="1" applyBorder="1" applyAlignment="1" applyProtection="1">
      <alignment vertical="center"/>
    </xf>
    <xf numFmtId="168" fontId="0" fillId="0" borderId="203" xfId="13" applyNumberFormat="1" applyFont="1" applyFill="1" applyBorder="1" applyAlignment="1" applyProtection="1">
      <alignment vertical="center"/>
    </xf>
    <xf numFmtId="170" fontId="0" fillId="0" borderId="203" xfId="0" applyNumberFormat="1" applyFont="1" applyFill="1" applyBorder="1" applyAlignment="1" applyProtection="1">
      <alignment horizontal="center" vertical="center"/>
    </xf>
    <xf numFmtId="170" fontId="0" fillId="0" borderId="204" xfId="0" applyNumberFormat="1" applyFont="1" applyFill="1" applyBorder="1" applyAlignment="1" applyProtection="1">
      <alignment horizontal="center" vertical="center"/>
    </xf>
    <xf numFmtId="168" fontId="0" fillId="28" borderId="192" xfId="13" applyNumberFormat="1" applyFont="1" applyFill="1" applyBorder="1" applyAlignment="1" applyProtection="1">
      <alignment vertical="center"/>
    </xf>
    <xf numFmtId="168" fontId="0" fillId="0" borderId="192" xfId="13" applyNumberFormat="1" applyFont="1" applyFill="1" applyBorder="1" applyAlignment="1" applyProtection="1">
      <alignment vertical="center"/>
    </xf>
    <xf numFmtId="170" fontId="0" fillId="0" borderId="192" xfId="0" applyNumberFormat="1" applyFont="1" applyFill="1" applyBorder="1" applyAlignment="1" applyProtection="1">
      <alignment horizontal="center" vertical="center"/>
    </xf>
    <xf numFmtId="170" fontId="0" fillId="0" borderId="180" xfId="0" applyNumberFormat="1" applyFont="1" applyFill="1" applyBorder="1" applyAlignment="1" applyProtection="1">
      <alignment horizontal="center" vertical="center"/>
    </xf>
    <xf numFmtId="168" fontId="13" fillId="34" borderId="253" xfId="0" applyNumberFormat="1" applyFont="1" applyFill="1" applyBorder="1" applyAlignment="1" applyProtection="1">
      <alignment horizontal="center" vertical="center" wrapText="1"/>
    </xf>
    <xf numFmtId="168" fontId="13" fillId="15" borderId="253" xfId="0" applyNumberFormat="1" applyFont="1" applyFill="1" applyBorder="1" applyAlignment="1" applyProtection="1">
      <alignment horizontal="center" vertical="center" wrapText="1"/>
    </xf>
    <xf numFmtId="168" fontId="13" fillId="15" borderId="254" xfId="0" applyNumberFormat="1" applyFont="1" applyFill="1" applyBorder="1" applyAlignment="1" applyProtection="1">
      <alignment horizontal="center" vertical="center" wrapText="1"/>
    </xf>
    <xf numFmtId="167" fontId="0" fillId="0" borderId="256" xfId="13" applyNumberFormat="1" applyFont="1" applyFill="1" applyBorder="1" applyAlignment="1" applyProtection="1">
      <alignment vertical="center"/>
    </xf>
    <xf numFmtId="167" fontId="0" fillId="0" borderId="155" xfId="13" applyNumberFormat="1" applyFont="1" applyFill="1" applyBorder="1" applyAlignment="1" applyProtection="1">
      <alignment vertical="center"/>
    </xf>
    <xf numFmtId="167" fontId="0" fillId="0" borderId="258" xfId="13" applyNumberFormat="1" applyFont="1" applyFill="1" applyBorder="1" applyAlignment="1" applyProtection="1">
      <alignment vertical="center"/>
    </xf>
    <xf numFmtId="168" fontId="13" fillId="34" borderId="252" xfId="0" applyNumberFormat="1" applyFont="1" applyFill="1" applyBorder="1" applyAlignment="1" applyProtection="1">
      <alignment horizontal="center" vertical="center" wrapText="1"/>
    </xf>
    <xf numFmtId="168" fontId="13" fillId="34" borderId="254" xfId="0" applyNumberFormat="1" applyFont="1" applyFill="1" applyBorder="1" applyAlignment="1" applyProtection="1">
      <alignment horizontal="center" vertical="center" wrapText="1"/>
    </xf>
    <xf numFmtId="168" fontId="0" fillId="28" borderId="204" xfId="13" applyNumberFormat="1" applyFont="1" applyFill="1" applyBorder="1" applyAlignment="1" applyProtection="1">
      <alignment vertical="center"/>
    </xf>
    <xf numFmtId="168" fontId="0" fillId="28" borderId="194" xfId="13" applyNumberFormat="1" applyFont="1" applyFill="1" applyBorder="1" applyAlignment="1" applyProtection="1">
      <alignment vertical="center"/>
    </xf>
    <xf numFmtId="168" fontId="0" fillId="28" borderId="180" xfId="13" applyNumberFormat="1" applyFont="1" applyFill="1" applyBorder="1" applyAlignment="1" applyProtection="1">
      <alignment vertical="center"/>
    </xf>
    <xf numFmtId="168" fontId="0" fillId="61" borderId="251" xfId="13" applyNumberFormat="1" applyFont="1" applyFill="1" applyBorder="1" applyAlignment="1" applyProtection="1">
      <alignment vertical="center"/>
    </xf>
    <xf numFmtId="168" fontId="13" fillId="15" borderId="252" xfId="0" applyNumberFormat="1" applyFont="1" applyFill="1" applyBorder="1" applyAlignment="1" applyProtection="1">
      <alignment horizontal="center" vertical="center" wrapText="1"/>
    </xf>
    <xf numFmtId="168" fontId="0" fillId="36" borderId="204" xfId="13" applyNumberFormat="1" applyFont="1" applyFill="1" applyBorder="1" applyAlignment="1" applyProtection="1">
      <alignment vertical="center"/>
    </xf>
    <xf numFmtId="168" fontId="0" fillId="36" borderId="194" xfId="13" applyNumberFormat="1" applyFont="1" applyFill="1" applyBorder="1" applyAlignment="1" applyProtection="1">
      <alignment vertical="center"/>
    </xf>
    <xf numFmtId="168" fontId="0" fillId="0" borderId="204" xfId="13" applyNumberFormat="1" applyFont="1" applyFill="1" applyBorder="1" applyAlignment="1" applyProtection="1">
      <alignment vertical="center"/>
    </xf>
    <xf numFmtId="168" fontId="0" fillId="0" borderId="194" xfId="13" applyNumberFormat="1" applyFont="1" applyFill="1" applyBorder="1" applyAlignment="1" applyProtection="1">
      <alignment vertical="center"/>
    </xf>
    <xf numFmtId="168" fontId="0" fillId="0" borderId="255" xfId="13" applyNumberFormat="1" applyFont="1" applyFill="1" applyBorder="1" applyAlignment="1" applyProtection="1">
      <alignment vertical="center"/>
    </xf>
    <xf numFmtId="168" fontId="0" fillId="0" borderId="180" xfId="13" applyNumberFormat="1" applyFont="1" applyFill="1" applyBorder="1" applyAlignment="1" applyProtection="1">
      <alignment vertical="center"/>
    </xf>
    <xf numFmtId="168" fontId="13" fillId="34" borderId="259" xfId="0" applyNumberFormat="1" applyFont="1" applyFill="1" applyBorder="1" applyAlignment="1" applyProtection="1">
      <alignment horizontal="center" vertical="center" wrapText="1"/>
    </xf>
    <xf numFmtId="180" fontId="14" fillId="36" borderId="176" xfId="16" applyNumberFormat="1" applyFill="1" applyBorder="1" applyAlignment="1" applyProtection="1">
      <alignment horizontal="center" vertical="center"/>
    </xf>
    <xf numFmtId="180" fontId="14" fillId="36" borderId="117" xfId="16" applyNumberFormat="1" applyFill="1" applyBorder="1" applyAlignment="1" applyProtection="1">
      <alignment horizontal="center" vertical="center"/>
    </xf>
    <xf numFmtId="168" fontId="0" fillId="28" borderId="252" xfId="13" applyNumberFormat="1" applyFont="1" applyFill="1" applyBorder="1" applyAlignment="1" applyProtection="1">
      <alignment vertical="center"/>
    </xf>
    <xf numFmtId="168" fontId="0" fillId="28" borderId="253" xfId="13" applyNumberFormat="1" applyFont="1" applyFill="1" applyBorder="1" applyAlignment="1" applyProtection="1">
      <alignment vertical="center"/>
    </xf>
    <xf numFmtId="168" fontId="0" fillId="28" borderId="257" xfId="13" applyNumberFormat="1" applyFont="1" applyFill="1" applyBorder="1" applyAlignment="1" applyProtection="1">
      <alignment vertical="center"/>
    </xf>
    <xf numFmtId="168" fontId="0" fillId="28" borderId="154" xfId="13" applyNumberFormat="1" applyFont="1" applyFill="1" applyBorder="1" applyAlignment="1" applyProtection="1">
      <alignment vertical="center"/>
    </xf>
    <xf numFmtId="168" fontId="14" fillId="0" borderId="251" xfId="13" applyNumberFormat="1" applyFont="1" applyFill="1" applyBorder="1" applyAlignment="1" applyProtection="1">
      <alignment vertical="center"/>
    </xf>
    <xf numFmtId="173" fontId="0" fillId="0" borderId="251" xfId="12" applyNumberFormat="1" applyFont="1" applyFill="1" applyBorder="1" applyAlignment="1" applyProtection="1">
      <alignment vertical="center"/>
    </xf>
    <xf numFmtId="168" fontId="13" fillId="39" borderId="251" xfId="13" applyNumberFormat="1" applyFont="1" applyFill="1" applyBorder="1" applyAlignment="1" applyProtection="1">
      <alignment vertical="center"/>
    </xf>
    <xf numFmtId="168" fontId="14" fillId="1" borderId="251" xfId="13" applyNumberFormat="1" applyFont="1" applyFill="1" applyBorder="1" applyAlignment="1" applyProtection="1">
      <alignment vertical="center"/>
    </xf>
    <xf numFmtId="173" fontId="0" fillId="1" borderId="251" xfId="12" applyNumberFormat="1" applyFont="1" applyFill="1" applyBorder="1" applyAlignment="1" applyProtection="1">
      <alignment vertical="center"/>
    </xf>
    <xf numFmtId="168" fontId="0" fillId="0" borderId="251" xfId="13" applyNumberFormat="1" applyFont="1" applyFill="1" applyBorder="1" applyAlignment="1" applyProtection="1">
      <alignment vertical="center"/>
    </xf>
    <xf numFmtId="168" fontId="0" fillId="0" borderId="209" xfId="13" applyNumberFormat="1" applyFont="1" applyFill="1" applyBorder="1" applyAlignment="1" applyProtection="1">
      <alignment vertical="center"/>
    </xf>
    <xf numFmtId="178" fontId="0" fillId="46" borderId="256" xfId="13" applyNumberFormat="1" applyFont="1" applyFill="1" applyBorder="1" applyAlignment="1" applyProtection="1">
      <alignment vertical="center"/>
    </xf>
    <xf numFmtId="178" fontId="0" fillId="28" borderId="269" xfId="13" applyNumberFormat="1" applyFont="1" applyFill="1" applyBorder="1" applyAlignment="1" applyProtection="1">
      <alignment vertical="center"/>
    </xf>
    <xf numFmtId="0" fontId="0" fillId="46" borderId="204" xfId="0" applyFont="1" applyFill="1" applyBorder="1" applyAlignment="1" applyProtection="1">
      <alignment horizontal="left" vertical="center"/>
    </xf>
    <xf numFmtId="0" fontId="0" fillId="46" borderId="180" xfId="0" applyFont="1" applyFill="1" applyBorder="1" applyAlignment="1" applyProtection="1">
      <alignment horizontal="left" vertical="center"/>
    </xf>
    <xf numFmtId="181" fontId="14" fillId="12" borderId="208" xfId="13" applyNumberFormat="1" applyFill="1" applyBorder="1"/>
    <xf numFmtId="181" fontId="14" fillId="12" borderId="249" xfId="13" applyNumberFormat="1" applyFill="1" applyBorder="1"/>
    <xf numFmtId="168" fontId="0" fillId="64" borderId="239" xfId="13" applyNumberFormat="1" applyFont="1" applyFill="1" applyBorder="1" applyAlignment="1">
      <alignment vertical="center"/>
    </xf>
    <xf numFmtId="168" fontId="0" fillId="64" borderId="208" xfId="13" applyNumberFormat="1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16" borderId="115" xfId="0" applyFont="1" applyFill="1" applyBorder="1" applyAlignment="1" applyProtection="1">
      <alignment horizontal="center" vertical="center" wrapText="1"/>
    </xf>
    <xf numFmtId="0" fontId="1" fillId="43" borderId="0" xfId="34" applyFill="1"/>
    <xf numFmtId="0" fontId="36" fillId="63" borderId="272" xfId="34" applyFont="1" applyFill="1" applyBorder="1" applyAlignment="1">
      <alignment horizontal="center" vertical="center"/>
    </xf>
    <xf numFmtId="0" fontId="36" fillId="65" borderId="272" xfId="34" applyFont="1" applyFill="1" applyBorder="1" applyAlignment="1">
      <alignment horizontal="center" vertical="center" wrapText="1"/>
    </xf>
    <xf numFmtId="0" fontId="36" fillId="43" borderId="0" xfId="34" applyFont="1" applyFill="1" applyAlignment="1">
      <alignment horizontal="right"/>
    </xf>
    <xf numFmtId="1" fontId="37" fillId="43" borderId="272" xfId="35" applyNumberFormat="1" applyFont="1" applyFill="1" applyBorder="1" applyAlignment="1">
      <alignment horizontal="center" vertical="center"/>
    </xf>
    <xf numFmtId="1" fontId="37" fillId="43" borderId="0" xfId="35" applyNumberFormat="1" applyFont="1" applyFill="1" applyBorder="1" applyAlignment="1">
      <alignment horizontal="center" vertical="center"/>
    </xf>
    <xf numFmtId="0" fontId="36" fillId="48" borderId="0" xfId="34" applyFont="1" applyFill="1" applyAlignment="1">
      <alignment horizontal="left" vertical="center" indent="1"/>
    </xf>
    <xf numFmtId="0" fontId="1" fillId="43" borderId="0" xfId="34" applyFill="1" applyAlignment="1">
      <alignment horizontal="left" indent="2"/>
    </xf>
    <xf numFmtId="186" fontId="1" fillId="43" borderId="0" xfId="34" applyNumberFormat="1" applyFill="1"/>
    <xf numFmtId="186" fontId="36" fillId="43" borderId="0" xfId="34" applyNumberFormat="1" applyFont="1" applyFill="1"/>
    <xf numFmtId="0" fontId="36" fillId="63" borderId="268" xfId="34" applyFont="1" applyFill="1" applyBorder="1" applyAlignment="1">
      <alignment horizontal="left" indent="2"/>
    </xf>
    <xf numFmtId="186" fontId="36" fillId="63" borderId="268" xfId="34" applyNumberFormat="1" applyFont="1" applyFill="1" applyBorder="1"/>
    <xf numFmtId="168" fontId="13" fillId="34" borderId="41" xfId="0" applyNumberFormat="1" applyFont="1" applyFill="1" applyBorder="1" applyAlignment="1" applyProtection="1">
      <alignment horizontal="center" vertical="center" wrapText="1"/>
    </xf>
    <xf numFmtId="179" fontId="0" fillId="12" borderId="256" xfId="13" applyNumberFormat="1" applyFont="1" applyFill="1" applyBorder="1" applyAlignment="1" applyProtection="1">
      <alignment horizontal="center" vertical="center"/>
      <protection locked="0"/>
    </xf>
    <xf numFmtId="179" fontId="0" fillId="12" borderId="50" xfId="13" applyNumberFormat="1" applyFont="1" applyFill="1" applyBorder="1" applyAlignment="1" applyProtection="1">
      <alignment horizontal="center" vertical="center"/>
      <protection locked="0"/>
    </xf>
    <xf numFmtId="179" fontId="0" fillId="12" borderId="193" xfId="13" applyNumberFormat="1" applyFont="1" applyFill="1" applyBorder="1" applyAlignment="1" applyProtection="1">
      <alignment horizontal="center" vertical="center"/>
      <protection locked="0"/>
    </xf>
    <xf numFmtId="168" fontId="13" fillId="34" borderId="61" xfId="0" applyNumberFormat="1" applyFont="1" applyFill="1" applyBorder="1" applyAlignment="1" applyProtection="1">
      <alignment horizontal="center" vertical="center" wrapText="1"/>
    </xf>
    <xf numFmtId="179" fontId="0" fillId="12" borderId="269" xfId="13" applyNumberFormat="1" applyFont="1" applyFill="1" applyBorder="1" applyAlignment="1" applyProtection="1">
      <alignment horizontal="center" vertical="center"/>
      <protection locked="0"/>
    </xf>
    <xf numFmtId="179" fontId="0" fillId="12" borderId="36" xfId="13" applyNumberFormat="1" applyFont="1" applyFill="1" applyBorder="1" applyAlignment="1" applyProtection="1">
      <alignment horizontal="center" vertical="center"/>
      <protection locked="0"/>
    </xf>
    <xf numFmtId="179" fontId="0" fillId="12" borderId="117" xfId="13" applyNumberFormat="1" applyFont="1" applyFill="1" applyBorder="1" applyAlignment="1" applyProtection="1">
      <alignment horizontal="center" vertical="center"/>
      <protection locked="0"/>
    </xf>
    <xf numFmtId="0" fontId="0" fillId="0" borderId="275" xfId="0" applyFont="1" applyFill="1" applyBorder="1" applyAlignment="1" applyProtection="1">
      <alignment horizontal="left" vertical="center"/>
    </xf>
    <xf numFmtId="0" fontId="0" fillId="0" borderId="77" xfId="0" applyFont="1" applyFill="1" applyBorder="1" applyAlignment="1" applyProtection="1">
      <alignment horizontal="left" vertical="center"/>
    </xf>
    <xf numFmtId="0" fontId="0" fillId="0" borderId="131" xfId="0" applyFont="1" applyFill="1" applyBorder="1" applyAlignment="1" applyProtection="1">
      <alignment horizontal="left" vertical="center"/>
    </xf>
    <xf numFmtId="179" fontId="13" fillId="28" borderId="275" xfId="0" applyNumberFormat="1" applyFont="1" applyFill="1" applyBorder="1" applyAlignment="1" applyProtection="1">
      <alignment horizontal="center" vertical="center"/>
    </xf>
    <xf numFmtId="179" fontId="13" fillId="28" borderId="77" xfId="0" applyNumberFormat="1" applyFont="1" applyFill="1" applyBorder="1" applyAlignment="1" applyProtection="1">
      <alignment horizontal="center" vertical="center"/>
    </xf>
    <xf numFmtId="179" fontId="13" fillId="28" borderId="131" xfId="0" applyNumberFormat="1" applyFont="1" applyFill="1" applyBorder="1" applyAlignment="1" applyProtection="1">
      <alignment horizontal="center" vertical="center"/>
    </xf>
    <xf numFmtId="179" fontId="13" fillId="63" borderId="64" xfId="0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170" fontId="0" fillId="46" borderId="85" xfId="13" applyNumberFormat="1" applyFont="1" applyFill="1" applyBorder="1" applyAlignment="1" applyProtection="1">
      <alignment horizontal="center" vertical="center"/>
    </xf>
    <xf numFmtId="178" fontId="0" fillId="28" borderId="85" xfId="13" applyNumberFormat="1" applyFont="1" applyFill="1" applyBorder="1" applyAlignment="1" applyProtection="1">
      <alignment vertical="center"/>
    </xf>
    <xf numFmtId="0" fontId="0" fillId="46" borderId="256" xfId="0" applyFont="1" applyFill="1" applyBorder="1" applyAlignment="1" applyProtection="1">
      <alignment horizontal="left" vertical="center"/>
    </xf>
    <xf numFmtId="178" fontId="0" fillId="46" borderId="202" xfId="13" applyNumberFormat="1" applyFont="1" applyFill="1" applyBorder="1" applyAlignment="1" applyProtection="1">
      <alignment vertical="center"/>
    </xf>
    <xf numFmtId="178" fontId="0" fillId="46" borderId="203" xfId="13" applyNumberFormat="1" applyFont="1" applyFill="1" applyBorder="1" applyAlignment="1" applyProtection="1">
      <alignment vertical="center"/>
    </xf>
    <xf numFmtId="170" fontId="0" fillId="46" borderId="203" xfId="13" applyNumberFormat="1" applyFont="1" applyFill="1" applyBorder="1" applyAlignment="1" applyProtection="1">
      <alignment horizontal="center" vertical="center"/>
    </xf>
    <xf numFmtId="178" fontId="0" fillId="28" borderId="203" xfId="13" applyNumberFormat="1" applyFont="1" applyFill="1" applyBorder="1" applyAlignment="1" applyProtection="1">
      <alignment vertical="center"/>
    </xf>
    <xf numFmtId="178" fontId="0" fillId="28" borderId="204" xfId="13" applyNumberFormat="1" applyFont="1" applyFill="1" applyBorder="1" applyAlignment="1" applyProtection="1">
      <alignment vertical="center"/>
    </xf>
    <xf numFmtId="0" fontId="0" fillId="46" borderId="193" xfId="0" applyFont="1" applyFill="1" applyBorder="1" applyAlignment="1" applyProtection="1">
      <alignment horizontal="left" vertical="center"/>
    </xf>
    <xf numFmtId="178" fontId="0" fillId="46" borderId="194" xfId="13" applyNumberFormat="1" applyFont="1" applyFill="1" applyBorder="1" applyAlignment="1" applyProtection="1">
      <alignment vertical="center"/>
    </xf>
    <xf numFmtId="178" fontId="0" fillId="46" borderId="269" xfId="13" applyNumberFormat="1" applyFont="1" applyFill="1" applyBorder="1" applyAlignment="1" applyProtection="1">
      <alignment vertical="center"/>
    </xf>
    <xf numFmtId="178" fontId="0" fillId="46" borderId="117" xfId="13" applyNumberFormat="1" applyFont="1" applyFill="1" applyBorder="1" applyAlignment="1" applyProtection="1">
      <alignment vertical="center"/>
    </xf>
    <xf numFmtId="178" fontId="0" fillId="46" borderId="192" xfId="13" applyNumberFormat="1" applyFont="1" applyFill="1" applyBorder="1" applyAlignment="1" applyProtection="1">
      <alignment vertical="center"/>
    </xf>
    <xf numFmtId="178" fontId="0" fillId="46" borderId="193" xfId="13" applyNumberFormat="1" applyFont="1" applyFill="1" applyBorder="1" applyAlignment="1" applyProtection="1">
      <alignment vertical="center"/>
    </xf>
    <xf numFmtId="170" fontId="0" fillId="46" borderId="192" xfId="13" applyNumberFormat="1" applyFont="1" applyFill="1" applyBorder="1" applyAlignment="1" applyProtection="1">
      <alignment horizontal="center" vertical="center"/>
    </xf>
    <xf numFmtId="178" fontId="0" fillId="28" borderId="192" xfId="13" applyNumberFormat="1" applyFont="1" applyFill="1" applyBorder="1" applyAlignment="1" applyProtection="1">
      <alignment vertical="center"/>
    </xf>
    <xf numFmtId="178" fontId="0" fillId="28" borderId="180" xfId="13" applyNumberFormat="1" applyFont="1" applyFill="1" applyBorder="1" applyAlignment="1" applyProtection="1">
      <alignment vertical="center"/>
    </xf>
    <xf numFmtId="178" fontId="0" fillId="51" borderId="268" xfId="13" applyNumberFormat="1" applyFont="1" applyFill="1" applyBorder="1" applyAlignment="1" applyProtection="1">
      <alignment vertical="center"/>
    </xf>
    <xf numFmtId="178" fontId="14" fillId="28" borderId="203" xfId="13" applyNumberFormat="1" applyFill="1" applyBorder="1" applyAlignment="1">
      <alignment vertical="center"/>
    </xf>
    <xf numFmtId="178" fontId="0" fillId="51" borderId="251" xfId="13" applyNumberFormat="1" applyFont="1" applyFill="1" applyBorder="1" applyAlignment="1" applyProtection="1">
      <alignment vertical="center"/>
    </xf>
    <xf numFmtId="168" fontId="13" fillId="34" borderId="266" xfId="0" applyNumberFormat="1" applyFont="1" applyFill="1" applyBorder="1" applyAlignment="1" applyProtection="1">
      <alignment horizontal="center" vertical="center" wrapText="1"/>
    </xf>
    <xf numFmtId="168" fontId="13" fillId="34" borderId="276" xfId="0" applyNumberFormat="1" applyFont="1" applyFill="1" applyBorder="1" applyAlignment="1" applyProtection="1">
      <alignment horizontal="center" vertical="center" wrapText="1"/>
    </xf>
    <xf numFmtId="168" fontId="13" fillId="15" borderId="277" xfId="0" applyNumberFormat="1" applyFont="1" applyFill="1" applyBorder="1" applyAlignment="1" applyProtection="1">
      <alignment horizontal="center" vertical="center" wrapText="1"/>
    </xf>
    <xf numFmtId="168" fontId="13" fillId="15" borderId="27" xfId="0" applyNumberFormat="1" applyFont="1" applyFill="1" applyBorder="1" applyAlignment="1" applyProtection="1">
      <alignment horizontal="center" vertical="center" wrapText="1"/>
    </xf>
    <xf numFmtId="168" fontId="13" fillId="15" borderId="276" xfId="0" applyNumberFormat="1" applyFont="1" applyFill="1" applyBorder="1" applyAlignment="1" applyProtection="1">
      <alignment horizontal="center" vertical="center" wrapText="1"/>
    </xf>
    <xf numFmtId="168" fontId="13" fillId="15" borderId="278" xfId="0" applyNumberFormat="1" applyFont="1" applyFill="1" applyBorder="1" applyAlignment="1" applyProtection="1">
      <alignment horizontal="center" vertical="center" wrapText="1"/>
    </xf>
    <xf numFmtId="170" fontId="0" fillId="12" borderId="202" xfId="13" applyNumberFormat="1" applyFont="1" applyFill="1" applyBorder="1" applyAlignment="1" applyProtection="1">
      <alignment horizontal="center" vertical="center"/>
      <protection locked="0"/>
    </xf>
    <xf numFmtId="170" fontId="0" fillId="46" borderId="204" xfId="13" applyNumberFormat="1" applyFont="1" applyFill="1" applyBorder="1" applyAlignment="1" applyProtection="1">
      <alignment horizontal="center" vertical="center"/>
    </xf>
    <xf numFmtId="170" fontId="0" fillId="12" borderId="194" xfId="13" applyNumberFormat="1" applyFont="1" applyFill="1" applyBorder="1" applyAlignment="1" applyProtection="1">
      <alignment horizontal="center" vertical="center"/>
      <protection locked="0"/>
    </xf>
    <xf numFmtId="170" fontId="0" fillId="46" borderId="180" xfId="13" applyNumberFormat="1" applyFont="1" applyFill="1" applyBorder="1" applyAlignment="1" applyProtection="1">
      <alignment horizontal="center" vertical="center"/>
    </xf>
    <xf numFmtId="168" fontId="13" fillId="34" borderId="137" xfId="0" applyNumberFormat="1" applyFont="1" applyFill="1" applyBorder="1" applyAlignment="1" applyProtection="1">
      <alignment horizontal="center" vertical="center" wrapText="1"/>
    </xf>
    <xf numFmtId="178" fontId="0" fillId="28" borderId="271" xfId="13" applyNumberFormat="1" applyFont="1" applyFill="1" applyBorder="1" applyAlignment="1" applyProtection="1">
      <alignment vertical="center"/>
    </xf>
    <xf numFmtId="178" fontId="14" fillId="28" borderId="117" xfId="13" applyNumberFormat="1" applyFont="1" applyFill="1" applyBorder="1" applyAlignment="1" applyProtection="1">
      <alignment vertical="center"/>
    </xf>
    <xf numFmtId="168" fontId="13" fillId="15" borderId="260" xfId="0" applyNumberFormat="1" applyFont="1" applyFill="1" applyBorder="1" applyAlignment="1" applyProtection="1">
      <alignment horizontal="center" vertical="center" wrapText="1"/>
    </xf>
    <xf numFmtId="168" fontId="13" fillId="15" borderId="259" xfId="0" applyNumberFormat="1" applyFont="1" applyFill="1" applyBorder="1" applyAlignment="1" applyProtection="1">
      <alignment horizontal="center" vertical="center" wrapText="1"/>
    </xf>
    <xf numFmtId="170" fontId="0" fillId="12" borderId="209" xfId="13" applyNumberFormat="1" applyFont="1" applyFill="1" applyBorder="1" applyAlignment="1" applyProtection="1">
      <alignment horizontal="center" vertical="center"/>
      <protection locked="0"/>
    </xf>
    <xf numFmtId="0" fontId="0" fillId="46" borderId="270" xfId="0" applyFont="1" applyFill="1" applyBorder="1" applyAlignment="1" applyProtection="1">
      <alignment horizontal="left" vertical="center"/>
    </xf>
    <xf numFmtId="168" fontId="13" fillId="34" borderId="260" xfId="0" applyNumberFormat="1" applyFont="1" applyFill="1" applyBorder="1" applyAlignment="1" applyProtection="1">
      <alignment horizontal="center" vertical="center" wrapText="1"/>
    </xf>
    <xf numFmtId="168" fontId="13" fillId="34" borderId="278" xfId="0" applyNumberFormat="1" applyFont="1" applyFill="1" applyBorder="1" applyAlignment="1" applyProtection="1">
      <alignment horizontal="center" vertical="center" wrapText="1"/>
    </xf>
    <xf numFmtId="178" fontId="14" fillId="28" borderId="202" xfId="13" applyNumberFormat="1" applyFill="1" applyBorder="1" applyAlignment="1">
      <alignment vertical="center"/>
    </xf>
    <xf numFmtId="178" fontId="14" fillId="28" borderId="204" xfId="13" applyNumberFormat="1" applyFill="1" applyBorder="1" applyAlignment="1">
      <alignment vertical="center"/>
    </xf>
    <xf numFmtId="178" fontId="14" fillId="28" borderId="209" xfId="13" applyNumberFormat="1" applyFill="1" applyBorder="1" applyAlignment="1">
      <alignment vertical="center"/>
    </xf>
    <xf numFmtId="178" fontId="14" fillId="46" borderId="194" xfId="13" applyNumberFormat="1" applyFont="1" applyFill="1" applyBorder="1" applyAlignment="1">
      <alignment vertical="center"/>
    </xf>
    <xf numFmtId="178" fontId="14" fillId="46" borderId="192" xfId="13" applyNumberFormat="1" applyFont="1" applyFill="1" applyBorder="1" applyAlignment="1">
      <alignment vertical="center"/>
    </xf>
    <xf numFmtId="178" fontId="14" fillId="46" borderId="180" xfId="13" applyNumberFormat="1" applyFont="1" applyFill="1" applyBorder="1" applyAlignment="1">
      <alignment vertical="center"/>
    </xf>
    <xf numFmtId="178" fontId="0" fillId="28" borderId="262" xfId="13" applyNumberFormat="1" applyFont="1" applyFill="1" applyBorder="1" applyAlignment="1" applyProtection="1">
      <alignment vertical="center"/>
    </xf>
    <xf numFmtId="170" fontId="0" fillId="12" borderId="261" xfId="13" applyNumberFormat="1" applyFont="1" applyFill="1" applyBorder="1" applyAlignment="1" applyProtection="1">
      <alignment horizontal="center" vertical="center"/>
      <protection locked="0"/>
    </xf>
    <xf numFmtId="175" fontId="19" fillId="0" borderId="212" xfId="0" applyNumberFormat="1" applyFont="1" applyBorder="1" applyAlignment="1">
      <alignment horizontal="left" vertical="center"/>
    </xf>
    <xf numFmtId="176" fontId="14" fillId="56" borderId="208" xfId="12" applyNumberFormat="1" applyFill="1" applyBorder="1" applyAlignment="1">
      <alignment vertical="center"/>
    </xf>
    <xf numFmtId="168" fontId="0" fillId="28" borderId="208" xfId="13" applyNumberFormat="1" applyFont="1" applyFill="1" applyBorder="1" applyAlignment="1" applyProtection="1">
      <alignment vertical="center"/>
    </xf>
    <xf numFmtId="176" fontId="14" fillId="28" borderId="208" xfId="12" applyNumberFormat="1" applyFill="1" applyBorder="1" applyProtection="1"/>
    <xf numFmtId="168" fontId="0" fillId="28" borderId="223" xfId="13" applyNumberFormat="1" applyFont="1" applyFill="1" applyBorder="1" applyAlignment="1" applyProtection="1">
      <alignment vertical="center"/>
    </xf>
    <xf numFmtId="41" fontId="19" fillId="28" borderId="223" xfId="31" applyFont="1" applyFill="1" applyBorder="1" applyAlignment="1" applyProtection="1">
      <alignment vertical="center"/>
    </xf>
    <xf numFmtId="168" fontId="0" fillId="28" borderId="239" xfId="13" applyNumberFormat="1" applyFont="1" applyFill="1" applyBorder="1" applyAlignment="1" applyProtection="1">
      <alignment vertical="center"/>
    </xf>
    <xf numFmtId="176" fontId="14" fillId="28" borderId="239" xfId="12" applyNumberFormat="1" applyFill="1" applyBorder="1" applyProtection="1"/>
    <xf numFmtId="0" fontId="10" fillId="48" borderId="193" xfId="0" applyFont="1" applyFill="1" applyBorder="1" applyAlignment="1" applyProtection="1">
      <alignment horizontal="center" vertical="center"/>
    </xf>
    <xf numFmtId="177" fontId="0" fillId="0" borderId="256" xfId="0" applyNumberFormat="1" applyFont="1" applyFill="1" applyBorder="1" applyAlignment="1" applyProtection="1">
      <alignment horizontal="right" vertical="center"/>
    </xf>
    <xf numFmtId="177" fontId="0" fillId="0" borderId="270" xfId="0" applyNumberFormat="1" applyFont="1" applyFill="1" applyBorder="1" applyAlignment="1" applyProtection="1">
      <alignment horizontal="right" vertical="center"/>
    </xf>
    <xf numFmtId="177" fontId="0" fillId="0" borderId="193" xfId="0" applyNumberFormat="1" applyFont="1" applyFill="1" applyBorder="1" applyAlignment="1" applyProtection="1">
      <alignment horizontal="right" vertical="center"/>
    </xf>
    <xf numFmtId="9" fontId="0" fillId="25" borderId="275" xfId="0" applyNumberFormat="1" applyFont="1" applyFill="1" applyBorder="1" applyAlignment="1" applyProtection="1">
      <alignment horizontal="center" vertical="center"/>
    </xf>
    <xf numFmtId="9" fontId="0" fillId="25" borderId="130" xfId="0" applyNumberFormat="1" applyFont="1" applyFill="1" applyBorder="1" applyAlignment="1" applyProtection="1">
      <alignment horizontal="center" vertical="center"/>
    </xf>
    <xf numFmtId="9" fontId="0" fillId="25" borderId="131" xfId="0" applyNumberFormat="1" applyFont="1" applyFill="1" applyBorder="1" applyAlignment="1" applyProtection="1">
      <alignment horizontal="center" vertical="center"/>
    </xf>
    <xf numFmtId="168" fontId="0" fillId="28" borderId="261" xfId="13" applyNumberFormat="1" applyFont="1" applyFill="1" applyBorder="1" applyAlignment="1" applyProtection="1">
      <alignment vertical="center"/>
    </xf>
    <xf numFmtId="168" fontId="0" fillId="28" borderId="85" xfId="13" applyNumberFormat="1" applyFont="1" applyFill="1" applyBorder="1" applyAlignment="1" applyProtection="1">
      <alignment vertical="center"/>
    </xf>
    <xf numFmtId="168" fontId="0" fillId="28" borderId="202" xfId="13" applyNumberFormat="1" applyFont="1" applyFill="1" applyBorder="1" applyAlignment="1" applyProtection="1">
      <alignment vertical="center"/>
    </xf>
    <xf numFmtId="168" fontId="0" fillId="28" borderId="256" xfId="13" applyNumberFormat="1" applyFont="1" applyFill="1" applyBorder="1" applyAlignment="1" applyProtection="1">
      <alignment vertical="center"/>
    </xf>
    <xf numFmtId="168" fontId="0" fillId="28" borderId="193" xfId="13" applyNumberFormat="1" applyFont="1" applyFill="1" applyBorder="1" applyAlignment="1" applyProtection="1">
      <alignment vertical="center"/>
    </xf>
    <xf numFmtId="168" fontId="0" fillId="0" borderId="269" xfId="13" applyNumberFormat="1" applyFont="1" applyFill="1" applyBorder="1" applyAlignment="1" applyProtection="1">
      <alignment vertical="center"/>
    </xf>
    <xf numFmtId="168" fontId="0" fillId="36" borderId="202" xfId="13" applyNumberFormat="1" applyFont="1" applyFill="1" applyBorder="1" applyAlignment="1" applyProtection="1">
      <alignment vertical="center"/>
    </xf>
    <xf numFmtId="168" fontId="0" fillId="36" borderId="192" xfId="13" applyNumberFormat="1" applyFont="1" applyFill="1" applyBorder="1" applyAlignment="1" applyProtection="1">
      <alignment vertical="center"/>
    </xf>
    <xf numFmtId="168" fontId="0" fillId="36" borderId="180" xfId="13" applyNumberFormat="1" applyFont="1" applyFill="1" applyBorder="1" applyAlignment="1" applyProtection="1">
      <alignment vertical="center"/>
    </xf>
    <xf numFmtId="168" fontId="0" fillId="36" borderId="256" xfId="13" applyNumberFormat="1" applyFont="1" applyFill="1" applyBorder="1" applyAlignment="1" applyProtection="1">
      <alignment vertical="center"/>
    </xf>
    <xf numFmtId="168" fontId="0" fillId="36" borderId="193" xfId="13" applyNumberFormat="1" applyFont="1" applyFill="1" applyBorder="1" applyAlignment="1" applyProtection="1">
      <alignment vertical="center"/>
    </xf>
    <xf numFmtId="170" fontId="0" fillId="0" borderId="269" xfId="0" applyNumberFormat="1" applyFont="1" applyFill="1" applyBorder="1" applyAlignment="1" applyProtection="1">
      <alignment horizontal="center" vertical="center"/>
    </xf>
    <xf numFmtId="170" fontId="0" fillId="0" borderId="117" xfId="0" applyNumberFormat="1" applyFont="1" applyFill="1" applyBorder="1" applyAlignment="1" applyProtection="1">
      <alignment horizontal="center" vertical="center"/>
    </xf>
    <xf numFmtId="168" fontId="0" fillId="0" borderId="268" xfId="13" applyNumberFormat="1" applyFont="1" applyFill="1" applyBorder="1" applyAlignment="1" applyProtection="1">
      <alignment vertical="center"/>
    </xf>
    <xf numFmtId="168" fontId="0" fillId="0" borderId="202" xfId="13" applyNumberFormat="1" applyFont="1" applyFill="1" applyBorder="1" applyAlignment="1" applyProtection="1">
      <alignment vertical="center"/>
    </xf>
    <xf numFmtId="168" fontId="0" fillId="0" borderId="256" xfId="13" applyNumberFormat="1" applyFont="1" applyFill="1" applyBorder="1" applyAlignment="1" applyProtection="1">
      <alignment vertical="center"/>
    </xf>
    <xf numFmtId="170" fontId="0" fillId="0" borderId="202" xfId="0" applyNumberFormat="1" applyFont="1" applyFill="1" applyBorder="1" applyAlignment="1" applyProtection="1">
      <alignment horizontal="center" vertical="center"/>
    </xf>
    <xf numFmtId="168" fontId="0" fillId="28" borderId="267" xfId="13" applyNumberFormat="1" applyFont="1" applyFill="1" applyBorder="1" applyAlignment="1" applyProtection="1">
      <alignment vertical="center"/>
    </xf>
    <xf numFmtId="168" fontId="0" fillId="36" borderId="261" xfId="13" applyNumberFormat="1" applyFont="1" applyFill="1" applyBorder="1" applyAlignment="1" applyProtection="1">
      <alignment vertical="center"/>
    </xf>
    <xf numFmtId="168" fontId="0" fillId="36" borderId="85" xfId="13" applyNumberFormat="1" applyFont="1" applyFill="1" applyBorder="1" applyAlignment="1" applyProtection="1">
      <alignment vertical="center"/>
    </xf>
    <xf numFmtId="168" fontId="0" fillId="36" borderId="209" xfId="13" applyNumberFormat="1" applyFont="1" applyFill="1" applyBorder="1" applyAlignment="1" applyProtection="1">
      <alignment vertical="center"/>
    </xf>
    <xf numFmtId="168" fontId="0" fillId="36" borderId="267" xfId="13" applyNumberFormat="1" applyFont="1" applyFill="1" applyBorder="1" applyAlignment="1" applyProtection="1">
      <alignment vertical="center"/>
    </xf>
    <xf numFmtId="168" fontId="0" fillId="0" borderId="36" xfId="13" applyNumberFormat="1" applyFont="1" applyFill="1" applyBorder="1" applyAlignment="1" applyProtection="1">
      <alignment vertical="center"/>
    </xf>
    <xf numFmtId="168" fontId="0" fillId="0" borderId="253" xfId="13" applyNumberFormat="1" applyFont="1" applyFill="1" applyBorder="1" applyAlignment="1" applyProtection="1">
      <alignment vertical="center"/>
    </xf>
    <xf numFmtId="168" fontId="0" fillId="0" borderId="257" xfId="13" applyNumberFormat="1" applyFont="1" applyFill="1" applyBorder="1" applyAlignment="1" applyProtection="1">
      <alignment vertical="center"/>
    </xf>
    <xf numFmtId="170" fontId="0" fillId="0" borderId="252" xfId="0" applyNumberFormat="1" applyFont="1" applyFill="1" applyBorder="1" applyAlignment="1" applyProtection="1">
      <alignment horizontal="center" vertical="center"/>
    </xf>
    <xf numFmtId="170" fontId="0" fillId="0" borderId="253" xfId="0" applyNumberFormat="1" applyFont="1" applyFill="1" applyBorder="1" applyAlignment="1" applyProtection="1">
      <alignment horizontal="center" vertical="center"/>
    </xf>
    <xf numFmtId="170" fontId="0" fillId="0" borderId="254" xfId="0" applyNumberFormat="1" applyFont="1" applyFill="1" applyBorder="1" applyAlignment="1" applyProtection="1">
      <alignment horizontal="center" vertical="center"/>
    </xf>
    <xf numFmtId="168" fontId="0" fillId="36" borderId="252" xfId="13" applyNumberFormat="1" applyFont="1" applyFill="1" applyBorder="1" applyAlignment="1" applyProtection="1">
      <alignment vertical="center"/>
    </xf>
    <xf numFmtId="168" fontId="0" fillId="36" borderId="253" xfId="13" applyNumberFormat="1" applyFont="1" applyFill="1" applyBorder="1" applyAlignment="1" applyProtection="1">
      <alignment vertical="center"/>
    </xf>
    <xf numFmtId="168" fontId="0" fillId="36" borderId="257" xfId="13" applyNumberFormat="1" applyFont="1" applyFill="1" applyBorder="1" applyAlignment="1" applyProtection="1">
      <alignment vertical="center"/>
    </xf>
    <xf numFmtId="168" fontId="0" fillId="0" borderId="252" xfId="13" applyNumberFormat="1" applyFont="1" applyFill="1" applyBorder="1" applyAlignment="1" applyProtection="1">
      <alignment vertical="center"/>
    </xf>
    <xf numFmtId="168" fontId="0" fillId="28" borderId="209" xfId="13" applyNumberFormat="1" applyFont="1" applyFill="1" applyBorder="1" applyAlignment="1" applyProtection="1">
      <alignment vertical="center"/>
    </xf>
    <xf numFmtId="170" fontId="0" fillId="0" borderId="271" xfId="0" applyNumberFormat="1" applyFont="1" applyFill="1" applyBorder="1" applyAlignment="1" applyProtection="1">
      <alignment horizontal="center" vertical="center"/>
    </xf>
    <xf numFmtId="168" fontId="0" fillId="61" borderId="268" xfId="13" applyNumberFormat="1" applyFont="1" applyFill="1" applyBorder="1" applyAlignment="1" applyProtection="1">
      <alignment vertical="center"/>
    </xf>
    <xf numFmtId="168" fontId="0" fillId="52" borderId="268" xfId="13" applyNumberFormat="1" applyFont="1" applyFill="1" applyBorder="1" applyAlignment="1" applyProtection="1">
      <alignment vertical="center"/>
    </xf>
    <xf numFmtId="168" fontId="0" fillId="52" borderId="270" xfId="13" applyNumberFormat="1" applyFont="1" applyFill="1" applyBorder="1" applyAlignment="1" applyProtection="1">
      <alignment vertical="center"/>
    </xf>
    <xf numFmtId="168" fontId="0" fillId="1" borderId="268" xfId="13" applyNumberFormat="1" applyFont="1" applyFill="1" applyBorder="1" applyAlignment="1" applyProtection="1">
      <alignment vertical="center"/>
    </xf>
    <xf numFmtId="168" fontId="0" fillId="1" borderId="251" xfId="13" applyNumberFormat="1" applyFont="1" applyFill="1" applyBorder="1" applyAlignment="1" applyProtection="1">
      <alignment vertical="center"/>
    </xf>
    <xf numFmtId="170" fontId="0" fillId="1" borderId="268" xfId="0" applyNumberFormat="1" applyFont="1" applyFill="1" applyBorder="1" applyAlignment="1" applyProtection="1">
      <alignment horizontal="center" vertical="center"/>
    </xf>
    <xf numFmtId="170" fontId="0" fillId="1" borderId="251" xfId="0" applyNumberFormat="1" applyFont="1" applyFill="1" applyBorder="1" applyAlignment="1" applyProtection="1">
      <alignment horizontal="center" vertical="center"/>
    </xf>
    <xf numFmtId="178" fontId="0" fillId="12" borderId="269" xfId="13" applyNumberFormat="1" applyFont="1" applyFill="1" applyBorder="1" applyAlignment="1" applyProtection="1">
      <alignment vertical="center"/>
      <protection locked="0"/>
    </xf>
    <xf numFmtId="178" fontId="0" fillId="12" borderId="271" xfId="13" applyNumberFormat="1" applyFont="1" applyFill="1" applyBorder="1" applyAlignment="1" applyProtection="1">
      <alignment vertical="center"/>
      <protection locked="0"/>
    </xf>
    <xf numFmtId="178" fontId="0" fillId="12" borderId="117" xfId="13" applyNumberFormat="1" applyFont="1" applyFill="1" applyBorder="1" applyAlignment="1" applyProtection="1">
      <alignment vertical="center"/>
      <protection locked="0"/>
    </xf>
    <xf numFmtId="178" fontId="0" fillId="12" borderId="85" xfId="13" applyNumberFormat="1" applyFont="1" applyFill="1" applyBorder="1" applyAlignment="1" applyProtection="1">
      <alignment vertical="center"/>
      <protection locked="0"/>
    </xf>
    <xf numFmtId="0" fontId="0" fillId="12" borderId="85" xfId="0" applyFont="1" applyFill="1" applyBorder="1" applyAlignment="1" applyProtection="1">
      <alignment horizontal="left" vertical="center"/>
      <protection locked="0"/>
    </xf>
    <xf numFmtId="0" fontId="0" fillId="12" borderId="267" xfId="0" applyFont="1" applyFill="1" applyBorder="1" applyAlignment="1" applyProtection="1">
      <alignment horizontal="left" vertical="center"/>
      <protection locked="0"/>
    </xf>
    <xf numFmtId="177" fontId="0" fillId="28" borderId="281" xfId="0" applyNumberFormat="1" applyFont="1" applyFill="1" applyBorder="1" applyAlignment="1" applyProtection="1">
      <alignment horizontal="right" vertical="center"/>
    </xf>
    <xf numFmtId="0" fontId="0" fillId="12" borderId="203" xfId="0" applyFont="1" applyFill="1" applyBorder="1" applyAlignment="1" applyProtection="1">
      <alignment horizontal="left" vertical="center"/>
      <protection locked="0"/>
    </xf>
    <xf numFmtId="0" fontId="0" fillId="12" borderId="256" xfId="0" applyFont="1" applyFill="1" applyBorder="1" applyAlignment="1" applyProtection="1">
      <alignment horizontal="left" vertical="center"/>
      <protection locked="0"/>
    </xf>
    <xf numFmtId="0" fontId="0" fillId="12" borderId="268" xfId="0" applyFont="1" applyFill="1" applyBorder="1" applyAlignment="1" applyProtection="1">
      <alignment horizontal="left" vertical="center"/>
      <protection locked="0"/>
    </xf>
    <xf numFmtId="0" fontId="0" fillId="12" borderId="270" xfId="0" applyFont="1" applyFill="1" applyBorder="1" applyAlignment="1" applyProtection="1">
      <alignment horizontal="left" vertical="center"/>
      <protection locked="0"/>
    </xf>
    <xf numFmtId="178" fontId="0" fillId="12" borderId="268" xfId="13" applyNumberFormat="1" applyFont="1" applyFill="1" applyBorder="1" applyAlignment="1" applyProtection="1">
      <alignment vertical="center"/>
      <protection locked="0"/>
    </xf>
    <xf numFmtId="0" fontId="0" fillId="12" borderId="253" xfId="0" applyFont="1" applyFill="1" applyBorder="1" applyAlignment="1" applyProtection="1">
      <alignment horizontal="left" vertical="center"/>
      <protection locked="0"/>
    </xf>
    <xf numFmtId="0" fontId="0" fillId="12" borderId="257" xfId="0" applyFont="1" applyFill="1" applyBorder="1" applyAlignment="1" applyProtection="1">
      <alignment horizontal="left" vertical="center"/>
      <protection locked="0"/>
    </xf>
    <xf numFmtId="177" fontId="0" fillId="28" borderId="21" xfId="0" applyNumberFormat="1" applyFont="1" applyFill="1" applyBorder="1" applyAlignment="1" applyProtection="1">
      <alignment horizontal="right" vertical="center"/>
    </xf>
    <xf numFmtId="178" fontId="0" fillId="12" borderId="253" xfId="13" applyNumberFormat="1" applyFont="1" applyFill="1" applyBorder="1" applyAlignment="1" applyProtection="1">
      <alignment vertical="center"/>
      <protection locked="0"/>
    </xf>
    <xf numFmtId="177" fontId="22" fillId="27" borderId="49" xfId="0" applyNumberFormat="1" applyFont="1" applyFill="1" applyBorder="1" applyAlignment="1" applyProtection="1">
      <alignment horizontal="center" vertical="center"/>
    </xf>
    <xf numFmtId="0" fontId="0" fillId="12" borderId="269" xfId="0" applyFont="1" applyFill="1" applyBorder="1" applyAlignment="1" applyProtection="1">
      <alignment horizontal="left" vertical="center"/>
      <protection locked="0"/>
    </xf>
    <xf numFmtId="0" fontId="0" fillId="12" borderId="271" xfId="0" applyFont="1" applyFill="1" applyBorder="1" applyAlignment="1" applyProtection="1">
      <alignment horizontal="left" vertical="center"/>
      <protection locked="0"/>
    </xf>
    <xf numFmtId="178" fontId="0" fillId="12" borderId="273" xfId="13" applyNumberFormat="1" applyFont="1" applyFill="1" applyBorder="1" applyAlignment="1" applyProtection="1">
      <alignment vertical="center"/>
      <protection locked="0"/>
    </xf>
    <xf numFmtId="178" fontId="0" fillId="12" borderId="283" xfId="13" applyNumberFormat="1" applyFont="1" applyFill="1" applyBorder="1" applyAlignment="1" applyProtection="1">
      <alignment vertical="center"/>
      <protection locked="0"/>
    </xf>
    <xf numFmtId="178" fontId="0" fillId="12" borderId="108" xfId="13" applyNumberFormat="1" applyFont="1" applyFill="1" applyBorder="1" applyAlignment="1" applyProtection="1">
      <alignment vertical="center"/>
      <protection locked="0"/>
    </xf>
    <xf numFmtId="178" fontId="0" fillId="12" borderId="284" xfId="13" applyNumberFormat="1" applyFont="1" applyFill="1" applyBorder="1" applyAlignment="1" applyProtection="1">
      <alignment vertical="center"/>
      <protection locked="0"/>
    </xf>
    <xf numFmtId="178" fontId="0" fillId="12" borderId="285" xfId="13" applyNumberFormat="1" applyFont="1" applyFill="1" applyBorder="1" applyAlignment="1" applyProtection="1">
      <alignment vertical="center"/>
      <protection locked="0"/>
    </xf>
    <xf numFmtId="178" fontId="0" fillId="12" borderId="36" xfId="13" applyNumberFormat="1" applyFont="1" applyFill="1" applyBorder="1" applyAlignment="1" applyProtection="1">
      <alignment vertical="center"/>
      <protection locked="0"/>
    </xf>
    <xf numFmtId="177" fontId="0" fillId="28" borderId="275" xfId="0" applyNumberFormat="1" applyFont="1" applyFill="1" applyBorder="1" applyAlignment="1" applyProtection="1">
      <alignment horizontal="right" vertical="center"/>
    </xf>
    <xf numFmtId="177" fontId="0" fillId="28" borderId="286" xfId="0" applyNumberFormat="1" applyFont="1" applyFill="1" applyBorder="1" applyAlignment="1" applyProtection="1">
      <alignment horizontal="right" vertical="center"/>
    </xf>
    <xf numFmtId="177" fontId="0" fillId="28" borderId="111" xfId="0" applyNumberFormat="1" applyFont="1" applyFill="1" applyBorder="1" applyAlignment="1" applyProtection="1">
      <alignment horizontal="right" vertical="center"/>
    </xf>
    <xf numFmtId="168" fontId="13" fillId="34" borderId="289" xfId="0" applyNumberFormat="1" applyFont="1" applyFill="1" applyBorder="1" applyAlignment="1" applyProtection="1">
      <alignment horizontal="center" vertical="center" wrapText="1"/>
    </xf>
    <xf numFmtId="168" fontId="13" fillId="34" borderId="264" xfId="0" applyNumberFormat="1" applyFont="1" applyFill="1" applyBorder="1" applyAlignment="1" applyProtection="1">
      <alignment horizontal="center" vertical="center" wrapText="1"/>
    </xf>
    <xf numFmtId="168" fontId="14" fillId="0" borderId="268" xfId="13" applyNumberFormat="1" applyFont="1" applyFill="1" applyBorder="1" applyAlignment="1" applyProtection="1">
      <alignment vertical="center"/>
    </xf>
    <xf numFmtId="168" fontId="0" fillId="10" borderId="268" xfId="13" applyNumberFormat="1" applyFont="1" applyFill="1" applyBorder="1" applyAlignment="1" applyProtection="1">
      <alignment horizontal="right" vertical="center"/>
    </xf>
    <xf numFmtId="173" fontId="0" fillId="0" borderId="268" xfId="12" applyNumberFormat="1" applyFont="1" applyFill="1" applyBorder="1" applyAlignment="1" applyProtection="1">
      <alignment vertical="center"/>
    </xf>
    <xf numFmtId="168" fontId="13" fillId="39" borderId="268" xfId="13" applyNumberFormat="1" applyFont="1" applyFill="1" applyBorder="1" applyAlignment="1" applyProtection="1">
      <alignment vertical="center"/>
    </xf>
    <xf numFmtId="168" fontId="13" fillId="39" borderId="268" xfId="13" applyNumberFormat="1" applyFont="1" applyFill="1" applyBorder="1" applyAlignment="1" applyProtection="1">
      <alignment horizontal="right" vertical="center"/>
    </xf>
    <xf numFmtId="168" fontId="14" fillId="0" borderId="203" xfId="13" applyNumberFormat="1" applyFont="1" applyFill="1" applyBorder="1" applyAlignment="1" applyProtection="1">
      <alignment vertical="center"/>
    </xf>
    <xf numFmtId="168" fontId="0" fillId="10" borderId="203" xfId="13" applyNumberFormat="1" applyFont="1" applyFill="1" applyBorder="1" applyAlignment="1" applyProtection="1">
      <alignment horizontal="right" vertical="center"/>
    </xf>
    <xf numFmtId="168" fontId="22" fillId="31" borderId="253" xfId="13" applyNumberFormat="1" applyFont="1" applyFill="1" applyBorder="1" applyAlignment="1" applyProtection="1">
      <alignment vertical="center" wrapText="1"/>
    </xf>
    <xf numFmtId="168" fontId="22" fillId="31" borderId="254" xfId="13" applyNumberFormat="1" applyFont="1" applyFill="1" applyBorder="1" applyAlignment="1" applyProtection="1">
      <alignment vertical="center" wrapText="1"/>
    </xf>
    <xf numFmtId="168" fontId="14" fillId="1" borderId="268" xfId="13" applyNumberFormat="1" applyFont="1" applyFill="1" applyBorder="1" applyAlignment="1" applyProtection="1">
      <alignment vertical="center"/>
    </xf>
    <xf numFmtId="173" fontId="0" fillId="1" borderId="268" xfId="12" applyNumberFormat="1" applyFont="1" applyFill="1" applyBorder="1" applyAlignment="1" applyProtection="1">
      <alignment vertical="center"/>
    </xf>
    <xf numFmtId="168" fontId="13" fillId="47" borderId="268" xfId="13" applyNumberFormat="1" applyFont="1" applyFill="1" applyBorder="1" applyAlignment="1" applyProtection="1">
      <alignment vertical="center"/>
    </xf>
    <xf numFmtId="168" fontId="22" fillId="31" borderId="53" xfId="13" applyNumberFormat="1" applyFont="1" applyFill="1" applyBorder="1" applyAlignment="1" applyProtection="1">
      <alignment vertical="center" wrapText="1"/>
    </xf>
    <xf numFmtId="168" fontId="22" fillId="31" borderId="54" xfId="13" applyNumberFormat="1" applyFont="1" applyFill="1" applyBorder="1" applyAlignment="1" applyProtection="1">
      <alignment vertical="center" wrapText="1"/>
    </xf>
    <xf numFmtId="168" fontId="13" fillId="39" borderId="270" xfId="13" applyNumberFormat="1" applyFont="1" applyFill="1" applyBorder="1" applyAlignment="1" applyProtection="1">
      <alignment vertical="center"/>
    </xf>
    <xf numFmtId="168" fontId="22" fillId="31" borderId="257" xfId="13" applyNumberFormat="1" applyFont="1" applyFill="1" applyBorder="1" applyAlignment="1" applyProtection="1">
      <alignment vertical="center" wrapText="1"/>
    </xf>
    <xf numFmtId="168" fontId="13" fillId="47" borderId="270" xfId="13" applyNumberFormat="1" applyFont="1" applyFill="1" applyBorder="1" applyAlignment="1" applyProtection="1">
      <alignment vertical="center"/>
    </xf>
    <xf numFmtId="168" fontId="22" fillId="31" borderId="290" xfId="13" applyNumberFormat="1" applyFont="1" applyFill="1" applyBorder="1" applyAlignment="1" applyProtection="1">
      <alignment vertical="center" wrapText="1"/>
    </xf>
    <xf numFmtId="168" fontId="0" fillId="10" borderId="269" xfId="13" applyNumberFormat="1" applyFont="1" applyFill="1" applyBorder="1" applyAlignment="1" applyProtection="1">
      <alignment horizontal="right" vertical="center"/>
    </xf>
    <xf numFmtId="168" fontId="0" fillId="10" borderId="271" xfId="13" applyNumberFormat="1" applyFont="1" applyFill="1" applyBorder="1" applyAlignment="1" applyProtection="1">
      <alignment horizontal="right" vertical="center"/>
    </xf>
    <xf numFmtId="168" fontId="13" fillId="39" borderId="271" xfId="13" applyNumberFormat="1" applyFont="1" applyFill="1" applyBorder="1" applyAlignment="1" applyProtection="1">
      <alignment horizontal="right" vertical="center"/>
    </xf>
    <xf numFmtId="168" fontId="22" fillId="31" borderId="36" xfId="13" applyNumberFormat="1" applyFont="1" applyFill="1" applyBorder="1" applyAlignment="1" applyProtection="1">
      <alignment vertical="center" wrapText="1"/>
    </xf>
    <xf numFmtId="168" fontId="22" fillId="31" borderId="292" xfId="13" applyNumberFormat="1" applyFont="1" applyFill="1" applyBorder="1" applyAlignment="1" applyProtection="1">
      <alignment vertical="center" wrapText="1"/>
    </xf>
    <xf numFmtId="168" fontId="13" fillId="34" borderId="280" xfId="0" applyNumberFormat="1" applyFont="1" applyFill="1" applyBorder="1" applyAlignment="1" applyProtection="1">
      <alignment horizontal="center" vertical="center" wrapText="1"/>
    </xf>
    <xf numFmtId="168" fontId="14" fillId="0" borderId="202" xfId="13" applyNumberFormat="1" applyFont="1" applyFill="1" applyBorder="1" applyAlignment="1" applyProtection="1">
      <alignment vertical="center"/>
    </xf>
    <xf numFmtId="168" fontId="14" fillId="0" borderId="204" xfId="13" applyNumberFormat="1" applyFont="1" applyFill="1" applyBorder="1" applyAlignment="1" applyProtection="1">
      <alignment vertical="center"/>
    </xf>
    <xf numFmtId="173" fontId="0" fillId="0" borderId="255" xfId="12" applyNumberFormat="1" applyFont="1" applyFill="1" applyBorder="1" applyAlignment="1" applyProtection="1">
      <alignment vertical="center"/>
    </xf>
    <xf numFmtId="168" fontId="13" fillId="39" borderId="255" xfId="13" applyNumberFormat="1" applyFont="1" applyFill="1" applyBorder="1" applyAlignment="1" applyProtection="1">
      <alignment vertical="center"/>
    </xf>
    <xf numFmtId="168" fontId="22" fillId="31" borderId="252" xfId="13" applyNumberFormat="1" applyFont="1" applyFill="1" applyBorder="1" applyAlignment="1" applyProtection="1">
      <alignment vertical="center" wrapText="1"/>
    </xf>
    <xf numFmtId="168" fontId="0" fillId="0" borderId="256" xfId="0" applyNumberFormat="1" applyFill="1" applyBorder="1" applyAlignment="1" applyProtection="1">
      <alignment vertical="center"/>
    </xf>
    <xf numFmtId="168" fontId="0" fillId="0" borderId="270" xfId="0" applyNumberFormat="1" applyFont="1" applyFill="1" applyBorder="1" applyAlignment="1" applyProtection="1">
      <alignment vertical="center"/>
    </xf>
    <xf numFmtId="168" fontId="13" fillId="39" borderId="270" xfId="0" applyNumberFormat="1" applyFont="1" applyFill="1" applyBorder="1" applyAlignment="1" applyProtection="1">
      <alignment vertical="center"/>
    </xf>
    <xf numFmtId="168" fontId="0" fillId="0" borderId="270" xfId="0" applyNumberFormat="1" applyFill="1" applyBorder="1" applyAlignment="1" applyProtection="1">
      <alignment vertical="center"/>
    </xf>
    <xf numFmtId="168" fontId="14" fillId="0" borderId="255" xfId="13" applyNumberFormat="1" applyFont="1" applyFill="1" applyBorder="1" applyAlignment="1" applyProtection="1">
      <alignment vertical="center"/>
    </xf>
    <xf numFmtId="168" fontId="14" fillId="1" borderId="202" xfId="13" applyNumberFormat="1" applyFont="1" applyFill="1" applyBorder="1" applyAlignment="1" applyProtection="1">
      <alignment vertical="center"/>
    </xf>
    <xf numFmtId="173" fontId="0" fillId="1" borderId="255" xfId="12" applyNumberFormat="1" applyFont="1" applyFill="1" applyBorder="1" applyAlignment="1" applyProtection="1">
      <alignment vertical="center"/>
    </xf>
    <xf numFmtId="168" fontId="13" fillId="47" borderId="255" xfId="13" applyNumberFormat="1" applyFont="1" applyFill="1" applyBorder="1" applyAlignment="1" applyProtection="1">
      <alignment vertical="center"/>
    </xf>
    <xf numFmtId="168" fontId="14" fillId="1" borderId="255" xfId="13" applyNumberFormat="1" applyFont="1" applyFill="1" applyBorder="1" applyAlignment="1" applyProtection="1">
      <alignment vertical="center"/>
    </xf>
    <xf numFmtId="168" fontId="13" fillId="47" borderId="251" xfId="13" applyNumberFormat="1" applyFont="1" applyFill="1" applyBorder="1" applyAlignment="1" applyProtection="1">
      <alignment vertical="center"/>
    </xf>
    <xf numFmtId="168" fontId="14" fillId="43" borderId="256" xfId="13" applyNumberFormat="1" applyFont="1" applyFill="1" applyBorder="1" applyAlignment="1" applyProtection="1">
      <alignment vertical="center"/>
    </xf>
    <xf numFmtId="173" fontId="0" fillId="12" borderId="270" xfId="12" applyNumberFormat="1" applyFont="1" applyFill="1" applyBorder="1" applyAlignment="1" applyProtection="1">
      <alignment vertical="center"/>
      <protection locked="0"/>
    </xf>
    <xf numFmtId="168" fontId="14" fillId="43" borderId="270" xfId="13" applyNumberFormat="1" applyFont="1" applyFill="1" applyBorder="1" applyAlignment="1" applyProtection="1">
      <alignment vertical="center"/>
    </xf>
    <xf numFmtId="168" fontId="14" fillId="45" borderId="256" xfId="13" applyNumberFormat="1" applyFont="1" applyFill="1" applyBorder="1" applyAlignment="1" applyProtection="1">
      <alignment vertical="center"/>
    </xf>
    <xf numFmtId="173" fontId="0" fillId="45" borderId="270" xfId="12" applyNumberFormat="1" applyFont="1" applyFill="1" applyBorder="1" applyAlignment="1" applyProtection="1">
      <alignment vertical="center"/>
    </xf>
    <xf numFmtId="168" fontId="14" fillId="45" borderId="270" xfId="13" applyNumberFormat="1" applyFont="1" applyFill="1" applyBorder="1" applyAlignment="1" applyProtection="1">
      <alignment vertical="center"/>
    </xf>
    <xf numFmtId="168" fontId="13" fillId="39" borderId="130" xfId="13" applyNumberFormat="1" applyFont="1" applyFill="1" applyBorder="1" applyAlignment="1" applyProtection="1">
      <alignment horizontal="right" vertical="center"/>
    </xf>
    <xf numFmtId="168" fontId="22" fillId="31" borderId="111" xfId="13" applyNumberFormat="1" applyFont="1" applyFill="1" applyBorder="1" applyAlignment="1" applyProtection="1">
      <alignment vertical="center" wrapText="1"/>
    </xf>
    <xf numFmtId="168" fontId="22" fillId="31" borderId="64" xfId="13" applyNumberFormat="1" applyFont="1" applyFill="1" applyBorder="1" applyAlignment="1" applyProtection="1">
      <alignment vertical="center" wrapText="1"/>
    </xf>
    <xf numFmtId="169" fontId="14" fillId="0" borderId="0" xfId="16"/>
    <xf numFmtId="176" fontId="14" fillId="0" borderId="0" xfId="12" applyNumberFormat="1"/>
    <xf numFmtId="2" fontId="0" fillId="0" borderId="0" xfId="0" applyNumberFormat="1" applyFont="1" applyBorder="1" applyProtection="1"/>
    <xf numFmtId="168" fontId="0" fillId="61" borderId="98" xfId="13" applyNumberFormat="1" applyFont="1" applyFill="1" applyBorder="1" applyAlignment="1" applyProtection="1">
      <alignment vertical="center"/>
    </xf>
    <xf numFmtId="168" fontId="0" fillId="61" borderId="110" xfId="13" applyNumberFormat="1" applyFont="1" applyFill="1" applyBorder="1" applyAlignment="1" applyProtection="1">
      <alignment vertical="center"/>
    </xf>
    <xf numFmtId="180" fontId="14" fillId="52" borderId="98" xfId="16" applyNumberFormat="1" applyFill="1" applyBorder="1" applyAlignment="1" applyProtection="1">
      <alignment horizontal="center" vertical="center"/>
    </xf>
    <xf numFmtId="180" fontId="14" fillId="52" borderId="110" xfId="16" applyNumberFormat="1" applyFill="1" applyBorder="1" applyAlignment="1" applyProtection="1">
      <alignment horizontal="center" vertical="center"/>
    </xf>
    <xf numFmtId="42" fontId="0" fillId="58" borderId="182" xfId="32" applyFont="1" applyFill="1" applyBorder="1" applyAlignment="1" applyProtection="1">
      <alignment horizontal="center" vertical="center"/>
    </xf>
    <xf numFmtId="49" fontId="39" fillId="12" borderId="268" xfId="0" applyNumberFormat="1" applyFont="1" applyFill="1" applyBorder="1"/>
    <xf numFmtId="0" fontId="0" fillId="43" borderId="271" xfId="0" applyFont="1" applyFill="1" applyBorder="1" applyAlignment="1" applyProtection="1">
      <alignment horizontal="left" vertical="center"/>
      <protection locked="0"/>
    </xf>
    <xf numFmtId="41" fontId="38" fillId="12" borderId="268" xfId="0" applyNumberFormat="1" applyFont="1" applyFill="1" applyBorder="1"/>
    <xf numFmtId="49" fontId="39" fillId="12" borderId="268" xfId="0" applyNumberFormat="1" applyFont="1" applyFill="1" applyBorder="1" applyAlignment="1">
      <alignment horizontal="left" vertical="center"/>
    </xf>
    <xf numFmtId="49" fontId="39" fillId="12" borderId="51" xfId="0" applyNumberFormat="1" applyFont="1" applyFill="1" applyBorder="1"/>
    <xf numFmtId="49" fontId="39" fillId="12" borderId="203" xfId="0" applyNumberFormat="1" applyFont="1" applyFill="1" applyBorder="1"/>
    <xf numFmtId="49" fontId="39" fillId="12" borderId="268" xfId="0" applyNumberFormat="1" applyFont="1" applyFill="1" applyBorder="1" applyAlignment="1">
      <alignment horizontal="left"/>
    </xf>
    <xf numFmtId="0" fontId="0" fillId="43" borderId="98" xfId="0" applyFont="1" applyFill="1" applyBorder="1" applyAlignment="1" applyProtection="1">
      <alignment horizontal="left" vertical="center"/>
      <protection locked="0"/>
    </xf>
    <xf numFmtId="0" fontId="0" fillId="12" borderId="203" xfId="0" applyFont="1" applyFill="1" applyBorder="1" applyProtection="1">
      <protection locked="0"/>
    </xf>
    <xf numFmtId="0" fontId="0" fillId="12" borderId="256" xfId="0" applyFont="1" applyFill="1" applyBorder="1" applyProtection="1">
      <protection locked="0"/>
    </xf>
    <xf numFmtId="0" fontId="0" fillId="12" borderId="294" xfId="0" applyFont="1" applyFill="1" applyBorder="1" applyAlignment="1" applyProtection="1">
      <alignment horizontal="left" vertical="center"/>
      <protection locked="0"/>
    </xf>
    <xf numFmtId="0" fontId="0" fillId="12" borderId="268" xfId="0" applyFont="1" applyFill="1" applyBorder="1" applyProtection="1">
      <protection locked="0"/>
    </xf>
    <xf numFmtId="0" fontId="0" fillId="12" borderId="270" xfId="0" applyFont="1" applyFill="1" applyBorder="1" applyProtection="1">
      <protection locked="0"/>
    </xf>
    <xf numFmtId="0" fontId="0" fillId="66" borderId="271" xfId="0" applyFont="1" applyFill="1" applyBorder="1" applyAlignment="1" applyProtection="1">
      <alignment horizontal="left" vertical="center"/>
      <protection locked="0"/>
    </xf>
    <xf numFmtId="0" fontId="0" fillId="66" borderId="268" xfId="0" applyFont="1" applyFill="1" applyBorder="1" applyAlignment="1" applyProtection="1">
      <alignment horizontal="left" vertical="center"/>
      <protection locked="0"/>
    </xf>
    <xf numFmtId="0" fontId="0" fillId="12" borderId="38" xfId="0" applyFont="1" applyFill="1" applyBorder="1" applyAlignment="1" applyProtection="1">
      <alignment horizontal="left" vertical="center"/>
      <protection locked="0"/>
    </xf>
    <xf numFmtId="0" fontId="0" fillId="12" borderId="38" xfId="0" applyFont="1" applyFill="1" applyBorder="1" applyProtection="1">
      <protection locked="0"/>
    </xf>
    <xf numFmtId="0" fontId="0" fillId="12" borderId="133" xfId="0" applyFont="1" applyFill="1" applyBorder="1" applyProtection="1">
      <protection locked="0"/>
    </xf>
    <xf numFmtId="0" fontId="15" fillId="0" borderId="0" xfId="0" applyFont="1" applyFill="1" applyProtection="1">
      <protection locked="0"/>
    </xf>
    <xf numFmtId="0" fontId="30" fillId="0" borderId="0" xfId="0" applyFont="1" applyFill="1" applyProtection="1">
      <protection locked="0"/>
    </xf>
    <xf numFmtId="0" fontId="30" fillId="0" borderId="64" xfId="0" applyFont="1" applyFill="1" applyBorder="1" applyAlignment="1" applyProtection="1">
      <alignment horizontal="center"/>
      <protection locked="0"/>
    </xf>
    <xf numFmtId="49" fontId="14" fillId="0" borderId="64" xfId="36" applyNumberFormat="1" applyFont="1" applyFill="1" applyBorder="1" applyProtection="1">
      <protection locked="0"/>
    </xf>
    <xf numFmtId="49" fontId="0" fillId="0" borderId="64" xfId="36" applyNumberFormat="1" applyFont="1" applyFill="1" applyBorder="1" applyAlignment="1" applyProtection="1">
      <alignment horizontal="center"/>
      <protection locked="0"/>
    </xf>
    <xf numFmtId="187" fontId="0" fillId="0" borderId="64" xfId="12" applyNumberFormat="1" applyFont="1" applyFill="1" applyBorder="1" applyProtection="1">
      <protection locked="0"/>
    </xf>
    <xf numFmtId="187" fontId="0" fillId="0" borderId="64" xfId="12" applyNumberFormat="1" applyFont="1" applyFill="1" applyBorder="1" applyAlignment="1" applyProtection="1">
      <alignment wrapText="1"/>
      <protection locked="0"/>
    </xf>
    <xf numFmtId="187" fontId="0" fillId="0" borderId="88" xfId="12" applyNumberFormat="1" applyFont="1" applyFill="1" applyBorder="1" applyProtection="1">
      <protection locked="0"/>
    </xf>
    <xf numFmtId="0" fontId="0" fillId="0" borderId="52" xfId="0" applyBorder="1" applyProtection="1">
      <protection locked="0"/>
    </xf>
    <xf numFmtId="187" fontId="0" fillId="0" borderId="290" xfId="12" applyNumberFormat="1" applyFont="1" applyFill="1" applyBorder="1" applyProtection="1">
      <protection locked="0"/>
    </xf>
    <xf numFmtId="0" fontId="0" fillId="0" borderId="268" xfId="0" applyBorder="1" applyProtection="1">
      <protection locked="0"/>
    </xf>
    <xf numFmtId="0" fontId="30" fillId="0" borderId="130" xfId="0" applyFont="1" applyFill="1" applyBorder="1" applyAlignment="1" applyProtection="1">
      <alignment horizontal="center"/>
      <protection locked="0"/>
    </xf>
    <xf numFmtId="3" fontId="30" fillId="43" borderId="130" xfId="0" applyNumberFormat="1" applyFont="1" applyFill="1" applyBorder="1" applyProtection="1">
      <protection locked="0"/>
    </xf>
    <xf numFmtId="176" fontId="14" fillId="0" borderId="130" xfId="12" applyNumberFormat="1" applyBorder="1" applyAlignment="1" applyProtection="1">
      <alignment horizontal="left"/>
      <protection locked="0"/>
    </xf>
    <xf numFmtId="49" fontId="0" fillId="0" borderId="130" xfId="36" applyNumberFormat="1" applyFont="1" applyFill="1" applyBorder="1" applyAlignment="1" applyProtection="1">
      <alignment horizontal="center"/>
      <protection locked="0"/>
    </xf>
    <xf numFmtId="187" fontId="14" fillId="0" borderId="130" xfId="12" applyNumberFormat="1" applyFont="1" applyFill="1" applyBorder="1" applyProtection="1">
      <protection locked="0"/>
    </xf>
    <xf numFmtId="176" fontId="14" fillId="0" borderId="130" xfId="12" applyNumberFormat="1" applyBorder="1" applyProtection="1">
      <protection locked="0"/>
    </xf>
    <xf numFmtId="187" fontId="14" fillId="0" borderId="283" xfId="12" applyNumberFormat="1" applyFont="1" applyFill="1" applyBorder="1" applyProtection="1">
      <protection locked="0"/>
    </xf>
    <xf numFmtId="0" fontId="13" fillId="0" borderId="0" xfId="0" applyFont="1" applyProtection="1">
      <protection locked="0"/>
    </xf>
    <xf numFmtId="0" fontId="40" fillId="0" borderId="268" xfId="0" applyFont="1" applyBorder="1" applyAlignment="1" applyProtection="1">
      <alignment horizontal="center" vertical="center"/>
    </xf>
    <xf numFmtId="0" fontId="40" fillId="0" borderId="268" xfId="0" applyFont="1" applyBorder="1" applyAlignment="1" applyProtection="1">
      <alignment vertical="center"/>
    </xf>
    <xf numFmtId="0" fontId="41" fillId="0" borderId="268" xfId="0" applyFont="1" applyBorder="1" applyAlignment="1" applyProtection="1">
      <alignment horizontal="center" vertical="center"/>
    </xf>
    <xf numFmtId="3" fontId="40" fillId="0" borderId="253" xfId="0" applyNumberFormat="1" applyFont="1" applyBorder="1" applyAlignment="1" applyProtection="1">
      <alignment horizontal="right" vertical="center"/>
    </xf>
    <xf numFmtId="3" fontId="40" fillId="0" borderId="85" xfId="0" applyNumberFormat="1" applyFont="1" applyBorder="1" applyAlignment="1" applyProtection="1">
      <alignment horizontal="right" vertical="center"/>
    </xf>
    <xf numFmtId="0" fontId="13" fillId="0" borderId="268" xfId="0" applyFont="1" applyBorder="1" applyProtection="1">
      <protection locked="0"/>
    </xf>
    <xf numFmtId="3" fontId="42" fillId="0" borderId="268" xfId="0" applyNumberFormat="1" applyFont="1" applyBorder="1" applyAlignment="1" applyProtection="1">
      <alignment horizontal="right" vertical="center"/>
    </xf>
    <xf numFmtId="3" fontId="40" fillId="0" borderId="268" xfId="0" applyNumberFormat="1" applyFont="1" applyBorder="1" applyAlignment="1" applyProtection="1">
      <alignment vertical="center"/>
    </xf>
    <xf numFmtId="3" fontId="40" fillId="0" borderId="268" xfId="0" applyNumberFormat="1" applyFont="1" applyBorder="1" applyAlignment="1" applyProtection="1">
      <alignment horizontal="center" vertical="center"/>
    </xf>
    <xf numFmtId="0" fontId="28" fillId="0" borderId="268" xfId="0" applyFont="1" applyBorder="1" applyProtection="1">
      <protection locked="0"/>
    </xf>
    <xf numFmtId="2" fontId="41" fillId="0" borderId="268" xfId="0" applyNumberFormat="1" applyFont="1" applyBorder="1" applyAlignment="1" applyProtection="1">
      <alignment vertical="center"/>
    </xf>
    <xf numFmtId="3" fontId="40" fillId="0" borderId="268" xfId="0" applyNumberFormat="1" applyFont="1" applyBorder="1" applyAlignment="1" applyProtection="1">
      <alignment horizontal="right" vertical="center"/>
    </xf>
    <xf numFmtId="2" fontId="41" fillId="0" borderId="0" xfId="0" applyNumberFormat="1" applyFont="1" applyAlignment="1" applyProtection="1">
      <alignment vertical="center"/>
    </xf>
    <xf numFmtId="3" fontId="40" fillId="0" borderId="0" xfId="0" applyNumberFormat="1" applyFont="1" applyAlignment="1" applyProtection="1">
      <alignment horizontal="right" vertical="center"/>
    </xf>
    <xf numFmtId="0" fontId="40" fillId="0" borderId="0" xfId="0" applyFont="1" applyAlignment="1" applyProtection="1">
      <alignment vertical="center"/>
    </xf>
    <xf numFmtId="3" fontId="43" fillId="12" borderId="268" xfId="0" applyNumberFormat="1" applyFont="1" applyFill="1" applyBorder="1" applyAlignment="1" applyProtection="1">
      <alignment horizontal="right" vertical="center"/>
    </xf>
    <xf numFmtId="2" fontId="43" fillId="12" borderId="268" xfId="0" applyNumberFormat="1" applyFont="1" applyFill="1" applyBorder="1" applyAlignment="1" applyProtection="1">
      <alignment vertical="center"/>
    </xf>
    <xf numFmtId="0" fontId="14" fillId="0" borderId="0" xfId="27"/>
    <xf numFmtId="0" fontId="23" fillId="0" borderId="0" xfId="27" applyFont="1"/>
    <xf numFmtId="0" fontId="13" fillId="0" borderId="0" xfId="27" applyFont="1"/>
    <xf numFmtId="0" fontId="13" fillId="0" borderId="253" xfId="27" applyFont="1" applyBorder="1"/>
    <xf numFmtId="0" fontId="13" fillId="0" borderId="270" xfId="27" applyFont="1" applyBorder="1"/>
    <xf numFmtId="0" fontId="13" fillId="0" borderId="295" xfId="27" applyFont="1" applyBorder="1"/>
    <xf numFmtId="0" fontId="13" fillId="0" borderId="271" xfId="27" applyFont="1" applyBorder="1"/>
    <xf numFmtId="0" fontId="13" fillId="0" borderId="50" xfId="27" applyFont="1" applyBorder="1"/>
    <xf numFmtId="0" fontId="13" fillId="0" borderId="21" xfId="27" applyFont="1" applyBorder="1" applyAlignment="1">
      <alignment horizontal="center"/>
    </xf>
    <xf numFmtId="0" fontId="13" fillId="0" borderId="36" xfId="27" applyFont="1" applyBorder="1"/>
    <xf numFmtId="0" fontId="13" fillId="43" borderId="50" xfId="27" applyFont="1" applyFill="1" applyBorder="1"/>
    <xf numFmtId="0" fontId="13" fillId="43" borderId="21" xfId="27" applyFont="1" applyFill="1" applyBorder="1" applyAlignment="1">
      <alignment horizontal="center"/>
    </xf>
    <xf numFmtId="0" fontId="13" fillId="43" borderId="36" xfId="27" applyFont="1" applyFill="1" applyBorder="1"/>
    <xf numFmtId="0" fontId="13" fillId="12" borderId="50" xfId="27" applyFont="1" applyFill="1" applyBorder="1"/>
    <xf numFmtId="0" fontId="13" fillId="12" borderId="21" xfId="27" applyFont="1" applyFill="1" applyBorder="1" applyAlignment="1">
      <alignment horizontal="center"/>
    </xf>
    <xf numFmtId="0" fontId="13" fillId="12" borderId="36" xfId="27" applyFont="1" applyFill="1" applyBorder="1"/>
    <xf numFmtId="0" fontId="13" fillId="0" borderId="85" xfId="27" applyFont="1" applyBorder="1"/>
    <xf numFmtId="0" fontId="13" fillId="0" borderId="268" xfId="27" applyFont="1" applyBorder="1" applyAlignment="1">
      <alignment horizontal="center"/>
    </xf>
    <xf numFmtId="0" fontId="13" fillId="43" borderId="268" xfId="27" applyFont="1" applyFill="1" applyBorder="1" applyAlignment="1">
      <alignment horizontal="center"/>
    </xf>
    <xf numFmtId="0" fontId="13" fillId="12" borderId="268" xfId="27" applyFont="1" applyFill="1" applyBorder="1" applyAlignment="1">
      <alignment horizontal="center"/>
    </xf>
    <xf numFmtId="0" fontId="14" fillId="0" borderId="268" xfId="27" applyBorder="1"/>
    <xf numFmtId="176" fontId="14" fillId="0" borderId="268" xfId="12" applyNumberFormat="1" applyBorder="1"/>
    <xf numFmtId="0" fontId="14" fillId="0" borderId="268" xfId="27" applyBorder="1" applyAlignment="1">
      <alignment horizontal="center"/>
    </xf>
    <xf numFmtId="3" fontId="14" fillId="0" borderId="268" xfId="27" applyNumberFormat="1" applyBorder="1"/>
    <xf numFmtId="3" fontId="14" fillId="43" borderId="268" xfId="27" applyNumberFormat="1" applyFont="1" applyFill="1" applyBorder="1" applyAlignment="1">
      <alignment horizontal="center"/>
    </xf>
    <xf numFmtId="1" fontId="14" fillId="43" borderId="268" xfId="27" applyNumberFormat="1" applyFill="1" applyBorder="1" applyAlignment="1">
      <alignment horizontal="center"/>
    </xf>
    <xf numFmtId="3" fontId="14" fillId="43" borderId="268" xfId="27" applyNumberFormat="1" applyFill="1" applyBorder="1"/>
    <xf numFmtId="3" fontId="14" fillId="12" borderId="268" xfId="27" applyNumberFormat="1" applyFont="1" applyFill="1" applyBorder="1" applyAlignment="1">
      <alignment horizontal="center"/>
    </xf>
    <xf numFmtId="1" fontId="14" fillId="12" borderId="268" xfId="27" applyNumberFormat="1" applyFill="1" applyBorder="1" applyAlignment="1">
      <alignment horizontal="center"/>
    </xf>
    <xf numFmtId="3" fontId="14" fillId="12" borderId="268" xfId="27" applyNumberFormat="1" applyFill="1" applyBorder="1"/>
    <xf numFmtId="3" fontId="14" fillId="0" borderId="268" xfId="27" applyNumberFormat="1" applyFont="1" applyBorder="1" applyAlignment="1">
      <alignment horizontal="center"/>
    </xf>
    <xf numFmtId="0" fontId="14" fillId="43" borderId="268" xfId="27" applyFill="1" applyBorder="1" applyAlignment="1">
      <alignment horizontal="center"/>
    </xf>
    <xf numFmtId="3" fontId="14" fillId="0" borderId="268" xfId="27" applyNumberFormat="1" applyFill="1" applyBorder="1"/>
    <xf numFmtId="3" fontId="14" fillId="0" borderId="268" xfId="27" applyNumberFormat="1" applyFont="1" applyFill="1" applyBorder="1" applyAlignment="1">
      <alignment horizontal="center"/>
    </xf>
    <xf numFmtId="0" fontId="14" fillId="0" borderId="268" xfId="27" applyFont="1" applyBorder="1"/>
    <xf numFmtId="3" fontId="13" fillId="0" borderId="268" xfId="27" applyNumberFormat="1" applyFont="1" applyBorder="1"/>
    <xf numFmtId="0" fontId="13" fillId="0" borderId="268" xfId="27" applyFont="1" applyBorder="1"/>
    <xf numFmtId="3" fontId="13" fillId="12" borderId="268" xfId="27" applyNumberFormat="1" applyFont="1" applyFill="1" applyBorder="1"/>
    <xf numFmtId="0" fontId="13" fillId="12" borderId="268" xfId="27" applyFont="1" applyFill="1" applyBorder="1"/>
    <xf numFmtId="3" fontId="13" fillId="0" borderId="268" xfId="27" applyNumberFormat="1" applyFont="1" applyBorder="1" applyAlignment="1">
      <alignment horizontal="center"/>
    </xf>
    <xf numFmtId="0" fontId="28" fillId="0" borderId="253" xfId="27" applyFont="1" applyBorder="1" applyAlignment="1">
      <alignment horizontal="center"/>
    </xf>
    <xf numFmtId="0" fontId="14" fillId="12" borderId="0" xfId="27" applyFill="1"/>
    <xf numFmtId="0" fontId="14" fillId="12" borderId="268" xfId="27" applyFont="1" applyFill="1" applyBorder="1"/>
    <xf numFmtId="10" fontId="14" fillId="0" borderId="296" xfId="27" applyNumberFormat="1" applyBorder="1" applyAlignment="1">
      <alignment horizontal="center"/>
    </xf>
    <xf numFmtId="3" fontId="13" fillId="0" borderId="0" xfId="27" applyNumberFormat="1" applyFont="1"/>
    <xf numFmtId="1" fontId="14" fillId="0" borderId="268" xfId="27" applyNumberFormat="1" applyBorder="1" applyAlignment="1">
      <alignment horizontal="center"/>
    </xf>
    <xf numFmtId="3" fontId="14" fillId="0" borderId="268" xfId="27" applyNumberFormat="1" applyBorder="1" applyAlignment="1">
      <alignment horizontal="center"/>
    </xf>
    <xf numFmtId="3" fontId="14" fillId="0" borderId="268" xfId="27" applyNumberFormat="1" applyFill="1" applyBorder="1" applyAlignment="1">
      <alignment horizontal="center"/>
    </xf>
    <xf numFmtId="0" fontId="14" fillId="0" borderId="268" xfId="27" applyFill="1" applyBorder="1" applyAlignment="1">
      <alignment horizontal="center"/>
    </xf>
    <xf numFmtId="3" fontId="14" fillId="0" borderId="0" xfId="27" applyNumberFormat="1"/>
    <xf numFmtId="0" fontId="13" fillId="0" borderId="268" xfId="27" applyFont="1" applyBorder="1" applyAlignment="1">
      <alignment horizontal="left" vertical="center"/>
    </xf>
    <xf numFmtId="176" fontId="14" fillId="43" borderId="268" xfId="12" applyNumberFormat="1" applyFill="1" applyBorder="1"/>
    <xf numFmtId="3" fontId="13" fillId="43" borderId="268" xfId="27" applyNumberFormat="1" applyFont="1" applyFill="1" applyBorder="1"/>
    <xf numFmtId="0" fontId="13" fillId="43" borderId="268" xfId="27" applyFont="1" applyFill="1" applyBorder="1"/>
    <xf numFmtId="0" fontId="14" fillId="43" borderId="0" xfId="27" applyFill="1"/>
    <xf numFmtId="0" fontId="44" fillId="12" borderId="271" xfId="0" applyFont="1" applyFill="1" applyBorder="1" applyAlignment="1" applyProtection="1">
      <alignment horizontal="left" vertical="center"/>
      <protection locked="0"/>
    </xf>
    <xf numFmtId="0" fontId="44" fillId="12" borderId="268" xfId="0" applyFont="1" applyFill="1" applyBorder="1" applyAlignment="1" applyProtection="1">
      <alignment horizontal="left" vertical="center"/>
      <protection locked="0"/>
    </xf>
    <xf numFmtId="0" fontId="44" fillId="12" borderId="270" xfId="0" applyFont="1" applyFill="1" applyBorder="1" applyAlignment="1" applyProtection="1">
      <alignment horizontal="left" vertical="center"/>
      <protection locked="0"/>
    </xf>
    <xf numFmtId="178" fontId="44" fillId="12" borderId="283" xfId="13" applyNumberFormat="1" applyFont="1" applyFill="1" applyBorder="1" applyAlignment="1" applyProtection="1">
      <alignment vertical="center"/>
      <protection locked="0"/>
    </xf>
    <xf numFmtId="177" fontId="44" fillId="28" borderId="130" xfId="0" applyNumberFormat="1" applyFont="1" applyFill="1" applyBorder="1" applyAlignment="1" applyProtection="1">
      <alignment horizontal="right" vertical="center"/>
    </xf>
    <xf numFmtId="178" fontId="44" fillId="12" borderId="271" xfId="13" applyNumberFormat="1" applyFont="1" applyFill="1" applyBorder="1" applyAlignment="1" applyProtection="1">
      <alignment vertical="center"/>
      <protection locked="0"/>
    </xf>
    <xf numFmtId="178" fontId="44" fillId="12" borderId="268" xfId="13" applyNumberFormat="1" applyFont="1" applyFill="1" applyBorder="1" applyAlignment="1" applyProtection="1">
      <alignment vertical="center"/>
      <protection locked="0"/>
    </xf>
    <xf numFmtId="177" fontId="44" fillId="28" borderId="134" xfId="0" applyNumberFormat="1" applyFont="1" applyFill="1" applyBorder="1" applyAlignment="1" applyProtection="1">
      <alignment horizontal="right" vertical="center"/>
    </xf>
    <xf numFmtId="0" fontId="44" fillId="0" borderId="0" xfId="0" applyFont="1" applyFill="1" applyBorder="1" applyProtection="1"/>
    <xf numFmtId="0" fontId="44" fillId="12" borderId="269" xfId="0" applyFont="1" applyFill="1" applyBorder="1" applyAlignment="1" applyProtection="1">
      <alignment horizontal="left" vertical="center"/>
      <protection locked="0"/>
    </xf>
    <xf numFmtId="0" fontId="44" fillId="12" borderId="203" xfId="0" applyFont="1" applyFill="1" applyBorder="1" applyAlignment="1" applyProtection="1">
      <alignment horizontal="left" vertical="center"/>
      <protection locked="0"/>
    </xf>
    <xf numFmtId="0" fontId="44" fillId="12" borderId="256" xfId="0" applyFont="1" applyFill="1" applyBorder="1" applyAlignment="1" applyProtection="1">
      <alignment horizontal="left" vertical="center"/>
      <protection locked="0"/>
    </xf>
    <xf numFmtId="178" fontId="44" fillId="12" borderId="273" xfId="13" applyNumberFormat="1" applyFont="1" applyFill="1" applyBorder="1" applyAlignment="1" applyProtection="1">
      <alignment vertical="center"/>
      <protection locked="0"/>
    </xf>
    <xf numFmtId="177" fontId="44" fillId="28" borderId="275" xfId="0" applyNumberFormat="1" applyFont="1" applyFill="1" applyBorder="1" applyAlignment="1" applyProtection="1">
      <alignment horizontal="right" vertical="center"/>
    </xf>
    <xf numFmtId="178" fontId="44" fillId="12" borderId="85" xfId="13" applyNumberFormat="1" applyFont="1" applyFill="1" applyBorder="1" applyAlignment="1" applyProtection="1">
      <alignment vertical="center"/>
      <protection locked="0"/>
    </xf>
    <xf numFmtId="177" fontId="44" fillId="28" borderId="116" xfId="0" applyNumberFormat="1" applyFont="1" applyFill="1" applyBorder="1" applyAlignment="1" applyProtection="1">
      <alignment horizontal="right" vertical="center"/>
    </xf>
    <xf numFmtId="49" fontId="45" fillId="12" borderId="268" xfId="0" applyNumberFormat="1" applyFont="1" applyFill="1" applyBorder="1"/>
    <xf numFmtId="0" fontId="44" fillId="12" borderId="85" xfId="0" applyFont="1" applyFill="1" applyBorder="1" applyAlignment="1" applyProtection="1">
      <alignment horizontal="left" vertical="center"/>
      <protection locked="0"/>
    </xf>
    <xf numFmtId="0" fontId="44" fillId="12" borderId="110" xfId="0" applyFont="1" applyFill="1" applyBorder="1" applyAlignment="1" applyProtection="1">
      <alignment horizontal="left" vertical="center"/>
      <protection locked="0"/>
    </xf>
    <xf numFmtId="177" fontId="44" fillId="0" borderId="0" xfId="0" applyNumberFormat="1" applyFont="1" applyFill="1" applyBorder="1" applyAlignment="1" applyProtection="1">
      <alignment horizontal="right" vertical="center"/>
    </xf>
    <xf numFmtId="177" fontId="46" fillId="0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179" fontId="44" fillId="12" borderId="269" xfId="13" applyNumberFormat="1" applyFont="1" applyFill="1" applyBorder="1" applyAlignment="1" applyProtection="1">
      <alignment horizontal="center" vertical="center"/>
      <protection locked="0"/>
    </xf>
    <xf numFmtId="179" fontId="46" fillId="63" borderId="64" xfId="0" applyNumberFormat="1" applyFont="1" applyFill="1" applyBorder="1" applyAlignment="1" applyProtection="1">
      <alignment horizontal="center" vertical="center"/>
    </xf>
    <xf numFmtId="179" fontId="44" fillId="0" borderId="130" xfId="12" applyNumberFormat="1" applyFont="1" applyFill="1" applyBorder="1" applyAlignment="1" applyProtection="1">
      <alignment horizontal="center"/>
      <protection locked="0"/>
    </xf>
    <xf numFmtId="187" fontId="44" fillId="0" borderId="286" xfId="12" applyNumberFormat="1" applyFont="1" applyFill="1" applyBorder="1" applyProtection="1">
      <protection locked="0"/>
    </xf>
    <xf numFmtId="0" fontId="44" fillId="0" borderId="0" xfId="0" applyFont="1" applyProtection="1">
      <protection locked="0"/>
    </xf>
    <xf numFmtId="176" fontId="44" fillId="12" borderId="239" xfId="12" applyNumberFormat="1" applyFont="1" applyFill="1" applyBorder="1" applyAlignment="1" applyProtection="1">
      <alignment vertical="center"/>
      <protection locked="0"/>
    </xf>
    <xf numFmtId="0" fontId="44" fillId="0" borderId="0" xfId="0" applyFont="1" applyAlignment="1">
      <alignment vertical="center"/>
    </xf>
    <xf numFmtId="178" fontId="44" fillId="12" borderId="263" xfId="13" applyNumberFormat="1" applyFont="1" applyFill="1" applyBorder="1" applyAlignment="1" applyProtection="1">
      <alignment vertical="center"/>
      <protection locked="0"/>
    </xf>
    <xf numFmtId="0" fontId="44" fillId="0" borderId="0" xfId="0" applyFont="1" applyAlignment="1" applyProtection="1">
      <alignment vertical="center"/>
    </xf>
    <xf numFmtId="0" fontId="0" fillId="12" borderId="269" xfId="0" applyFill="1" applyBorder="1" applyAlignment="1" applyProtection="1">
      <alignment horizontal="left" vertical="center"/>
      <protection locked="0"/>
    </xf>
    <xf numFmtId="0" fontId="0" fillId="12" borderId="203" xfId="0" applyFill="1" applyBorder="1" applyAlignment="1" applyProtection="1">
      <alignment horizontal="left" vertical="center"/>
      <protection locked="0"/>
    </xf>
    <xf numFmtId="0" fontId="0" fillId="12" borderId="203" xfId="0" applyFill="1" applyBorder="1" applyProtection="1">
      <protection locked="0"/>
    </xf>
    <xf numFmtId="0" fontId="0" fillId="12" borderId="256" xfId="0" applyFill="1" applyBorder="1" applyProtection="1">
      <protection locked="0"/>
    </xf>
    <xf numFmtId="178" fontId="14" fillId="12" borderId="203" xfId="25" applyNumberFormat="1" applyFill="1" applyBorder="1" applyAlignment="1" applyProtection="1">
      <alignment vertical="center"/>
      <protection locked="0"/>
    </xf>
    <xf numFmtId="178" fontId="14" fillId="12" borderId="256" xfId="25" applyNumberFormat="1" applyFill="1" applyBorder="1" applyAlignment="1" applyProtection="1">
      <alignment vertical="center"/>
      <protection locked="0"/>
    </xf>
    <xf numFmtId="0" fontId="0" fillId="12" borderId="20" xfId="0" applyFill="1" applyBorder="1" applyAlignment="1" applyProtection="1">
      <alignment horizontal="left" vertical="center"/>
      <protection locked="0"/>
    </xf>
    <xf numFmtId="0" fontId="0" fillId="12" borderId="85" xfId="0" applyFill="1" applyBorder="1" applyAlignment="1" applyProtection="1">
      <alignment horizontal="left" vertical="center"/>
      <protection locked="0"/>
    </xf>
    <xf numFmtId="0" fontId="0" fillId="12" borderId="85" xfId="0" applyFill="1" applyBorder="1" applyProtection="1">
      <protection locked="0"/>
    </xf>
    <xf numFmtId="0" fontId="0" fillId="12" borderId="142" xfId="0" applyFill="1" applyBorder="1" applyProtection="1">
      <protection locked="0"/>
    </xf>
    <xf numFmtId="178" fontId="14" fillId="12" borderId="268" xfId="25" applyNumberFormat="1" applyFill="1" applyBorder="1" applyAlignment="1" applyProtection="1">
      <alignment vertical="center"/>
      <protection locked="0"/>
    </xf>
    <xf numFmtId="178" fontId="14" fillId="12" borderId="270" xfId="25" applyNumberFormat="1" applyFill="1" applyBorder="1" applyAlignment="1" applyProtection="1">
      <alignment vertical="center"/>
      <protection locked="0"/>
    </xf>
    <xf numFmtId="170" fontId="0" fillId="46" borderId="256" xfId="13" applyNumberFormat="1" applyFont="1" applyFill="1" applyBorder="1" applyAlignment="1" applyProtection="1">
      <alignment horizontal="center" vertical="center"/>
    </xf>
    <xf numFmtId="170" fontId="0" fillId="46" borderId="193" xfId="13" applyNumberFormat="1" applyFont="1" applyFill="1" applyBorder="1" applyAlignment="1" applyProtection="1">
      <alignment horizontal="center" vertical="center"/>
    </xf>
    <xf numFmtId="170" fontId="0" fillId="46" borderId="267" xfId="13" applyNumberFormat="1" applyFont="1" applyFill="1" applyBorder="1" applyAlignment="1" applyProtection="1">
      <alignment horizontal="center" vertical="center"/>
    </xf>
    <xf numFmtId="178" fontId="0" fillId="28" borderId="202" xfId="13" applyNumberFormat="1" applyFont="1" applyFill="1" applyBorder="1" applyAlignment="1" applyProtection="1">
      <alignment vertical="center"/>
    </xf>
    <xf numFmtId="178" fontId="0" fillId="28" borderId="194" xfId="13" applyNumberFormat="1" applyFont="1" applyFill="1" applyBorder="1" applyAlignment="1" applyProtection="1">
      <alignment vertical="center"/>
    </xf>
    <xf numFmtId="178" fontId="0" fillId="28" borderId="261" xfId="13" applyNumberFormat="1" applyFont="1" applyFill="1" applyBorder="1" applyAlignment="1" applyProtection="1">
      <alignment vertical="center"/>
    </xf>
    <xf numFmtId="0" fontId="21" fillId="0" borderId="0" xfId="20" applyAlignment="1" applyProtection="1">
      <alignment horizontal="left"/>
    </xf>
    <xf numFmtId="0" fontId="21" fillId="0" borderId="0" xfId="20"/>
    <xf numFmtId="0" fontId="0" fillId="0" borderId="0" xfId="0" applyFont="1"/>
    <xf numFmtId="0" fontId="21" fillId="0" borderId="0" xfId="20" applyFont="1"/>
    <xf numFmtId="0" fontId="21" fillId="0" borderId="0" xfId="20" applyBorder="1" applyAlignment="1" applyProtection="1">
      <alignment horizontal="left" vertical="center"/>
    </xf>
    <xf numFmtId="0" fontId="21" fillId="0" borderId="0" xfId="20" applyBorder="1" applyAlignment="1" applyProtection="1">
      <alignment horizontal="left" vertical="center" wrapText="1"/>
    </xf>
    <xf numFmtId="0" fontId="21" fillId="0" borderId="0" xfId="20" applyBorder="1" applyAlignment="1" applyProtection="1">
      <alignment horizontal="left" vertical="center" indent="2"/>
    </xf>
    <xf numFmtId="168" fontId="27" fillId="44" borderId="234" xfId="0" applyNumberFormat="1" applyFont="1" applyFill="1" applyBorder="1" applyAlignment="1" applyProtection="1">
      <alignment horizontal="center" vertical="center" wrapText="1"/>
    </xf>
    <xf numFmtId="168" fontId="27" fillId="44" borderId="41" xfId="0" applyNumberFormat="1" applyFont="1" applyFill="1" applyBorder="1" applyAlignment="1" applyProtection="1">
      <alignment horizontal="center" vertical="center" wrapText="1"/>
    </xf>
    <xf numFmtId="168" fontId="0" fillId="9" borderId="130" xfId="13" applyNumberFormat="1" applyFont="1" applyFill="1" applyBorder="1" applyAlignment="1" applyProtection="1">
      <alignment horizontal="right" vertical="center"/>
    </xf>
    <xf numFmtId="168" fontId="0" fillId="9" borderId="275" xfId="13" applyNumberFormat="1" applyFont="1" applyFill="1" applyBorder="1" applyAlignment="1" applyProtection="1">
      <alignment horizontal="right" vertical="center"/>
    </xf>
    <xf numFmtId="168" fontId="18" fillId="33" borderId="291" xfId="0" applyNumberFormat="1" applyFont="1" applyFill="1" applyBorder="1" applyAlignment="1" applyProtection="1">
      <alignment horizontal="center" vertical="center" wrapText="1"/>
    </xf>
    <xf numFmtId="168" fontId="18" fillId="33" borderId="61" xfId="0" applyNumberFormat="1" applyFont="1" applyFill="1" applyBorder="1" applyAlignment="1" applyProtection="1">
      <alignment horizontal="center" vertical="center" wrapText="1"/>
    </xf>
    <xf numFmtId="168" fontId="18" fillId="33" borderId="233" xfId="0" applyNumberFormat="1" applyFont="1" applyFill="1" applyBorder="1" applyAlignment="1" applyProtection="1">
      <alignment horizontal="center" vertical="center" wrapText="1"/>
    </xf>
    <xf numFmtId="168" fontId="18" fillId="33" borderId="56" xfId="0" applyNumberFormat="1" applyFont="1" applyFill="1" applyBorder="1" applyAlignment="1" applyProtection="1">
      <alignment horizontal="center" vertical="center" wrapText="1"/>
    </xf>
    <xf numFmtId="168" fontId="18" fillId="33" borderId="115" xfId="0" applyNumberFormat="1" applyFont="1" applyFill="1" applyBorder="1" applyAlignment="1" applyProtection="1">
      <alignment horizontal="center" vertical="center" wrapText="1"/>
    </xf>
    <xf numFmtId="168" fontId="18" fillId="33" borderId="109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right" vertical="center"/>
    </xf>
    <xf numFmtId="0" fontId="23" fillId="12" borderId="5" xfId="0" applyFont="1" applyFill="1" applyBorder="1" applyAlignment="1" applyProtection="1">
      <alignment horizontal="center" vertical="center"/>
      <protection locked="0"/>
    </xf>
    <xf numFmtId="0" fontId="23" fillId="12" borderId="47" xfId="0" applyFont="1" applyFill="1" applyBorder="1" applyAlignment="1" applyProtection="1">
      <alignment horizontal="center" vertical="center"/>
      <protection locked="0"/>
    </xf>
    <xf numFmtId="0" fontId="23" fillId="12" borderId="6" xfId="0" applyFont="1" applyFill="1" applyBorder="1" applyAlignment="1" applyProtection="1">
      <alignment horizontal="center" vertical="center"/>
      <protection locked="0"/>
    </xf>
    <xf numFmtId="168" fontId="13" fillId="15" borderId="279" xfId="0" applyNumberFormat="1" applyFont="1" applyFill="1" applyBorder="1" applyAlignment="1" applyProtection="1">
      <alignment horizontal="center" vertical="center"/>
    </xf>
    <xf numFmtId="168" fontId="13" fillId="15" borderId="266" xfId="0" applyNumberFormat="1" applyFont="1" applyFill="1" applyBorder="1" applyAlignment="1" applyProtection="1">
      <alignment horizontal="center" vertical="center"/>
    </xf>
    <xf numFmtId="168" fontId="23" fillId="38" borderId="232" xfId="0" applyNumberFormat="1" applyFont="1" applyFill="1" applyBorder="1" applyAlignment="1" applyProtection="1">
      <alignment horizontal="center" vertical="center" wrapText="1"/>
    </xf>
    <xf numFmtId="168" fontId="23" fillId="38" borderId="233" xfId="0" applyNumberFormat="1" applyFont="1" applyFill="1" applyBorder="1" applyAlignment="1" applyProtection="1">
      <alignment horizontal="center" vertical="center" wrapText="1"/>
    </xf>
    <xf numFmtId="168" fontId="23" fillId="38" borderId="293" xfId="0" applyNumberFormat="1" applyFont="1" applyFill="1" applyBorder="1" applyAlignment="1" applyProtection="1">
      <alignment horizontal="center" vertical="center" wrapText="1"/>
    </xf>
    <xf numFmtId="0" fontId="0" fillId="0" borderId="268" xfId="0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indent="2"/>
    </xf>
    <xf numFmtId="0" fontId="13" fillId="15" borderId="28" xfId="0" applyFont="1" applyFill="1" applyBorder="1" applyAlignment="1" applyProtection="1">
      <alignment horizontal="center" vertical="center" wrapText="1"/>
    </xf>
    <xf numFmtId="0" fontId="13" fillId="15" borderId="287" xfId="0" applyFont="1" applyFill="1" applyBorder="1" applyAlignment="1" applyProtection="1">
      <alignment horizontal="center" vertical="center" wrapText="1"/>
    </xf>
    <xf numFmtId="0" fontId="13" fillId="15" borderId="29" xfId="0" applyFont="1" applyFill="1" applyBorder="1" applyAlignment="1" applyProtection="1">
      <alignment horizontal="center" vertical="center" wrapText="1"/>
    </xf>
    <xf numFmtId="0" fontId="13" fillId="15" borderId="288" xfId="0" applyFont="1" applyFill="1" applyBorder="1" applyAlignment="1" applyProtection="1">
      <alignment horizontal="center" vertical="center" wrapText="1"/>
    </xf>
    <xf numFmtId="168" fontId="22" fillId="31" borderId="52" xfId="0" applyNumberFormat="1" applyFont="1" applyFill="1" applyBorder="1" applyAlignment="1" applyProtection="1">
      <alignment horizontal="right" vertical="center"/>
    </xf>
    <xf numFmtId="168" fontId="22" fillId="31" borderId="53" xfId="0" applyNumberFormat="1" applyFont="1" applyFill="1" applyBorder="1" applyAlignment="1" applyProtection="1">
      <alignment horizontal="right" vertical="center"/>
    </xf>
    <xf numFmtId="168" fontId="22" fillId="31" borderId="290" xfId="0" applyNumberFormat="1" applyFont="1" applyFill="1" applyBorder="1" applyAlignment="1" applyProtection="1">
      <alignment horizontal="right" vertical="center"/>
    </xf>
    <xf numFmtId="168" fontId="24" fillId="33" borderId="289" xfId="0" applyNumberFormat="1" applyFont="1" applyFill="1" applyBorder="1" applyAlignment="1" applyProtection="1">
      <alignment horizontal="center" vertical="center" wrapText="1"/>
    </xf>
    <xf numFmtId="168" fontId="24" fillId="33" borderId="280" xfId="0" applyNumberFormat="1" applyFont="1" applyFill="1" applyBorder="1" applyAlignment="1" applyProtection="1">
      <alignment horizontal="center" vertical="center" wrapText="1"/>
    </xf>
    <xf numFmtId="168" fontId="24" fillId="33" borderId="264" xfId="0" applyNumberFormat="1" applyFont="1" applyFill="1" applyBorder="1" applyAlignment="1" applyProtection="1">
      <alignment horizontal="center" vertical="center" wrapText="1"/>
    </xf>
    <xf numFmtId="168" fontId="22" fillId="31" borderId="253" xfId="0" applyNumberFormat="1" applyFont="1" applyFill="1" applyBorder="1" applyAlignment="1" applyProtection="1">
      <alignment horizontal="center" vertical="center"/>
    </xf>
    <xf numFmtId="168" fontId="22" fillId="31" borderId="257" xfId="0" applyNumberFormat="1" applyFont="1" applyFill="1" applyBorder="1" applyAlignment="1" applyProtection="1">
      <alignment horizontal="center" vertical="center"/>
    </xf>
    <xf numFmtId="0" fontId="23" fillId="36" borderId="202" xfId="0" applyFont="1" applyFill="1" applyBorder="1" applyAlignment="1" applyProtection="1">
      <alignment horizontal="center" vertical="center" wrapText="1"/>
    </xf>
    <xf numFmtId="0" fontId="23" fillId="36" borderId="255" xfId="0" applyFont="1" applyFill="1" applyBorder="1" applyAlignment="1" applyProtection="1">
      <alignment horizontal="center" vertical="center" wrapText="1"/>
    </xf>
    <xf numFmtId="0" fontId="23" fillId="36" borderId="252" xfId="0" applyFont="1" applyFill="1" applyBorder="1" applyAlignment="1" applyProtection="1">
      <alignment horizontal="center" vertical="center" wrapText="1"/>
    </xf>
    <xf numFmtId="0" fontId="0" fillId="0" borderId="203" xfId="0" applyFont="1" applyFill="1" applyBorder="1" applyAlignment="1" applyProtection="1">
      <alignment horizontal="center" vertical="center" wrapText="1"/>
    </xf>
    <xf numFmtId="0" fontId="23" fillId="0" borderId="202" xfId="0" applyFont="1" applyFill="1" applyBorder="1" applyAlignment="1" applyProtection="1">
      <alignment horizontal="center" vertical="center" wrapText="1"/>
    </xf>
    <xf numFmtId="0" fontId="23" fillId="0" borderId="255" xfId="0" applyFont="1" applyFill="1" applyBorder="1" applyAlignment="1" applyProtection="1">
      <alignment horizontal="center" vertical="center" wrapText="1"/>
    </xf>
    <xf numFmtId="0" fontId="23" fillId="0" borderId="252" xfId="0" applyFont="1" applyFill="1" applyBorder="1" applyAlignment="1" applyProtection="1">
      <alignment horizontal="center" vertical="center" wrapText="1"/>
    </xf>
    <xf numFmtId="168" fontId="24" fillId="33" borderId="215" xfId="0" applyNumberFormat="1" applyFont="1" applyFill="1" applyBorder="1" applyAlignment="1" applyProtection="1">
      <alignment horizontal="center" vertical="center" wrapText="1"/>
    </xf>
    <xf numFmtId="168" fontId="24" fillId="33" borderId="206" xfId="0" applyNumberFormat="1" applyFont="1" applyFill="1" applyBorder="1" applyAlignment="1" applyProtection="1">
      <alignment horizontal="center" vertical="center" wrapText="1"/>
    </xf>
    <xf numFmtId="168" fontId="24" fillId="33" borderId="207" xfId="0" applyNumberFormat="1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left" vertical="center" indent="2"/>
    </xf>
    <xf numFmtId="168" fontId="13" fillId="15" borderId="201" xfId="0" applyNumberFormat="1" applyFont="1" applyFill="1" applyBorder="1" applyAlignment="1" applyProtection="1">
      <alignment horizontal="center" vertical="center" wrapText="1"/>
    </xf>
    <xf numFmtId="168" fontId="13" fillId="15" borderId="125" xfId="0" applyNumberFormat="1" applyFont="1" applyFill="1" applyBorder="1" applyAlignment="1" applyProtection="1">
      <alignment horizontal="center" vertical="center" wrapText="1"/>
    </xf>
    <xf numFmtId="168" fontId="13" fillId="15" borderId="265" xfId="0" applyNumberFormat="1" applyFont="1" applyFill="1" applyBorder="1" applyAlignment="1" applyProtection="1">
      <alignment horizontal="center" vertical="center" wrapText="1"/>
    </xf>
    <xf numFmtId="0" fontId="23" fillId="16" borderId="161" xfId="0" applyFont="1" applyFill="1" applyBorder="1" applyAlignment="1" applyProtection="1">
      <alignment horizontal="center" vertical="center" wrapText="1"/>
    </xf>
    <xf numFmtId="0" fontId="23" fillId="16" borderId="50" xfId="0" applyFont="1" applyFill="1" applyBorder="1" applyAlignment="1" applyProtection="1">
      <alignment horizontal="center" vertical="center" wrapText="1"/>
    </xf>
    <xf numFmtId="168" fontId="24" fillId="33" borderId="162" xfId="0" applyNumberFormat="1" applyFont="1" applyFill="1" applyBorder="1" applyAlignment="1" applyProtection="1">
      <alignment horizontal="center" vertical="center" wrapText="1"/>
    </xf>
    <xf numFmtId="168" fontId="24" fillId="33" borderId="59" xfId="0" applyNumberFormat="1" applyFont="1" applyFill="1" applyBorder="1" applyAlignment="1" applyProtection="1">
      <alignment horizontal="center" vertical="center" wrapText="1"/>
    </xf>
    <xf numFmtId="168" fontId="24" fillId="33" borderId="60" xfId="0" applyNumberFormat="1" applyFont="1" applyFill="1" applyBorder="1" applyAlignment="1" applyProtection="1">
      <alignment horizontal="center" vertical="center" wrapText="1"/>
    </xf>
    <xf numFmtId="0" fontId="23" fillId="15" borderId="31" xfId="0" applyFont="1" applyFill="1" applyBorder="1" applyAlignment="1" applyProtection="1">
      <alignment horizontal="center" vertical="center" wrapText="1"/>
    </xf>
    <xf numFmtId="0" fontId="23" fillId="15" borderId="48" xfId="0" applyFont="1" applyFill="1" applyBorder="1" applyAlignment="1" applyProtection="1">
      <alignment horizontal="center" vertical="center" wrapText="1"/>
    </xf>
    <xf numFmtId="0" fontId="23" fillId="16" borderId="256" xfId="0" applyFont="1" applyFill="1" applyBorder="1" applyAlignment="1" applyProtection="1">
      <alignment horizontal="center" vertical="center" wrapText="1"/>
    </xf>
    <xf numFmtId="168" fontId="24" fillId="33" borderId="205" xfId="0" applyNumberFormat="1" applyFont="1" applyFill="1" applyBorder="1" applyAlignment="1" applyProtection="1">
      <alignment horizontal="center" vertical="center" wrapText="1"/>
    </xf>
    <xf numFmtId="168" fontId="24" fillId="33" borderId="269" xfId="0" applyNumberFormat="1" applyFont="1" applyFill="1" applyBorder="1" applyAlignment="1" applyProtection="1">
      <alignment horizontal="center" vertical="center" wrapText="1"/>
    </xf>
    <xf numFmtId="168" fontId="24" fillId="33" borderId="171" xfId="0" applyNumberFormat="1" applyFont="1" applyFill="1" applyBorder="1" applyAlignment="1" applyProtection="1">
      <alignment horizontal="center" vertical="center" wrapText="1"/>
    </xf>
    <xf numFmtId="168" fontId="24" fillId="33" borderId="154" xfId="0" applyNumberFormat="1" applyFont="1" applyFill="1" applyBorder="1" applyAlignment="1" applyProtection="1">
      <alignment horizontal="center" vertical="center" wrapText="1"/>
    </xf>
    <xf numFmtId="0" fontId="22" fillId="46" borderId="202" xfId="0" applyFont="1" applyFill="1" applyBorder="1" applyAlignment="1" applyProtection="1">
      <alignment horizontal="center" vertical="center" wrapText="1"/>
    </xf>
    <xf numFmtId="0" fontId="22" fillId="46" borderId="194" xfId="0" applyFont="1" applyFill="1" applyBorder="1" applyAlignment="1" applyProtection="1">
      <alignment horizontal="center" vertical="center" wrapText="1"/>
    </xf>
    <xf numFmtId="0" fontId="23" fillId="15" borderId="51" xfId="0" applyFont="1" applyFill="1" applyBorder="1" applyAlignment="1" applyProtection="1">
      <alignment horizontal="center" vertical="center" wrapText="1"/>
    </xf>
    <xf numFmtId="0" fontId="23" fillId="15" borderId="105" xfId="0" applyFont="1" applyFill="1" applyBorder="1" applyAlignment="1" applyProtection="1">
      <alignment horizontal="center" vertical="center" wrapText="1"/>
    </xf>
    <xf numFmtId="0" fontId="22" fillId="0" borderId="273" xfId="0" applyFont="1" applyFill="1" applyBorder="1" applyAlignment="1" applyProtection="1">
      <alignment horizontal="center" vertical="center" wrapText="1"/>
    </xf>
    <xf numFmtId="0" fontId="22" fillId="0" borderId="108" xfId="0" applyFont="1" applyFill="1" applyBorder="1" applyAlignment="1" applyProtection="1">
      <alignment horizontal="center" vertical="center" wrapText="1"/>
    </xf>
    <xf numFmtId="0" fontId="22" fillId="0" borderId="106" xfId="0" applyFont="1" applyFill="1" applyBorder="1" applyAlignment="1" applyProtection="1">
      <alignment horizontal="center" vertical="center" wrapText="1"/>
    </xf>
    <xf numFmtId="0" fontId="22" fillId="0" borderId="107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right" vertical="center"/>
    </xf>
    <xf numFmtId="168" fontId="24" fillId="33" borderId="265" xfId="0" applyNumberFormat="1" applyFont="1" applyFill="1" applyBorder="1" applyAlignment="1" applyProtection="1">
      <alignment horizontal="center" vertical="center" wrapText="1"/>
    </xf>
    <xf numFmtId="0" fontId="23" fillId="16" borderId="70" xfId="0" applyFont="1" applyFill="1" applyBorder="1" applyAlignment="1" applyProtection="1">
      <alignment horizontal="center" vertical="center" wrapText="1"/>
    </xf>
    <xf numFmtId="0" fontId="23" fillId="16" borderId="178" xfId="0" applyFont="1" applyFill="1" applyBorder="1" applyAlignment="1" applyProtection="1">
      <alignment horizontal="center" vertical="center" wrapText="1"/>
    </xf>
    <xf numFmtId="168" fontId="24" fillId="33" borderId="196" xfId="0" applyNumberFormat="1" applyFont="1" applyFill="1" applyBorder="1" applyAlignment="1" applyProtection="1">
      <alignment horizontal="center" vertical="center" wrapText="1"/>
    </xf>
    <xf numFmtId="168" fontId="24" fillId="33" borderId="197" xfId="0" applyNumberFormat="1" applyFont="1" applyFill="1" applyBorder="1" applyAlignment="1" applyProtection="1">
      <alignment horizontal="center" vertical="center" wrapText="1"/>
    </xf>
    <xf numFmtId="168" fontId="24" fillId="33" borderId="216" xfId="0" applyNumberFormat="1" applyFont="1" applyFill="1" applyBorder="1" applyAlignment="1" applyProtection="1">
      <alignment horizontal="center" vertical="center" wrapText="1"/>
    </xf>
    <xf numFmtId="0" fontId="23" fillId="15" borderId="81" xfId="0" applyFont="1" applyFill="1" applyBorder="1" applyAlignment="1" applyProtection="1">
      <alignment horizontal="center" vertical="center" wrapText="1"/>
    </xf>
    <xf numFmtId="0" fontId="23" fillId="16" borderId="275" xfId="0" applyFont="1" applyFill="1" applyBorder="1" applyAlignment="1" applyProtection="1">
      <alignment horizontal="center" vertical="center" wrapText="1"/>
    </xf>
    <xf numFmtId="0" fontId="23" fillId="16" borderId="77" xfId="0" applyFont="1" applyFill="1" applyBorder="1" applyAlignment="1" applyProtection="1">
      <alignment horizontal="center" vertical="center" wrapText="1"/>
    </xf>
    <xf numFmtId="0" fontId="23" fillId="15" borderId="273" xfId="0" applyFont="1" applyFill="1" applyBorder="1" applyAlignment="1" applyProtection="1">
      <alignment horizontal="center" vertical="center" wrapText="1"/>
    </xf>
    <xf numFmtId="0" fontId="23" fillId="15" borderId="274" xfId="0" applyFont="1" applyFill="1" applyBorder="1" applyAlignment="1" applyProtection="1">
      <alignment horizontal="center" vertical="center" wrapText="1"/>
    </xf>
    <xf numFmtId="0" fontId="22" fillId="0" borderId="274" xfId="0" applyFont="1" applyFill="1" applyBorder="1" applyAlignment="1" applyProtection="1">
      <alignment horizontal="center" vertical="center" wrapText="1"/>
    </xf>
    <xf numFmtId="0" fontId="23" fillId="13" borderId="127" xfId="0" applyFont="1" applyFill="1" applyBorder="1" applyAlignment="1" applyProtection="1">
      <alignment horizontal="center" vertical="center"/>
      <protection locked="0"/>
    </xf>
    <xf numFmtId="0" fontId="23" fillId="13" borderId="128" xfId="0" applyFont="1" applyFill="1" applyBorder="1" applyAlignment="1" applyProtection="1">
      <alignment horizontal="center" vertical="center"/>
      <protection locked="0"/>
    </xf>
    <xf numFmtId="0" fontId="22" fillId="46" borderId="209" xfId="0" applyFont="1" applyFill="1" applyBorder="1" applyAlignment="1" applyProtection="1">
      <alignment horizontal="center" vertical="center" wrapText="1"/>
    </xf>
    <xf numFmtId="0" fontId="34" fillId="36" borderId="186" xfId="0" applyFont="1" applyFill="1" applyBorder="1" applyAlignment="1">
      <alignment horizontal="center" vertical="center" wrapText="1"/>
    </xf>
    <xf numFmtId="0" fontId="34" fillId="36" borderId="85" xfId="0" applyFont="1" applyFill="1" applyBorder="1" applyAlignment="1">
      <alignment horizontal="center" vertical="center" wrapText="1"/>
    </xf>
    <xf numFmtId="0" fontId="31" fillId="50" borderId="214" xfId="0" applyFont="1" applyFill="1" applyBorder="1" applyAlignment="1">
      <alignment horizontal="center" vertical="center" wrapText="1"/>
    </xf>
    <xf numFmtId="0" fontId="31" fillId="50" borderId="183" xfId="0" applyFont="1" applyFill="1" applyBorder="1" applyAlignment="1">
      <alignment horizontal="center" vertical="center" wrapText="1"/>
    </xf>
    <xf numFmtId="166" fontId="13" fillId="18" borderId="204" xfId="13" applyFont="1" applyFill="1" applyBorder="1" applyAlignment="1" applyProtection="1">
      <alignment horizontal="center" vertical="center" wrapText="1"/>
    </xf>
    <xf numFmtId="166" fontId="13" fillId="18" borderId="180" xfId="13" applyFont="1" applyFill="1" applyBorder="1" applyAlignment="1" applyProtection="1">
      <alignment horizontal="center" vertical="center" wrapText="1"/>
    </xf>
    <xf numFmtId="0" fontId="11" fillId="15" borderId="234" xfId="0" applyFont="1" applyFill="1" applyBorder="1" applyAlignment="1" applyProtection="1">
      <alignment horizontal="center" vertical="center"/>
    </xf>
    <xf numFmtId="0" fontId="11" fillId="15" borderId="237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23" fillId="12" borderId="35" xfId="0" applyFont="1" applyFill="1" applyBorder="1" applyAlignment="1" applyProtection="1">
      <alignment horizontal="center" vertical="center"/>
      <protection locked="0"/>
    </xf>
    <xf numFmtId="0" fontId="23" fillId="12" borderId="25" xfId="0" applyFont="1" applyFill="1" applyBorder="1" applyAlignment="1" applyProtection="1">
      <alignment horizontal="center" vertical="center"/>
      <protection locked="0"/>
    </xf>
    <xf numFmtId="0" fontId="34" fillId="36" borderId="186" xfId="0" applyFont="1" applyFill="1" applyBorder="1" applyAlignment="1">
      <alignment horizontal="center" vertical="center"/>
    </xf>
    <xf numFmtId="0" fontId="34" fillId="36" borderId="85" xfId="0" applyFont="1" applyFill="1" applyBorder="1" applyAlignment="1">
      <alignment horizontal="center" vertical="center"/>
    </xf>
    <xf numFmtId="174" fontId="24" fillId="29" borderId="0" xfId="12" applyNumberFormat="1" applyFont="1" applyFill="1" applyBorder="1" applyAlignment="1">
      <alignment horizontal="right" vertical="center" wrapText="1"/>
    </xf>
    <xf numFmtId="174" fontId="24" fillId="29" borderId="44" xfId="12" applyNumberFormat="1" applyFont="1" applyFill="1" applyBorder="1" applyAlignment="1">
      <alignment horizontal="right" vertical="center" wrapText="1"/>
    </xf>
    <xf numFmtId="0" fontId="23" fillId="0" borderId="190" xfId="0" applyFont="1" applyBorder="1" applyAlignment="1">
      <alignment horizontal="center" vertical="top" wrapText="1"/>
    </xf>
    <xf numFmtId="0" fontId="23" fillId="0" borderId="191" xfId="0" applyFont="1" applyBorder="1" applyAlignment="1">
      <alignment horizontal="center" vertical="top" wrapText="1"/>
    </xf>
    <xf numFmtId="0" fontId="23" fillId="0" borderId="84" xfId="0" applyFont="1" applyBorder="1" applyAlignment="1">
      <alignment horizontal="center" vertical="top" wrapText="1"/>
    </xf>
    <xf numFmtId="0" fontId="13" fillId="17" borderId="233" xfId="0" applyFont="1" applyFill="1" applyBorder="1" applyAlignment="1" applyProtection="1">
      <alignment horizontal="center" vertical="center"/>
    </xf>
    <xf numFmtId="0" fontId="13" fillId="17" borderId="236" xfId="0" applyFont="1" applyFill="1" applyBorder="1" applyAlignment="1" applyProtection="1">
      <alignment horizontal="center" vertical="center"/>
    </xf>
    <xf numFmtId="0" fontId="11" fillId="16" borderId="232" xfId="0" applyFont="1" applyFill="1" applyBorder="1" applyAlignment="1" applyProtection="1">
      <alignment horizontal="center" vertical="center"/>
    </xf>
    <xf numFmtId="0" fontId="11" fillId="16" borderId="235" xfId="0" applyFont="1" applyFill="1" applyBorder="1" applyAlignment="1" applyProtection="1">
      <alignment horizontal="center" vertical="center"/>
    </xf>
    <xf numFmtId="0" fontId="11" fillId="17" borderId="203" xfId="0" applyFont="1" applyFill="1" applyBorder="1" applyAlignment="1" applyProtection="1">
      <alignment horizontal="center" vertical="center"/>
    </xf>
    <xf numFmtId="0" fontId="11" fillId="16" borderId="203" xfId="0" applyFont="1" applyFill="1" applyBorder="1" applyAlignment="1" applyProtection="1">
      <alignment horizontal="center" vertical="center" wrapText="1"/>
    </xf>
    <xf numFmtId="0" fontId="11" fillId="16" borderId="192" xfId="0" applyFont="1" applyFill="1" applyBorder="1" applyAlignment="1" applyProtection="1">
      <alignment horizontal="center" vertical="center" wrapText="1"/>
    </xf>
    <xf numFmtId="166" fontId="13" fillId="18" borderId="126" xfId="13" applyFont="1" applyFill="1" applyBorder="1" applyAlignment="1">
      <alignment horizontal="center" vertical="center" wrapText="1"/>
    </xf>
    <xf numFmtId="166" fontId="13" fillId="18" borderId="58" xfId="13" applyFont="1" applyFill="1" applyBorder="1" applyAlignment="1">
      <alignment horizontal="center" vertical="center" wrapText="1"/>
    </xf>
    <xf numFmtId="0" fontId="23" fillId="0" borderId="245" xfId="0" applyFont="1" applyBorder="1" applyAlignment="1">
      <alignment horizontal="center" vertical="top" wrapText="1"/>
    </xf>
    <xf numFmtId="0" fontId="11" fillId="16" borderId="232" xfId="0" applyFont="1" applyFill="1" applyBorder="1" applyAlignment="1">
      <alignment horizontal="center" vertical="center"/>
    </xf>
    <xf numFmtId="0" fontId="11" fillId="16" borderId="235" xfId="0" applyFont="1" applyFill="1" applyBorder="1" applyAlignment="1">
      <alignment horizontal="center" vertical="center"/>
    </xf>
    <xf numFmtId="0" fontId="13" fillId="17" borderId="233" xfId="0" applyFont="1" applyFill="1" applyBorder="1" applyAlignment="1">
      <alignment horizontal="center" vertical="center"/>
    </xf>
    <xf numFmtId="0" fontId="13" fillId="17" borderId="236" xfId="0" applyFont="1" applyFill="1" applyBorder="1" applyAlignment="1">
      <alignment horizontal="center" vertical="center"/>
    </xf>
    <xf numFmtId="0" fontId="11" fillId="15" borderId="234" xfId="0" applyFont="1" applyFill="1" applyBorder="1" applyAlignment="1">
      <alignment horizontal="center" vertical="center"/>
    </xf>
    <xf numFmtId="0" fontId="11" fillId="15" borderId="237" xfId="0" applyFont="1" applyFill="1" applyBorder="1" applyAlignment="1">
      <alignment horizontal="center" vertical="center"/>
    </xf>
    <xf numFmtId="0" fontId="11" fillId="16" borderId="203" xfId="0" applyFont="1" applyFill="1" applyBorder="1" applyAlignment="1">
      <alignment horizontal="center" vertical="center" wrapText="1"/>
    </xf>
    <xf numFmtId="0" fontId="11" fillId="16" borderId="192" xfId="0" applyFont="1" applyFill="1" applyBorder="1" applyAlignment="1">
      <alignment horizontal="center" vertical="center" wrapText="1"/>
    </xf>
    <xf numFmtId="0" fontId="11" fillId="17" borderId="203" xfId="0" applyFont="1" applyFill="1" applyBorder="1" applyAlignment="1">
      <alignment horizontal="center" vertical="center"/>
    </xf>
    <xf numFmtId="168" fontId="11" fillId="23" borderId="188" xfId="13" applyNumberFormat="1" applyFont="1" applyFill="1" applyBorder="1" applyAlignment="1">
      <alignment horizontal="center" vertical="center"/>
    </xf>
    <xf numFmtId="168" fontId="11" fillId="23" borderId="185" xfId="13" applyNumberFormat="1" applyFont="1" applyFill="1" applyBorder="1" applyAlignment="1">
      <alignment horizontal="center" vertical="center"/>
    </xf>
    <xf numFmtId="168" fontId="11" fillId="20" borderId="184" xfId="13" applyNumberFormat="1" applyFont="1" applyFill="1" applyBorder="1" applyAlignment="1">
      <alignment horizontal="center" vertical="center"/>
    </xf>
    <xf numFmtId="168" fontId="11" fillId="20" borderId="188" xfId="13" applyNumberFormat="1" applyFont="1" applyFill="1" applyBorder="1" applyAlignment="1">
      <alignment horizontal="center" vertical="center"/>
    </xf>
    <xf numFmtId="168" fontId="11" fillId="20" borderId="185" xfId="13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23" fillId="48" borderId="115" xfId="0" applyFont="1" applyFill="1" applyBorder="1" applyAlignment="1" applyProtection="1">
      <alignment horizontal="center" vertical="center" textRotation="90" wrapText="1"/>
    </xf>
    <xf numFmtId="0" fontId="23" fillId="48" borderId="109" xfId="0" applyFont="1" applyFill="1" applyBorder="1" applyAlignment="1" applyProtection="1">
      <alignment horizontal="center" vertical="center" textRotation="90" wrapText="1"/>
    </xf>
    <xf numFmtId="0" fontId="23" fillId="48" borderId="49" xfId="0" applyFont="1" applyFill="1" applyBorder="1" applyAlignment="1" applyProtection="1">
      <alignment horizontal="center" vertical="center" textRotation="90" wrapText="1"/>
    </xf>
    <xf numFmtId="0" fontId="23" fillId="48" borderId="115" xfId="0" applyFont="1" applyFill="1" applyBorder="1" applyAlignment="1" applyProtection="1">
      <alignment horizontal="left" vertical="center" wrapText="1"/>
    </xf>
    <xf numFmtId="0" fontId="23" fillId="48" borderId="109" xfId="0" applyFont="1" applyFill="1" applyBorder="1" applyAlignment="1" applyProtection="1">
      <alignment horizontal="left" vertical="center" wrapText="1"/>
    </xf>
    <xf numFmtId="0" fontId="23" fillId="48" borderId="49" xfId="0" applyFont="1" applyFill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17" borderId="27" xfId="0" applyFont="1" applyFill="1" applyBorder="1" applyAlignment="1" applyProtection="1">
      <alignment horizontal="center" vertical="center" wrapText="1"/>
    </xf>
    <xf numFmtId="0" fontId="13" fillId="17" borderId="85" xfId="0" applyFont="1" applyFill="1" applyBorder="1" applyAlignment="1" applyProtection="1">
      <alignment horizontal="center" vertical="center" wrapText="1"/>
    </xf>
    <xf numFmtId="0" fontId="11" fillId="15" borderId="27" xfId="0" applyFont="1" applyFill="1" applyBorder="1" applyAlignment="1" applyProtection="1">
      <alignment horizontal="center" vertical="center" wrapText="1"/>
    </xf>
    <xf numFmtId="0" fontId="11" fillId="15" borderId="85" xfId="0" applyFont="1" applyFill="1" applyBorder="1" applyAlignment="1" applyProtection="1">
      <alignment horizontal="center" vertical="center" wrapText="1"/>
    </xf>
    <xf numFmtId="0" fontId="13" fillId="26" borderId="179" xfId="0" applyFont="1" applyFill="1" applyBorder="1" applyAlignment="1">
      <alignment horizontal="center" vertical="center" wrapText="1"/>
    </xf>
    <xf numFmtId="0" fontId="13" fillId="26" borderId="49" xfId="0" applyFont="1" applyFill="1" applyBorder="1" applyAlignment="1">
      <alignment horizontal="center" vertical="center" wrapText="1"/>
    </xf>
    <xf numFmtId="0" fontId="18" fillId="14" borderId="106" xfId="0" applyFont="1" applyFill="1" applyBorder="1" applyAlignment="1" applyProtection="1">
      <alignment horizontal="center" vertical="center"/>
    </xf>
    <xf numFmtId="0" fontId="18" fillId="14" borderId="116" xfId="0" applyFont="1" applyFill="1" applyBorder="1" applyAlignment="1" applyProtection="1">
      <alignment horizontal="center" vertical="center"/>
    </xf>
    <xf numFmtId="0" fontId="18" fillId="49" borderId="106" xfId="0" applyFont="1" applyFill="1" applyBorder="1" applyAlignment="1" applyProtection="1">
      <alignment horizontal="center" vertical="center"/>
    </xf>
    <xf numFmtId="0" fontId="18" fillId="49" borderId="82" xfId="0" applyFont="1" applyFill="1" applyBorder="1" applyAlignment="1" applyProtection="1">
      <alignment horizontal="center" vertical="center"/>
    </xf>
    <xf numFmtId="0" fontId="18" fillId="48" borderId="116" xfId="0" applyFont="1" applyFill="1" applyBorder="1" applyAlignment="1" applyProtection="1">
      <alignment horizontal="center" vertical="center"/>
    </xf>
    <xf numFmtId="0" fontId="13" fillId="16" borderId="39" xfId="0" applyFont="1" applyFill="1" applyBorder="1" applyAlignment="1" applyProtection="1">
      <alignment horizontal="center" vertical="center" wrapText="1"/>
    </xf>
    <xf numFmtId="0" fontId="13" fillId="16" borderId="42" xfId="0" applyFont="1" applyFill="1" applyBorder="1" applyAlignment="1" applyProtection="1">
      <alignment horizontal="center" vertical="center" wrapText="1"/>
    </xf>
    <xf numFmtId="0" fontId="13" fillId="16" borderId="43" xfId="0" applyFont="1" applyFill="1" applyBorder="1" applyAlignment="1" applyProtection="1">
      <alignment horizontal="center" vertical="center" wrapText="1"/>
    </xf>
    <xf numFmtId="0" fontId="13" fillId="16" borderId="44" xfId="0" applyFont="1" applyFill="1" applyBorder="1" applyAlignment="1" applyProtection="1">
      <alignment horizontal="center" vertical="center" wrapText="1"/>
    </xf>
    <xf numFmtId="0" fontId="13" fillId="16" borderId="38" xfId="0" applyFont="1" applyFill="1" applyBorder="1" applyAlignment="1" applyProtection="1">
      <alignment horizontal="center" vertical="center"/>
    </xf>
    <xf numFmtId="0" fontId="13" fillId="16" borderId="12" xfId="0" applyFont="1" applyFill="1" applyBorder="1" applyAlignment="1" applyProtection="1">
      <alignment horizontal="center" vertical="center"/>
    </xf>
    <xf numFmtId="0" fontId="13" fillId="16" borderId="38" xfId="0" applyFont="1" applyFill="1" applyBorder="1" applyAlignment="1" applyProtection="1">
      <alignment horizontal="center" vertical="center" wrapText="1"/>
    </xf>
    <xf numFmtId="0" fontId="13" fillId="16" borderId="12" xfId="0" applyFont="1" applyFill="1" applyBorder="1" applyAlignment="1" applyProtection="1">
      <alignment horizontal="center" vertical="center" wrapText="1"/>
    </xf>
    <xf numFmtId="0" fontId="22" fillId="16" borderId="106" xfId="0" applyFont="1" applyFill="1" applyBorder="1" applyAlignment="1">
      <alignment horizontal="center" vertical="center"/>
    </xf>
    <xf numFmtId="0" fontId="22" fillId="16" borderId="177" xfId="0" applyFont="1" applyFill="1" applyBorder="1" applyAlignment="1">
      <alignment horizontal="center" vertical="center"/>
    </xf>
    <xf numFmtId="0" fontId="26" fillId="48" borderId="74" xfId="0" applyFont="1" applyFill="1" applyBorder="1" applyAlignment="1" applyProtection="1">
      <alignment horizontal="center" vertical="center" textRotation="90" wrapText="1"/>
    </xf>
    <xf numFmtId="0" fontId="26" fillId="48" borderId="63" xfId="0" applyFont="1" applyFill="1" applyBorder="1" applyAlignment="1" applyProtection="1">
      <alignment horizontal="center" vertical="center" textRotation="90" wrapText="1"/>
    </xf>
    <xf numFmtId="0" fontId="26" fillId="48" borderId="58" xfId="0" applyFont="1" applyFill="1" applyBorder="1" applyAlignment="1" applyProtection="1">
      <alignment horizontal="center" vertical="center" textRotation="90" wrapText="1"/>
    </xf>
    <xf numFmtId="0" fontId="23" fillId="12" borderId="75" xfId="0" applyFont="1" applyFill="1" applyBorder="1" applyAlignment="1" applyProtection="1">
      <alignment horizontal="left" vertical="center" wrapText="1"/>
      <protection locked="0"/>
    </xf>
    <xf numFmtId="0" fontId="23" fillId="12" borderId="76" xfId="0" applyFont="1" applyFill="1" applyBorder="1" applyAlignment="1" applyProtection="1">
      <alignment horizontal="left" vertical="center" wrapText="1"/>
      <protection locked="0"/>
    </xf>
    <xf numFmtId="0" fontId="23" fillId="12" borderId="73" xfId="0" applyFont="1" applyFill="1" applyBorder="1" applyAlignment="1" applyProtection="1">
      <alignment horizontal="left" vertical="center" wrapText="1"/>
      <protection locked="0"/>
    </xf>
    <xf numFmtId="0" fontId="23" fillId="12" borderId="69" xfId="0" applyFont="1" applyFill="1" applyBorder="1" applyAlignment="1" applyProtection="1">
      <alignment horizontal="left" vertical="center" wrapText="1"/>
      <protection locked="0"/>
    </xf>
    <xf numFmtId="0" fontId="23" fillId="12" borderId="109" xfId="0" applyFont="1" applyFill="1" applyBorder="1" applyAlignment="1" applyProtection="1">
      <alignment horizontal="left" vertical="center" wrapText="1"/>
      <protection locked="0"/>
    </xf>
    <xf numFmtId="0" fontId="23" fillId="12" borderId="71" xfId="0" applyFont="1" applyFill="1" applyBorder="1" applyAlignment="1" applyProtection="1">
      <alignment horizontal="left" vertical="center" wrapText="1"/>
      <protection locked="0"/>
    </xf>
    <xf numFmtId="0" fontId="23" fillId="12" borderId="49" xfId="0" applyFont="1" applyFill="1" applyBorder="1" applyAlignment="1" applyProtection="1">
      <alignment horizontal="left" vertical="center" wrapText="1"/>
      <protection locked="0"/>
    </xf>
    <xf numFmtId="0" fontId="13" fillId="16" borderId="115" xfId="0" applyFont="1" applyFill="1" applyBorder="1" applyAlignment="1" applyProtection="1">
      <alignment horizontal="center" vertical="center" wrapText="1"/>
    </xf>
    <xf numFmtId="0" fontId="13" fillId="16" borderId="49" xfId="0" applyFont="1" applyFill="1" applyBorder="1" applyAlignment="1" applyProtection="1">
      <alignment horizontal="center" vertical="center" wrapText="1"/>
    </xf>
    <xf numFmtId="0" fontId="11" fillId="16" borderId="66" xfId="0" applyFont="1" applyFill="1" applyBorder="1" applyAlignment="1" applyProtection="1">
      <alignment horizontal="center" vertical="center" wrapText="1"/>
    </xf>
    <xf numFmtId="0" fontId="18" fillId="48" borderId="106" xfId="0" applyFont="1" applyFill="1" applyBorder="1" applyAlignment="1" applyProtection="1">
      <alignment horizontal="center" vertical="center"/>
    </xf>
    <xf numFmtId="0" fontId="18" fillId="48" borderId="82" xfId="0" applyFont="1" applyFill="1" applyBorder="1" applyAlignment="1" applyProtection="1">
      <alignment horizontal="center" vertical="center"/>
    </xf>
    <xf numFmtId="0" fontId="10" fillId="14" borderId="108" xfId="0" applyFont="1" applyFill="1" applyBorder="1" applyAlignment="1" applyProtection="1">
      <alignment horizontal="center" vertical="center"/>
    </xf>
    <xf numFmtId="0" fontId="10" fillId="14" borderId="119" xfId="0" applyFont="1" applyFill="1" applyBorder="1" applyAlignment="1" applyProtection="1">
      <alignment horizontal="center" vertical="center"/>
    </xf>
    <xf numFmtId="0" fontId="18" fillId="14" borderId="81" xfId="0" applyFont="1" applyFill="1" applyBorder="1" applyAlignment="1" applyProtection="1">
      <alignment horizontal="center" vertical="center"/>
    </xf>
    <xf numFmtId="0" fontId="18" fillId="14" borderId="70" xfId="0" applyFont="1" applyFill="1" applyBorder="1" applyAlignment="1" applyProtection="1">
      <alignment horizontal="center" vertical="center"/>
    </xf>
    <xf numFmtId="0" fontId="18" fillId="49" borderId="81" xfId="0" applyFont="1" applyFill="1" applyBorder="1" applyAlignment="1" applyProtection="1">
      <alignment horizontal="center" vertical="center"/>
    </xf>
    <xf numFmtId="0" fontId="18" fillId="49" borderId="97" xfId="0" applyFont="1" applyFill="1" applyBorder="1" applyAlignment="1" applyProtection="1">
      <alignment horizontal="center" vertical="center"/>
    </xf>
    <xf numFmtId="0" fontId="18" fillId="48" borderId="83" xfId="0" applyFont="1" applyFill="1" applyBorder="1" applyAlignment="1" applyProtection="1">
      <alignment horizontal="center" vertical="center"/>
    </xf>
    <xf numFmtId="0" fontId="18" fillId="48" borderId="97" xfId="0" applyFont="1" applyFill="1" applyBorder="1" applyAlignment="1" applyProtection="1">
      <alignment horizontal="center" vertical="center"/>
    </xf>
    <xf numFmtId="0" fontId="18" fillId="14" borderId="82" xfId="0" applyFont="1" applyFill="1" applyBorder="1" applyAlignment="1" applyProtection="1">
      <alignment horizontal="center" vertical="center"/>
    </xf>
    <xf numFmtId="177" fontId="0" fillId="25" borderId="88" xfId="0" applyNumberFormat="1" applyFont="1" applyFill="1" applyBorder="1" applyAlignment="1" applyProtection="1">
      <alignment horizontal="center" vertical="center"/>
    </xf>
    <xf numFmtId="177" fontId="0" fillId="25" borderId="140" xfId="0" applyNumberFormat="1" applyFont="1" applyFill="1" applyBorder="1" applyAlignment="1" applyProtection="1">
      <alignment horizontal="center" vertical="center"/>
    </xf>
    <xf numFmtId="0" fontId="10" fillId="49" borderId="108" xfId="0" applyFont="1" applyFill="1" applyBorder="1" applyAlignment="1" applyProtection="1">
      <alignment horizontal="center" vertical="center"/>
    </xf>
    <xf numFmtId="0" fontId="10" fillId="49" borderId="119" xfId="0" applyFont="1" applyFill="1" applyBorder="1" applyAlignment="1" applyProtection="1">
      <alignment horizontal="center" vertical="center"/>
    </xf>
    <xf numFmtId="0" fontId="10" fillId="48" borderId="108" xfId="0" applyFont="1" applyFill="1" applyBorder="1" applyAlignment="1" applyProtection="1">
      <alignment horizontal="center" vertical="center"/>
    </xf>
    <xf numFmtId="0" fontId="10" fillId="48" borderId="119" xfId="0" applyFont="1" applyFill="1" applyBorder="1" applyAlignment="1" applyProtection="1">
      <alignment horizontal="center" vertical="center"/>
    </xf>
    <xf numFmtId="0" fontId="23" fillId="0" borderId="81" xfId="0" applyFont="1" applyFill="1" applyBorder="1" applyAlignment="1" applyProtection="1">
      <alignment horizontal="left" vertical="center" wrapText="1"/>
    </xf>
    <xf numFmtId="0" fontId="23" fillId="0" borderId="194" xfId="0" applyFont="1" applyFill="1" applyBorder="1" applyAlignment="1" applyProtection="1">
      <alignment horizontal="left" vertical="center" wrapText="1"/>
    </xf>
    <xf numFmtId="0" fontId="23" fillId="16" borderId="81" xfId="0" applyFont="1" applyFill="1" applyBorder="1" applyAlignment="1" applyProtection="1">
      <alignment horizontal="center" vertical="center"/>
    </xf>
    <xf numFmtId="0" fontId="23" fillId="16" borderId="203" xfId="0" applyFont="1" applyFill="1" applyBorder="1" applyAlignment="1" applyProtection="1">
      <alignment horizontal="center" vertical="center"/>
    </xf>
    <xf numFmtId="0" fontId="23" fillId="16" borderId="204" xfId="0" applyFont="1" applyFill="1" applyBorder="1" applyAlignment="1" applyProtection="1">
      <alignment horizontal="center" vertical="center"/>
    </xf>
    <xf numFmtId="0" fontId="23" fillId="0" borderId="255" xfId="0" applyFont="1" applyFill="1" applyBorder="1" applyAlignment="1" applyProtection="1">
      <alignment horizontal="left" vertical="center" wrapText="1"/>
    </xf>
    <xf numFmtId="0" fontId="23" fillId="12" borderId="17" xfId="0" applyFont="1" applyFill="1" applyBorder="1" applyAlignment="1" applyProtection="1">
      <alignment horizontal="center" vertical="center"/>
      <protection locked="0"/>
    </xf>
    <xf numFmtId="0" fontId="23" fillId="12" borderId="18" xfId="0" applyFont="1" applyFill="1" applyBorder="1" applyAlignment="1" applyProtection="1">
      <alignment horizontal="center" vertical="center"/>
      <protection locked="0"/>
    </xf>
    <xf numFmtId="168" fontId="23" fillId="17" borderId="81" xfId="0" applyNumberFormat="1" applyFont="1" applyFill="1" applyBorder="1" applyAlignment="1" applyProtection="1">
      <alignment horizontal="center" vertical="center" wrapText="1"/>
    </xf>
    <xf numFmtId="168" fontId="23" fillId="17" borderId="203" xfId="0" applyNumberFormat="1" applyFont="1" applyFill="1" applyBorder="1" applyAlignment="1" applyProtection="1">
      <alignment horizontal="center" vertical="center" wrapText="1"/>
    </xf>
    <xf numFmtId="168" fontId="23" fillId="17" borderId="204" xfId="0" applyNumberFormat="1" applyFont="1" applyFill="1" applyBorder="1" applyAlignment="1" applyProtection="1">
      <alignment horizontal="center" vertical="center" wrapText="1"/>
    </xf>
    <xf numFmtId="168" fontId="24" fillId="33" borderId="81" xfId="0" applyNumberFormat="1" applyFont="1" applyFill="1" applyBorder="1" applyAlignment="1" applyProtection="1">
      <alignment horizontal="center" vertical="center" wrapText="1"/>
    </xf>
    <xf numFmtId="168" fontId="24" fillId="33" borderId="203" xfId="0" applyNumberFormat="1" applyFont="1" applyFill="1" applyBorder="1" applyAlignment="1" applyProtection="1">
      <alignment horizontal="center" vertical="center" wrapText="1"/>
    </xf>
    <xf numFmtId="168" fontId="24" fillId="33" borderId="204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left" vertical="center" indent="2"/>
    </xf>
    <xf numFmtId="0" fontId="13" fillId="15" borderId="81" xfId="0" applyFont="1" applyFill="1" applyBorder="1" applyAlignment="1" applyProtection="1">
      <alignment horizontal="center" vertical="center" wrapText="1"/>
    </xf>
    <xf numFmtId="0" fontId="13" fillId="15" borderId="252" xfId="0" applyFont="1" applyFill="1" applyBorder="1" applyAlignment="1" applyProtection="1">
      <alignment horizontal="center" vertical="center" wrapText="1"/>
    </xf>
    <xf numFmtId="0" fontId="13" fillId="15" borderId="256" xfId="0" applyFont="1" applyFill="1" applyBorder="1" applyAlignment="1" applyProtection="1">
      <alignment horizontal="center" vertical="center" wrapText="1"/>
    </xf>
    <xf numFmtId="0" fontId="13" fillId="15" borderId="257" xfId="0" applyFont="1" applyFill="1" applyBorder="1" applyAlignment="1" applyProtection="1">
      <alignment horizontal="center" vertical="center" wrapText="1"/>
    </xf>
    <xf numFmtId="0" fontId="23" fillId="11" borderId="115" xfId="0" applyFont="1" applyFill="1" applyBorder="1" applyAlignment="1" applyProtection="1">
      <alignment horizontal="center" vertical="center" wrapText="1"/>
    </xf>
    <xf numFmtId="0" fontId="23" fillId="11" borderId="109" xfId="0" applyFont="1" applyFill="1" applyBorder="1" applyAlignment="1" applyProtection="1">
      <alignment horizontal="center" vertical="center" wrapText="1"/>
    </xf>
    <xf numFmtId="0" fontId="23" fillId="11" borderId="49" xfId="0" applyFont="1" applyFill="1" applyBorder="1" applyAlignment="1" applyProtection="1">
      <alignment horizontal="center" vertical="center" wrapText="1"/>
    </xf>
    <xf numFmtId="177" fontId="23" fillId="28" borderId="115" xfId="0" applyNumberFormat="1" applyFont="1" applyFill="1" applyBorder="1" applyAlignment="1" applyProtection="1">
      <alignment horizontal="right" vertical="center"/>
    </xf>
    <xf numFmtId="177" fontId="23" fillId="28" borderId="109" xfId="0" applyNumberFormat="1" applyFont="1" applyFill="1" applyBorder="1" applyAlignment="1" applyProtection="1">
      <alignment horizontal="right" vertical="center"/>
    </xf>
    <xf numFmtId="177" fontId="23" fillId="28" borderId="49" xfId="0" applyNumberFormat="1" applyFont="1" applyFill="1" applyBorder="1" applyAlignment="1" applyProtection="1">
      <alignment horizontal="right" vertical="center"/>
    </xf>
    <xf numFmtId="0" fontId="18" fillId="0" borderId="0" xfId="0" applyFont="1" applyFill="1" applyBorder="1" applyAlignment="1" applyProtection="1">
      <alignment horizontal="center" vertical="center"/>
    </xf>
    <xf numFmtId="177" fontId="23" fillId="28" borderId="71" xfId="0" applyNumberFormat="1" applyFont="1" applyFill="1" applyBorder="1" applyAlignment="1" applyProtection="1">
      <alignment horizontal="right" vertical="center"/>
    </xf>
    <xf numFmtId="0" fontId="13" fillId="16" borderId="273" xfId="0" applyFont="1" applyFill="1" applyBorder="1" applyAlignment="1">
      <alignment horizontal="center" vertical="center" wrapText="1"/>
    </xf>
    <xf numFmtId="0" fontId="13" fillId="16" borderId="108" xfId="0" applyFont="1" applyFill="1" applyBorder="1" applyAlignment="1">
      <alignment horizontal="center" vertical="center" wrapText="1"/>
    </xf>
    <xf numFmtId="0" fontId="13" fillId="26" borderId="275" xfId="0" applyFont="1" applyFill="1" applyBorder="1" applyAlignment="1">
      <alignment horizontal="center" vertical="center" wrapText="1"/>
    </xf>
    <xf numFmtId="0" fontId="13" fillId="26" borderId="131" xfId="0" applyFont="1" applyFill="1" applyBorder="1" applyAlignment="1">
      <alignment horizontal="center" vertical="center" wrapText="1"/>
    </xf>
    <xf numFmtId="0" fontId="13" fillId="16" borderId="269" xfId="0" applyFont="1" applyFill="1" applyBorder="1" applyAlignment="1">
      <alignment horizontal="center" vertical="center" wrapText="1"/>
    </xf>
    <xf numFmtId="0" fontId="13" fillId="16" borderId="117" xfId="0" applyFont="1" applyFill="1" applyBorder="1" applyAlignment="1">
      <alignment horizontal="center" vertical="center" wrapText="1"/>
    </xf>
    <xf numFmtId="0" fontId="13" fillId="16" borderId="203" xfId="0" applyFont="1" applyFill="1" applyBorder="1" applyAlignment="1">
      <alignment horizontal="center" vertical="center" wrapText="1"/>
    </xf>
    <xf numFmtId="0" fontId="13" fillId="16" borderId="192" xfId="0" applyFont="1" applyFill="1" applyBorder="1" applyAlignment="1">
      <alignment horizontal="center" vertical="center" wrapText="1"/>
    </xf>
    <xf numFmtId="0" fontId="13" fillId="16" borderId="80" xfId="0" applyFont="1" applyFill="1" applyBorder="1" applyAlignment="1" applyProtection="1">
      <alignment horizontal="center" vertical="center"/>
    </xf>
    <xf numFmtId="0" fontId="13" fillId="16" borderId="282" xfId="0" applyFont="1" applyFill="1" applyBorder="1" applyAlignment="1" applyProtection="1">
      <alignment horizontal="center" vertical="center"/>
    </xf>
    <xf numFmtId="0" fontId="13" fillId="26" borderId="265" xfId="0" applyFont="1" applyFill="1" applyBorder="1" applyAlignment="1">
      <alignment horizontal="center" vertical="center" wrapText="1"/>
    </xf>
    <xf numFmtId="0" fontId="13" fillId="26" borderId="58" xfId="0" applyFont="1" applyFill="1" applyBorder="1" applyAlignment="1">
      <alignment horizontal="center" vertical="center" wrapText="1"/>
    </xf>
    <xf numFmtId="0" fontId="13" fillId="26" borderId="115" xfId="0" applyFont="1" applyFill="1" applyBorder="1" applyAlignment="1" applyProtection="1">
      <alignment horizontal="center" vertical="center" wrapText="1"/>
    </xf>
    <xf numFmtId="0" fontId="13" fillId="26" borderId="71" xfId="0" applyFont="1" applyFill="1" applyBorder="1" applyAlignment="1" applyProtection="1">
      <alignment horizontal="center" vertical="center" wrapText="1"/>
    </xf>
    <xf numFmtId="0" fontId="13" fillId="16" borderId="133" xfId="0" applyFont="1" applyFill="1" applyBorder="1" applyAlignment="1" applyProtection="1">
      <alignment horizontal="center" vertical="center" wrapText="1"/>
    </xf>
    <xf numFmtId="0" fontId="13" fillId="16" borderId="33" xfId="0" applyFont="1" applyFill="1" applyBorder="1" applyAlignment="1" applyProtection="1">
      <alignment horizontal="center" vertical="center" wrapText="1"/>
    </xf>
    <xf numFmtId="0" fontId="13" fillId="16" borderId="109" xfId="0" applyFont="1" applyFill="1" applyBorder="1" applyAlignment="1" applyProtection="1">
      <alignment horizontal="center" vertical="center" wrapText="1"/>
    </xf>
    <xf numFmtId="0" fontId="13" fillId="16" borderId="263" xfId="0" applyFont="1" applyFill="1" applyBorder="1" applyAlignment="1" applyProtection="1">
      <alignment horizontal="center" vertical="center"/>
    </xf>
    <xf numFmtId="0" fontId="13" fillId="16" borderId="36" xfId="0" applyFont="1" applyFill="1" applyBorder="1" applyAlignment="1" applyProtection="1">
      <alignment horizontal="center" vertical="center"/>
    </xf>
    <xf numFmtId="0" fontId="13" fillId="16" borderId="85" xfId="0" applyFont="1" applyFill="1" applyBorder="1" applyAlignment="1" applyProtection="1">
      <alignment horizontal="center" vertical="center"/>
    </xf>
    <xf numFmtId="0" fontId="13" fillId="16" borderId="132" xfId="0" applyFont="1" applyFill="1" applyBorder="1" applyAlignment="1" applyProtection="1">
      <alignment horizontal="center" vertical="center"/>
    </xf>
    <xf numFmtId="0" fontId="13" fillId="16" borderId="85" xfId="0" applyFont="1" applyFill="1" applyBorder="1" applyAlignment="1" applyProtection="1">
      <alignment horizontal="center" vertical="center" wrapText="1"/>
    </xf>
    <xf numFmtId="0" fontId="13" fillId="16" borderId="132" xfId="0" applyFont="1" applyFill="1" applyBorder="1" applyAlignment="1" applyProtection="1">
      <alignment horizontal="center" vertical="center" wrapText="1"/>
    </xf>
    <xf numFmtId="0" fontId="13" fillId="16" borderId="112" xfId="0" applyFont="1" applyFill="1" applyBorder="1" applyAlignment="1" applyProtection="1">
      <alignment horizontal="center" vertical="center" wrapText="1"/>
    </xf>
    <xf numFmtId="0" fontId="13" fillId="16" borderId="123" xfId="0" applyFont="1" applyFill="1" applyBorder="1" applyAlignment="1" applyProtection="1">
      <alignment horizontal="center" vertical="center" wrapText="1"/>
    </xf>
    <xf numFmtId="0" fontId="22" fillId="0" borderId="174" xfId="0" applyFont="1" applyFill="1" applyBorder="1" applyAlignment="1" applyProtection="1">
      <alignment horizontal="center" vertical="center" wrapText="1"/>
    </xf>
    <xf numFmtId="0" fontId="22" fillId="0" borderId="159" xfId="0" applyFont="1" applyFill="1" applyBorder="1" applyAlignment="1" applyProtection="1">
      <alignment horizontal="center" vertical="center" wrapText="1"/>
    </xf>
    <xf numFmtId="0" fontId="22" fillId="0" borderId="92" xfId="0" applyFont="1" applyFill="1" applyBorder="1" applyAlignment="1" applyProtection="1">
      <alignment horizontal="center" vertical="center" wrapText="1"/>
    </xf>
    <xf numFmtId="0" fontId="23" fillId="15" borderId="147" xfId="0" applyFont="1" applyFill="1" applyBorder="1" applyAlignment="1" applyProtection="1">
      <alignment horizontal="center" vertical="center" wrapText="1"/>
    </xf>
    <xf numFmtId="0" fontId="23" fillId="15" borderId="159" xfId="0" applyFont="1" applyFill="1" applyBorder="1" applyAlignment="1" applyProtection="1">
      <alignment horizontal="center" vertical="center" wrapText="1"/>
    </xf>
    <xf numFmtId="0" fontId="23" fillId="15" borderId="165" xfId="0" applyFont="1" applyFill="1" applyBorder="1" applyAlignment="1" applyProtection="1">
      <alignment horizontal="center" vertical="center" wrapText="1"/>
    </xf>
    <xf numFmtId="0" fontId="23" fillId="15" borderId="89" xfId="0" applyFont="1" applyFill="1" applyBorder="1" applyAlignment="1" applyProtection="1">
      <alignment horizontal="center" vertical="center" wrapText="1"/>
    </xf>
    <xf numFmtId="0" fontId="13" fillId="16" borderId="166" xfId="0" applyFont="1" applyFill="1" applyBorder="1" applyAlignment="1" applyProtection="1">
      <alignment horizontal="center" vertical="center"/>
    </xf>
    <xf numFmtId="0" fontId="13" fillId="16" borderId="167" xfId="0" applyFont="1" applyFill="1" applyBorder="1" applyAlignment="1" applyProtection="1">
      <alignment horizontal="center" vertical="center"/>
    </xf>
    <xf numFmtId="168" fontId="24" fillId="33" borderId="147" xfId="0" applyNumberFormat="1" applyFont="1" applyFill="1" applyBorder="1" applyAlignment="1" applyProtection="1">
      <alignment horizontal="center" vertical="center" wrapText="1"/>
    </xf>
    <xf numFmtId="168" fontId="24" fillId="33" borderId="145" xfId="0" applyNumberFormat="1" applyFont="1" applyFill="1" applyBorder="1" applyAlignment="1" applyProtection="1">
      <alignment horizontal="center" vertical="center" wrapText="1"/>
    </xf>
    <xf numFmtId="168" fontId="24" fillId="33" borderId="148" xfId="0" applyNumberFormat="1" applyFont="1" applyFill="1" applyBorder="1" applyAlignment="1" applyProtection="1">
      <alignment horizontal="center" vertical="center" wrapText="1"/>
    </xf>
    <xf numFmtId="168" fontId="13" fillId="17" borderId="144" xfId="0" applyNumberFormat="1" applyFont="1" applyFill="1" applyBorder="1" applyAlignment="1" applyProtection="1">
      <alignment horizontal="center" vertical="center" wrapText="1"/>
    </xf>
    <xf numFmtId="168" fontId="13" fillId="17" borderId="145" xfId="0" applyNumberFormat="1" applyFont="1" applyFill="1" applyBorder="1" applyAlignment="1" applyProtection="1">
      <alignment horizontal="center" vertical="center" wrapText="1"/>
    </xf>
    <xf numFmtId="168" fontId="13" fillId="17" borderId="146" xfId="0" applyNumberFormat="1" applyFont="1" applyFill="1" applyBorder="1" applyAlignment="1" applyProtection="1">
      <alignment horizontal="center" vertical="center" wrapText="1"/>
    </xf>
    <xf numFmtId="0" fontId="13" fillId="16" borderId="173" xfId="0" applyFont="1" applyFill="1" applyBorder="1" applyAlignment="1" applyProtection="1">
      <alignment horizontal="center" vertical="center" wrapText="1"/>
    </xf>
    <xf numFmtId="0" fontId="13" fillId="16" borderId="63" xfId="0" applyFont="1" applyFill="1" applyBorder="1" applyAlignment="1" applyProtection="1">
      <alignment horizontal="center" vertical="center" wrapText="1"/>
    </xf>
    <xf numFmtId="0" fontId="13" fillId="16" borderId="170" xfId="0" applyFont="1" applyFill="1" applyBorder="1" applyAlignment="1" applyProtection="1">
      <alignment horizontal="center" vertical="center" wrapText="1"/>
    </xf>
    <xf numFmtId="0" fontId="13" fillId="16" borderId="90" xfId="0" applyFont="1" applyFill="1" applyBorder="1" applyAlignment="1" applyProtection="1">
      <alignment horizontal="center" vertical="center" wrapText="1"/>
    </xf>
    <xf numFmtId="0" fontId="23" fillId="12" borderId="14" xfId="0" applyFont="1" applyFill="1" applyBorder="1" applyAlignment="1" applyProtection="1">
      <alignment horizontal="center" vertical="center"/>
      <protection locked="0"/>
    </xf>
    <xf numFmtId="0" fontId="23" fillId="12" borderId="15" xfId="0" applyFont="1" applyFill="1" applyBorder="1" applyAlignment="1" applyProtection="1">
      <alignment horizontal="center" vertical="center"/>
      <protection locked="0"/>
    </xf>
    <xf numFmtId="0" fontId="13" fillId="16" borderId="168" xfId="0" applyFont="1" applyFill="1" applyBorder="1" applyAlignment="1" applyProtection="1">
      <alignment horizontal="center" vertical="center"/>
    </xf>
    <xf numFmtId="0" fontId="13" fillId="16" borderId="169" xfId="0" applyFont="1" applyFill="1" applyBorder="1" applyAlignment="1" applyProtection="1">
      <alignment horizontal="center" vertical="center"/>
    </xf>
    <xf numFmtId="0" fontId="0" fillId="37" borderId="32" xfId="0" applyFont="1" applyFill="1" applyBorder="1" applyAlignment="1" applyProtection="1">
      <alignment horizontal="left" vertical="center" wrapText="1"/>
    </xf>
    <xf numFmtId="0" fontId="0" fillId="37" borderId="21" xfId="0" applyFont="1" applyFill="1" applyBorder="1" applyAlignment="1" applyProtection="1">
      <alignment horizontal="left" vertical="center" wrapText="1"/>
    </xf>
    <xf numFmtId="0" fontId="0" fillId="37" borderId="36" xfId="0" applyFont="1" applyFill="1" applyBorder="1" applyAlignment="1" applyProtection="1">
      <alignment horizontal="left" vertical="center" wrapText="1"/>
    </xf>
    <xf numFmtId="0" fontId="0" fillId="37" borderId="33" xfId="0" applyFont="1" applyFill="1" applyBorder="1" applyAlignment="1" applyProtection="1">
      <alignment horizontal="left" vertical="center" wrapText="1"/>
    </xf>
    <xf numFmtId="0" fontId="0" fillId="37" borderId="0" xfId="0" applyFont="1" applyFill="1" applyBorder="1" applyAlignment="1" applyProtection="1">
      <alignment horizontal="left" vertical="center" wrapText="1"/>
    </xf>
    <xf numFmtId="0" fontId="0" fillId="37" borderId="37" xfId="0" applyFont="1" applyFill="1" applyBorder="1" applyAlignment="1" applyProtection="1">
      <alignment horizontal="left" vertical="center" wrapText="1"/>
    </xf>
    <xf numFmtId="0" fontId="0" fillId="37" borderId="22" xfId="0" applyFont="1" applyFill="1" applyBorder="1" applyAlignment="1" applyProtection="1">
      <alignment horizontal="left" vertical="center" wrapText="1"/>
    </xf>
    <xf numFmtId="0" fontId="0" fillId="37" borderId="19" xfId="0" applyFont="1" applyFill="1" applyBorder="1" applyAlignment="1" applyProtection="1">
      <alignment horizontal="left" vertical="center" wrapText="1"/>
    </xf>
    <xf numFmtId="0" fontId="0" fillId="37" borderId="20" xfId="0" applyFont="1" applyFill="1" applyBorder="1" applyAlignment="1" applyProtection="1">
      <alignment horizontal="left" vertical="center" wrapText="1"/>
    </xf>
    <xf numFmtId="0" fontId="13" fillId="16" borderId="81" xfId="0" applyFont="1" applyFill="1" applyBorder="1" applyAlignment="1" applyProtection="1">
      <alignment horizontal="center" vertical="center"/>
    </xf>
    <xf numFmtId="0" fontId="13" fillId="16" borderId="154" xfId="0" applyFont="1" applyFill="1" applyBorder="1" applyAlignment="1" applyProtection="1">
      <alignment horizontal="center" vertical="center"/>
    </xf>
    <xf numFmtId="0" fontId="13" fillId="16" borderId="172" xfId="0" applyFont="1" applyFill="1" applyBorder="1" applyAlignment="1" applyProtection="1">
      <alignment horizontal="center" vertical="center"/>
    </xf>
    <xf numFmtId="0" fontId="23" fillId="12" borderId="270" xfId="0" applyFont="1" applyFill="1" applyBorder="1" applyAlignment="1" applyProtection="1">
      <alignment horizontal="center" vertical="center"/>
      <protection locked="0"/>
    </xf>
    <xf numFmtId="0" fontId="23" fillId="12" borderId="294" xfId="0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left" vertical="center" indent="2"/>
    </xf>
  </cellXfs>
  <cellStyles count="3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21" xr:uid="{00000000-0005-0000-0000-000006000000}"/>
    <cellStyle name="Euro 2" xfId="22" xr:uid="{00000000-0005-0000-0000-000007000000}"/>
    <cellStyle name="Euro 3" xfId="23" xr:uid="{00000000-0005-0000-0000-000008000000}"/>
    <cellStyle name="Footnote" xfId="7" xr:uid="{00000000-0005-0000-0000-000009000000}"/>
    <cellStyle name="Good" xfId="8" xr:uid="{00000000-0005-0000-0000-00000A000000}"/>
    <cellStyle name="Heading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20" builtinId="8"/>
    <cellStyle name="Millares" xfId="12" builtinId="3"/>
    <cellStyle name="Millares [0]" xfId="31" builtinId="6"/>
    <cellStyle name="Millares 2" xfId="24" xr:uid="{00000000-0005-0000-0000-000011000000}"/>
    <cellStyle name="Millares 3" xfId="35" xr:uid="{00000000-0005-0000-0000-000012000000}"/>
    <cellStyle name="Moneda" xfId="13" builtinId="4"/>
    <cellStyle name="Moneda [0]" xfId="32" builtinId="7"/>
    <cellStyle name="Moneda [0] 2" xfId="33" xr:uid="{00000000-0005-0000-0000-000015000000}"/>
    <cellStyle name="Moneda 2" xfId="26" xr:uid="{00000000-0005-0000-0000-000016000000}"/>
    <cellStyle name="Moneda 3" xfId="25" xr:uid="{00000000-0005-0000-0000-000017000000}"/>
    <cellStyle name="Neutral" xfId="14" builtinId="28" customBuiltin="1"/>
    <cellStyle name="Normal" xfId="0" builtinId="0"/>
    <cellStyle name="Normal 2" xfId="27" xr:uid="{00000000-0005-0000-0000-00001A000000}"/>
    <cellStyle name="Normal 3" xfId="28" xr:uid="{00000000-0005-0000-0000-00001B000000}"/>
    <cellStyle name="Normal 4" xfId="29" xr:uid="{00000000-0005-0000-0000-00001C000000}"/>
    <cellStyle name="Normal 5" xfId="34" xr:uid="{00000000-0005-0000-0000-00001D000000}"/>
    <cellStyle name="Normal_Hoja1 2" xfId="36" xr:uid="{00000000-0005-0000-0000-00001E000000}"/>
    <cellStyle name="Note" xfId="15" xr:uid="{00000000-0005-0000-0000-00001F000000}"/>
    <cellStyle name="Porcentaje" xfId="16" builtinId="5"/>
    <cellStyle name="Porcentaje 2" xfId="30" xr:uid="{00000000-0005-0000-0000-000021000000}"/>
    <cellStyle name="Status" xfId="17" xr:uid="{00000000-0005-0000-0000-000022000000}"/>
    <cellStyle name="Text" xfId="18" xr:uid="{00000000-0005-0000-0000-000023000000}"/>
    <cellStyle name="Warning" xfId="19" xr:uid="{00000000-0005-0000-0000-000024000000}"/>
  </cellStyles>
  <dxfs count="3">
    <dxf>
      <font>
        <color rgb="FF9C0006"/>
      </font>
    </dxf>
    <dxf>
      <fill>
        <patternFill>
          <bgColor theme="0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909"/>
      <color rgb="FFFFFF66"/>
      <color rgb="FFCC00FF"/>
      <color rgb="FF000099"/>
      <color rgb="FF0000CC"/>
      <color rgb="FF69D8FF"/>
      <color rgb="FF00A249"/>
      <color rgb="FFCCFFCC"/>
      <color rgb="FFCC00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85749" y="619125"/>
          <a:ext cx="6096002" cy="285750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17</xdr:col>
      <xdr:colOff>373229</xdr:colOff>
      <xdr:row>58</xdr:row>
      <xdr:rowOff>26511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E19D513-89D5-41FC-BB54-C218C4FB2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270000"/>
          <a:ext cx="12565229" cy="796401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17</xdr:col>
      <xdr:colOff>381000</xdr:colOff>
      <xdr:row>160</xdr:row>
      <xdr:rowOff>7459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430FD34-0E86-4C9F-95B3-04A7C51B1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17462500"/>
          <a:ext cx="12573000" cy="79449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161</xdr:row>
      <xdr:rowOff>0</xdr:rowOff>
    </xdr:from>
    <xdr:to>
      <xdr:col>9</xdr:col>
      <xdr:colOff>95250</xdr:colOff>
      <xdr:row>210</xdr:row>
      <xdr:rowOff>99524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36A57FB9-C2C7-4363-BEA5-181854C27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25558750"/>
          <a:ext cx="6191250" cy="78782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17</xdr:col>
      <xdr:colOff>381000</xdr:colOff>
      <xdr:row>108</xdr:row>
      <xdr:rowOff>118577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627BEA-A3BB-422D-B39E-0D1EB7066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9366250"/>
          <a:ext cx="12573000" cy="78973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TRABAJO%20PLANES%20CR/Analisis%20varios%202022/Area%20Educacional/Tarifas%202022/PLANILLA%20TARIFA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Índice Tablas"/>
      <sheetName val="A) Resumen Ingresos y Egresos"/>
      <sheetName val="B) Reajuste Tarifas y Ocupación"/>
      <sheetName val="C) Costos Directos"/>
      <sheetName val="D) Costos Indirectos"/>
      <sheetName val="E) Resumen Tarifado "/>
      <sheetName val="F) Remuneraciones"/>
      <sheetName val="G) Comparación Mercado"/>
      <sheetName val="H) Detalle Datos"/>
    </sheetNames>
    <sheetDataSet>
      <sheetData sheetId="0"/>
      <sheetData sheetId="1"/>
      <sheetData sheetId="2"/>
      <sheetData sheetId="3">
        <row r="5">
          <cell r="F5" t="str">
            <v>(DEPTO./DELEG.)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0099"/>
  </sheetPr>
  <dimension ref="C1:J52"/>
  <sheetViews>
    <sheetView showGridLines="0" tabSelected="1" zoomScale="90" zoomScaleNormal="90" workbookViewId="0">
      <selection activeCell="T84" sqref="T84"/>
    </sheetView>
  </sheetViews>
  <sheetFormatPr baseColWidth="10" defaultColWidth="11.42578125" defaultRowHeight="12.75" x14ac:dyDescent="0.2"/>
  <cols>
    <col min="1" max="16384" width="11.42578125" style="84"/>
  </cols>
  <sheetData>
    <row r="1" spans="3:10" x14ac:dyDescent="0.2">
      <c r="J1" s="83"/>
    </row>
    <row r="2" spans="3:10" x14ac:dyDescent="0.2">
      <c r="J2" s="83" t="s">
        <v>83</v>
      </c>
    </row>
    <row r="3" spans="3:10" x14ac:dyDescent="0.2">
      <c r="J3" s="83"/>
    </row>
    <row r="5" spans="3:10" x14ac:dyDescent="0.2">
      <c r="C5" s="85"/>
      <c r="D5" s="85"/>
      <c r="E5" s="85"/>
      <c r="F5" s="85"/>
      <c r="G5" s="85"/>
      <c r="H5" s="85"/>
      <c r="I5" s="85"/>
      <c r="J5" s="85"/>
    </row>
    <row r="6" spans="3:10" x14ac:dyDescent="0.2">
      <c r="C6" s="85"/>
      <c r="D6" s="85"/>
      <c r="E6" s="85"/>
      <c r="F6" s="85"/>
      <c r="G6" s="85"/>
      <c r="H6" s="85"/>
      <c r="I6" s="85"/>
      <c r="J6" s="85"/>
    </row>
    <row r="7" spans="3:10" x14ac:dyDescent="0.2">
      <c r="C7" s="85"/>
      <c r="D7" s="85"/>
      <c r="E7" s="85"/>
      <c r="F7" s="85"/>
      <c r="G7" s="85"/>
      <c r="H7" s="85"/>
      <c r="I7" s="85"/>
      <c r="J7" s="85"/>
    </row>
    <row r="8" spans="3:10" x14ac:dyDescent="0.2">
      <c r="C8" s="85"/>
      <c r="D8" s="85"/>
      <c r="E8" s="85"/>
      <c r="F8" s="85"/>
      <c r="G8" s="85"/>
      <c r="H8" s="85"/>
      <c r="I8" s="85"/>
      <c r="J8" s="85"/>
    </row>
    <row r="9" spans="3:10" x14ac:dyDescent="0.2">
      <c r="C9" s="85"/>
      <c r="D9" s="85"/>
      <c r="E9" s="85"/>
      <c r="F9" s="85"/>
      <c r="G9" s="85"/>
      <c r="H9" s="85"/>
      <c r="I9" s="85"/>
      <c r="J9" s="85"/>
    </row>
    <row r="10" spans="3:10" x14ac:dyDescent="0.2">
      <c r="C10" s="85"/>
      <c r="D10" s="85"/>
      <c r="E10" s="85"/>
      <c r="F10" s="85"/>
      <c r="G10" s="85"/>
      <c r="H10" s="85"/>
      <c r="I10" s="85"/>
      <c r="J10" s="85"/>
    </row>
    <row r="11" spans="3:10" x14ac:dyDescent="0.2">
      <c r="C11" s="85"/>
      <c r="D11" s="85"/>
      <c r="E11" s="85"/>
      <c r="F11" s="85"/>
      <c r="G11" s="85"/>
      <c r="H11" s="85"/>
      <c r="I11" s="85"/>
      <c r="J11" s="85"/>
    </row>
    <row r="12" spans="3:10" x14ac:dyDescent="0.2">
      <c r="C12" s="85"/>
      <c r="D12" s="85"/>
      <c r="E12" s="85"/>
      <c r="F12" s="85"/>
      <c r="G12" s="85"/>
      <c r="H12" s="85"/>
      <c r="I12" s="85"/>
      <c r="J12" s="85"/>
    </row>
    <row r="13" spans="3:10" x14ac:dyDescent="0.2">
      <c r="C13" s="85"/>
      <c r="D13" s="85"/>
      <c r="E13" s="85"/>
      <c r="F13" s="85"/>
      <c r="G13" s="85"/>
      <c r="H13" s="85"/>
      <c r="I13" s="85"/>
      <c r="J13" s="85"/>
    </row>
    <row r="14" spans="3:10" x14ac:dyDescent="0.2">
      <c r="C14" s="85"/>
      <c r="D14" s="85"/>
      <c r="E14" s="85"/>
      <c r="F14" s="85"/>
      <c r="G14" s="85"/>
      <c r="H14" s="85"/>
      <c r="I14" s="85"/>
      <c r="J14" s="85"/>
    </row>
    <row r="15" spans="3:10" x14ac:dyDescent="0.2">
      <c r="C15" s="85"/>
      <c r="D15" s="85"/>
      <c r="E15" s="85"/>
      <c r="F15" s="85"/>
      <c r="G15" s="85"/>
      <c r="H15" s="85"/>
      <c r="I15" s="85"/>
      <c r="J15" s="85"/>
    </row>
    <row r="16" spans="3:10" x14ac:dyDescent="0.2">
      <c r="C16" s="85"/>
      <c r="D16" s="85"/>
      <c r="E16" s="85"/>
      <c r="F16" s="85"/>
      <c r="G16" s="85"/>
      <c r="H16" s="85"/>
      <c r="I16" s="85"/>
      <c r="J16" s="85"/>
    </row>
    <row r="17" spans="3:10" x14ac:dyDescent="0.2">
      <c r="C17" s="85"/>
      <c r="D17" s="85"/>
      <c r="E17" s="85"/>
      <c r="F17" s="85"/>
      <c r="G17" s="85"/>
      <c r="H17" s="85"/>
      <c r="I17" s="85"/>
      <c r="J17" s="85"/>
    </row>
    <row r="18" spans="3:10" x14ac:dyDescent="0.2">
      <c r="C18" s="85"/>
      <c r="D18" s="85"/>
      <c r="E18" s="85"/>
      <c r="F18" s="85"/>
      <c r="G18" s="85"/>
      <c r="H18" s="85"/>
      <c r="I18" s="85"/>
      <c r="J18" s="85"/>
    </row>
    <row r="19" spans="3:10" x14ac:dyDescent="0.2">
      <c r="C19" s="85"/>
      <c r="D19" s="85"/>
      <c r="E19" s="85"/>
      <c r="F19" s="85"/>
      <c r="G19" s="85"/>
      <c r="H19" s="85"/>
      <c r="I19" s="85"/>
      <c r="J19" s="85"/>
    </row>
    <row r="20" spans="3:10" x14ac:dyDescent="0.2">
      <c r="C20" s="85"/>
      <c r="D20" s="85"/>
      <c r="E20" s="85"/>
      <c r="F20" s="85"/>
      <c r="G20" s="85"/>
      <c r="H20" s="85"/>
      <c r="I20" s="85"/>
      <c r="J20" s="85"/>
    </row>
    <row r="21" spans="3:10" x14ac:dyDescent="0.2">
      <c r="C21" s="85"/>
      <c r="D21" s="85"/>
      <c r="E21" s="85"/>
      <c r="F21" s="85"/>
      <c r="G21" s="85"/>
      <c r="H21" s="85"/>
      <c r="I21" s="85"/>
      <c r="J21" s="85"/>
    </row>
    <row r="22" spans="3:10" x14ac:dyDescent="0.2">
      <c r="C22" s="85"/>
      <c r="D22" s="85"/>
      <c r="E22" s="85"/>
      <c r="F22" s="85"/>
      <c r="G22" s="85"/>
      <c r="H22" s="85"/>
      <c r="I22" s="85"/>
      <c r="J22" s="85"/>
    </row>
    <row r="23" spans="3:10" x14ac:dyDescent="0.2">
      <c r="C23" s="85"/>
      <c r="D23" s="85"/>
      <c r="E23" s="85"/>
      <c r="F23" s="85"/>
      <c r="G23" s="85"/>
      <c r="H23" s="85"/>
      <c r="I23" s="85"/>
      <c r="J23" s="85"/>
    </row>
    <row r="24" spans="3:10" x14ac:dyDescent="0.2">
      <c r="C24" s="85"/>
      <c r="D24" s="85"/>
      <c r="E24" s="85"/>
      <c r="F24" s="85"/>
      <c r="G24" s="85"/>
      <c r="H24" s="85"/>
      <c r="I24" s="85"/>
      <c r="J24" s="85"/>
    </row>
    <row r="25" spans="3:10" x14ac:dyDescent="0.2">
      <c r="C25" s="85"/>
      <c r="D25" s="85"/>
      <c r="E25" s="85"/>
      <c r="F25" s="85"/>
      <c r="G25" s="85"/>
      <c r="H25" s="85"/>
      <c r="I25" s="85"/>
      <c r="J25" s="85"/>
    </row>
    <row r="26" spans="3:10" x14ac:dyDescent="0.2">
      <c r="C26" s="85"/>
      <c r="D26" s="85"/>
      <c r="E26" s="85"/>
      <c r="F26" s="85"/>
      <c r="G26" s="85"/>
      <c r="H26" s="85"/>
      <c r="I26" s="85"/>
      <c r="J26" s="85"/>
    </row>
    <row r="27" spans="3:10" x14ac:dyDescent="0.2">
      <c r="C27" s="85"/>
      <c r="D27" s="85"/>
      <c r="E27" s="85"/>
      <c r="F27" s="85"/>
      <c r="G27" s="85"/>
      <c r="H27" s="85"/>
      <c r="I27" s="85"/>
      <c r="J27" s="85"/>
    </row>
    <row r="28" spans="3:10" x14ac:dyDescent="0.2">
      <c r="C28" s="85"/>
      <c r="D28" s="85"/>
      <c r="E28" s="85"/>
      <c r="F28" s="85"/>
      <c r="G28" s="85"/>
      <c r="H28" s="85"/>
      <c r="I28" s="85"/>
      <c r="J28" s="85"/>
    </row>
    <row r="29" spans="3:10" x14ac:dyDescent="0.2">
      <c r="C29" s="85"/>
      <c r="D29" s="85"/>
      <c r="E29" s="85"/>
      <c r="F29" s="85"/>
      <c r="G29" s="85"/>
      <c r="H29" s="85"/>
      <c r="I29" s="85"/>
      <c r="J29" s="85"/>
    </row>
    <row r="30" spans="3:10" x14ac:dyDescent="0.2">
      <c r="C30" s="85"/>
      <c r="D30" s="85"/>
      <c r="E30" s="85"/>
      <c r="F30" s="85"/>
      <c r="G30" s="85"/>
      <c r="H30" s="85"/>
      <c r="I30" s="85"/>
      <c r="J30" s="85"/>
    </row>
    <row r="31" spans="3:10" x14ac:dyDescent="0.2">
      <c r="C31" s="85"/>
      <c r="D31" s="85"/>
      <c r="E31" s="85"/>
      <c r="F31" s="85"/>
      <c r="G31" s="85"/>
      <c r="H31" s="85"/>
      <c r="I31" s="85"/>
      <c r="J31" s="85"/>
    </row>
    <row r="32" spans="3:10" x14ac:dyDescent="0.2">
      <c r="C32" s="85"/>
      <c r="D32" s="85"/>
      <c r="E32" s="85"/>
      <c r="F32" s="85"/>
      <c r="G32" s="85"/>
      <c r="H32" s="85"/>
      <c r="I32" s="85"/>
      <c r="J32" s="85"/>
    </row>
    <row r="33" spans="3:10" x14ac:dyDescent="0.2">
      <c r="C33" s="85"/>
      <c r="D33" s="85"/>
      <c r="E33" s="85"/>
      <c r="F33" s="85"/>
      <c r="G33" s="85"/>
      <c r="H33" s="85"/>
      <c r="I33" s="85"/>
      <c r="J33" s="85"/>
    </row>
    <row r="34" spans="3:10" x14ac:dyDescent="0.2">
      <c r="C34" s="85"/>
      <c r="D34" s="85"/>
      <c r="E34" s="85"/>
      <c r="F34" s="85"/>
      <c r="G34" s="85"/>
      <c r="H34" s="85"/>
      <c r="I34" s="85"/>
      <c r="J34" s="85"/>
    </row>
    <row r="35" spans="3:10" x14ac:dyDescent="0.2">
      <c r="C35" s="85"/>
      <c r="D35" s="85"/>
      <c r="E35" s="85"/>
      <c r="F35" s="85"/>
      <c r="G35" s="85"/>
      <c r="H35" s="85"/>
      <c r="I35" s="85"/>
      <c r="J35" s="85"/>
    </row>
    <row r="36" spans="3:10" x14ac:dyDescent="0.2">
      <c r="C36" s="85"/>
      <c r="D36" s="85"/>
      <c r="E36" s="85"/>
      <c r="F36" s="85"/>
      <c r="G36" s="85"/>
      <c r="H36" s="85"/>
      <c r="I36" s="85"/>
      <c r="J36" s="85"/>
    </row>
    <row r="37" spans="3:10" x14ac:dyDescent="0.2">
      <c r="C37" s="85"/>
      <c r="D37" s="85"/>
      <c r="E37" s="85"/>
      <c r="F37" s="85"/>
      <c r="G37" s="85"/>
      <c r="H37" s="85"/>
      <c r="I37" s="85"/>
      <c r="J37" s="85"/>
    </row>
    <row r="38" spans="3:10" x14ac:dyDescent="0.2">
      <c r="C38" s="85"/>
      <c r="D38" s="85"/>
      <c r="E38" s="85"/>
      <c r="F38" s="85"/>
      <c r="G38" s="85"/>
      <c r="H38" s="85"/>
      <c r="I38" s="85"/>
      <c r="J38" s="85"/>
    </row>
    <row r="39" spans="3:10" x14ac:dyDescent="0.2">
      <c r="C39" s="85"/>
      <c r="D39" s="85"/>
      <c r="E39" s="85"/>
      <c r="F39" s="85"/>
      <c r="G39" s="85"/>
      <c r="H39" s="85"/>
      <c r="I39" s="85"/>
      <c r="J39" s="85"/>
    </row>
    <row r="40" spans="3:10" x14ac:dyDescent="0.2">
      <c r="C40" s="85"/>
      <c r="D40" s="85"/>
      <c r="E40" s="85"/>
      <c r="F40" s="85"/>
      <c r="G40" s="85"/>
      <c r="H40" s="85"/>
      <c r="I40" s="85"/>
      <c r="J40" s="85"/>
    </row>
    <row r="41" spans="3:10" x14ac:dyDescent="0.2">
      <c r="C41" s="85"/>
      <c r="D41" s="85"/>
      <c r="E41" s="85"/>
      <c r="F41" s="85"/>
      <c r="G41" s="85"/>
      <c r="H41" s="85"/>
      <c r="I41" s="85"/>
      <c r="J41" s="85"/>
    </row>
    <row r="42" spans="3:10" x14ac:dyDescent="0.2">
      <c r="C42" s="85"/>
      <c r="D42" s="85"/>
      <c r="E42" s="85"/>
      <c r="F42" s="85"/>
      <c r="G42" s="85"/>
      <c r="H42" s="85"/>
      <c r="I42" s="85"/>
      <c r="J42" s="85"/>
    </row>
    <row r="43" spans="3:10" x14ac:dyDescent="0.2">
      <c r="C43" s="85"/>
      <c r="D43" s="85"/>
      <c r="E43" s="85"/>
      <c r="F43" s="85"/>
      <c r="G43" s="85"/>
      <c r="H43" s="85"/>
      <c r="I43" s="85"/>
      <c r="J43" s="85"/>
    </row>
    <row r="44" spans="3:10" x14ac:dyDescent="0.2">
      <c r="C44" s="85"/>
      <c r="D44" s="85"/>
      <c r="E44" s="85"/>
      <c r="F44" s="85"/>
      <c r="G44" s="85"/>
      <c r="H44" s="85"/>
      <c r="I44" s="85"/>
      <c r="J44" s="85"/>
    </row>
    <row r="45" spans="3:10" x14ac:dyDescent="0.2">
      <c r="C45" s="85"/>
      <c r="D45" s="85"/>
      <c r="E45" s="85"/>
      <c r="F45" s="85"/>
      <c r="G45" s="85"/>
      <c r="H45" s="85"/>
      <c r="I45" s="85"/>
      <c r="J45" s="85"/>
    </row>
    <row r="46" spans="3:10" x14ac:dyDescent="0.2">
      <c r="C46" s="85"/>
      <c r="D46" s="85"/>
      <c r="E46" s="85"/>
      <c r="F46" s="85"/>
      <c r="G46" s="85"/>
      <c r="H46" s="85"/>
      <c r="I46" s="85"/>
      <c r="J46" s="85"/>
    </row>
    <row r="47" spans="3:10" x14ac:dyDescent="0.2">
      <c r="C47" s="85"/>
      <c r="D47" s="85"/>
      <c r="E47" s="85"/>
      <c r="F47" s="85"/>
      <c r="G47" s="85"/>
      <c r="H47" s="85"/>
      <c r="I47" s="85"/>
      <c r="J47" s="85"/>
    </row>
    <row r="48" spans="3:10" x14ac:dyDescent="0.2">
      <c r="C48" s="85"/>
      <c r="D48" s="85"/>
      <c r="E48" s="85"/>
      <c r="F48" s="85"/>
      <c r="G48" s="85"/>
      <c r="H48" s="85"/>
      <c r="I48" s="85"/>
      <c r="J48" s="85"/>
    </row>
    <row r="49" spans="3:10" x14ac:dyDescent="0.2">
      <c r="C49" s="85"/>
      <c r="D49" s="85"/>
      <c r="E49" s="85"/>
      <c r="F49" s="85"/>
      <c r="G49" s="85"/>
      <c r="H49" s="85"/>
      <c r="I49" s="85"/>
      <c r="J49" s="85"/>
    </row>
    <row r="50" spans="3:10" x14ac:dyDescent="0.2">
      <c r="C50" s="85"/>
      <c r="D50" s="85"/>
      <c r="E50" s="85"/>
      <c r="F50" s="85"/>
      <c r="G50" s="85"/>
      <c r="H50" s="85"/>
      <c r="I50" s="85"/>
      <c r="J50" s="85"/>
    </row>
    <row r="51" spans="3:10" x14ac:dyDescent="0.2">
      <c r="C51" s="85"/>
      <c r="D51" s="85"/>
      <c r="E51" s="85"/>
      <c r="F51" s="85"/>
      <c r="G51" s="85"/>
      <c r="H51" s="85"/>
      <c r="I51" s="85"/>
      <c r="J51" s="85"/>
    </row>
    <row r="52" spans="3:10" x14ac:dyDescent="0.2">
      <c r="C52" s="85"/>
      <c r="D52" s="85"/>
      <c r="E52" s="85"/>
      <c r="F52" s="85"/>
      <c r="G52" s="85"/>
      <c r="H52" s="85"/>
      <c r="I52" s="85"/>
      <c r="J52" s="85"/>
    </row>
  </sheetData>
  <sheetProtection algorithmName="SHA-512" hashValue="uPEL7H2pS+pUR3BJ6K/HU7APvbVpj4JPcBX4SQ03kqxC8METb0/2eyoJuXxjhGddslzO0Od8n8WJKQd/j3RB+A==" saltValue="1Knll/utQfgtSeWtuF7aow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theme="2" tint="-0.499984740745262"/>
  </sheetPr>
  <dimension ref="A1:AD87"/>
  <sheetViews>
    <sheetView showGridLines="0" zoomScale="80" zoomScaleNormal="80" workbookViewId="0">
      <selection activeCell="B23" sqref="B23"/>
    </sheetView>
  </sheetViews>
  <sheetFormatPr baseColWidth="10" defaultColWidth="11.42578125" defaultRowHeight="12.75" x14ac:dyDescent="0.2"/>
  <cols>
    <col min="1" max="1" width="23" style="96" customWidth="1"/>
    <col min="2" max="2" width="18.140625" style="96" customWidth="1"/>
    <col min="3" max="3" width="21.85546875" style="96" customWidth="1"/>
    <col min="4" max="4" width="12.7109375" style="96" customWidth="1"/>
    <col min="5" max="5" width="13" style="96" bestFit="1" customWidth="1"/>
    <col min="6" max="6" width="18.7109375" style="96" customWidth="1"/>
    <col min="7" max="9" width="11.42578125" style="96"/>
    <col min="10" max="11" width="13.28515625" style="96" customWidth="1"/>
    <col min="12" max="16384" width="11.42578125" style="96"/>
  </cols>
  <sheetData>
    <row r="1" spans="1:18" x14ac:dyDescent="0.2">
      <c r="J1" s="242"/>
      <c r="K1" s="245"/>
    </row>
    <row r="2" spans="1:18" x14ac:dyDescent="0.2">
      <c r="J2" s="242" t="s">
        <v>199</v>
      </c>
      <c r="K2" s="245"/>
    </row>
    <row r="4" spans="1:18" ht="19.5" customHeight="1" x14ac:dyDescent="0.2">
      <c r="I4" s="243" t="s">
        <v>0</v>
      </c>
      <c r="J4" s="1176" t="str">
        <f>+'[1]B) Reajuste Tarifas y Ocupación'!F5</f>
        <v>(DEPTO./DELEG.)</v>
      </c>
      <c r="K4" s="1177"/>
    </row>
    <row r="6" spans="1:18" ht="12.75" customHeight="1" x14ac:dyDescent="0.2">
      <c r="A6" s="244" t="s">
        <v>120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</row>
    <row r="7" spans="1:18" x14ac:dyDescent="0.2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</row>
    <row r="8" spans="1:18" x14ac:dyDescent="0.2">
      <c r="A8" s="757" t="s">
        <v>436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</row>
    <row r="9" spans="1:18" ht="13.5" thickBot="1" x14ac:dyDescent="0.25">
      <c r="A9" s="758"/>
      <c r="B9" s="757"/>
      <c r="C9" s="757"/>
      <c r="D9" s="758"/>
      <c r="E9" s="758"/>
      <c r="F9" s="758"/>
      <c r="G9" s="758"/>
      <c r="H9" s="758"/>
      <c r="I9" s="758"/>
    </row>
    <row r="10" spans="1:18" ht="13.5" thickBot="1" x14ac:dyDescent="0.25">
      <c r="A10" s="759" t="s">
        <v>387</v>
      </c>
      <c r="B10" s="760" t="s">
        <v>81</v>
      </c>
      <c r="C10" s="761" t="s">
        <v>449</v>
      </c>
      <c r="D10" s="761" t="s">
        <v>388</v>
      </c>
      <c r="E10" s="762" t="s">
        <v>389</v>
      </c>
      <c r="F10" s="762" t="s">
        <v>390</v>
      </c>
      <c r="G10" s="762" t="s">
        <v>391</v>
      </c>
      <c r="H10" s="763" t="s">
        <v>392</v>
      </c>
      <c r="I10" s="762" t="s">
        <v>393</v>
      </c>
      <c r="J10" s="764" t="s">
        <v>394</v>
      </c>
      <c r="K10" s="765" t="s">
        <v>395</v>
      </c>
      <c r="L10" s="766" t="s">
        <v>106</v>
      </c>
      <c r="M10" s="767" t="s">
        <v>396</v>
      </c>
    </row>
    <row r="11" spans="1:18" x14ac:dyDescent="0.2">
      <c r="A11" s="768">
        <v>1</v>
      </c>
      <c r="B11" s="769" t="s">
        <v>397</v>
      </c>
      <c r="C11" s="770">
        <f>1835*1.13</f>
        <v>2073.5499999999997</v>
      </c>
      <c r="D11" s="771" t="s">
        <v>398</v>
      </c>
      <c r="E11" s="772">
        <f>+C11*D11</f>
        <v>41470.999999999993</v>
      </c>
      <c r="F11" s="772"/>
      <c r="G11" s="772">
        <f>+E11-F11</f>
        <v>41470.999999999993</v>
      </c>
      <c r="H11" s="872">
        <v>11</v>
      </c>
      <c r="I11" s="772">
        <f>+G11*H11</f>
        <v>456180.99999999994</v>
      </c>
      <c r="J11" s="873">
        <f>+I11*11</f>
        <v>5017990.9999999991</v>
      </c>
      <c r="K11" s="773"/>
      <c r="L11" s="774">
        <f>+J11+K11</f>
        <v>5017990.9999999991</v>
      </c>
      <c r="M11" s="767">
        <f>+D11*H11*12</f>
        <v>2640</v>
      </c>
    </row>
    <row r="12" spans="1:18" x14ac:dyDescent="0.2">
      <c r="A12" s="768">
        <v>2</v>
      </c>
      <c r="B12" s="769" t="s">
        <v>399</v>
      </c>
      <c r="C12" s="770">
        <f t="shared" ref="C12:C13" si="0">1835*1.13</f>
        <v>2073.5499999999997</v>
      </c>
      <c r="D12" s="771" t="s">
        <v>400</v>
      </c>
      <c r="E12" s="772">
        <f>+C12*D12</f>
        <v>31103.249999999996</v>
      </c>
      <c r="F12" s="772"/>
      <c r="G12" s="772">
        <f>+E12-F12</f>
        <v>31103.249999999996</v>
      </c>
      <c r="H12" s="872">
        <v>7</v>
      </c>
      <c r="I12" s="772">
        <f>+G12*H12</f>
        <v>217722.74999999997</v>
      </c>
      <c r="J12" s="873">
        <f>+I12*11</f>
        <v>2394950.2499999995</v>
      </c>
      <c r="K12" s="773"/>
      <c r="L12" s="774">
        <f>+J12+K12</f>
        <v>2394950.2499999995</v>
      </c>
      <c r="M12" s="767">
        <f>+D12*H12*12</f>
        <v>1260</v>
      </c>
    </row>
    <row r="13" spans="1:18" x14ac:dyDescent="0.2">
      <c r="A13" s="768">
        <v>3</v>
      </c>
      <c r="B13" s="769" t="s">
        <v>437</v>
      </c>
      <c r="C13" s="770">
        <f t="shared" si="0"/>
        <v>2073.5499999999997</v>
      </c>
      <c r="D13" s="771" t="s">
        <v>398</v>
      </c>
      <c r="E13" s="772">
        <f>+C13*D13</f>
        <v>41470.999999999993</v>
      </c>
      <c r="F13" s="772"/>
      <c r="G13" s="772">
        <f>+E13-F13</f>
        <v>41470.999999999993</v>
      </c>
      <c r="H13" s="872">
        <v>4</v>
      </c>
      <c r="I13" s="772">
        <f>+G13*H13</f>
        <v>165883.99999999997</v>
      </c>
      <c r="J13" s="873">
        <f>+I13*11</f>
        <v>1824723.9999999998</v>
      </c>
      <c r="K13" s="773"/>
      <c r="L13" s="774">
        <f>+J13+K13</f>
        <v>1824723.9999999998</v>
      </c>
      <c r="M13" s="767">
        <f>+D13*H13*12</f>
        <v>960</v>
      </c>
    </row>
    <row r="14" spans="1:18" x14ac:dyDescent="0.2">
      <c r="J14" s="874" t="s">
        <v>457</v>
      </c>
    </row>
    <row r="15" spans="1:18" x14ac:dyDescent="0.2">
      <c r="A15" s="775" t="s">
        <v>401</v>
      </c>
    </row>
    <row r="17" spans="1:5" x14ac:dyDescent="0.2">
      <c r="A17" s="767" t="s">
        <v>402</v>
      </c>
      <c r="B17" s="776">
        <v>2022</v>
      </c>
      <c r="C17" s="777" t="s">
        <v>403</v>
      </c>
      <c r="D17" s="777" t="s">
        <v>404</v>
      </c>
      <c r="E17" s="777"/>
    </row>
    <row r="18" spans="1:5" x14ac:dyDescent="0.2">
      <c r="A18" s="767" t="s">
        <v>405</v>
      </c>
      <c r="B18" s="778" t="s">
        <v>406</v>
      </c>
      <c r="C18" s="777" t="s">
        <v>441</v>
      </c>
      <c r="D18" s="777" t="s">
        <v>442</v>
      </c>
      <c r="E18" s="777"/>
    </row>
    <row r="19" spans="1:5" x14ac:dyDescent="0.2">
      <c r="A19" s="767" t="s">
        <v>438</v>
      </c>
      <c r="B19" s="779">
        <v>4255293</v>
      </c>
      <c r="C19" s="777"/>
      <c r="D19" s="777"/>
      <c r="E19" s="777"/>
    </row>
    <row r="20" spans="1:5" x14ac:dyDescent="0.2">
      <c r="A20" s="767" t="s">
        <v>439</v>
      </c>
      <c r="B20" s="780">
        <f>+B19/7*5</f>
        <v>3039495</v>
      </c>
      <c r="C20" s="777"/>
      <c r="D20" s="777"/>
      <c r="E20" s="777"/>
    </row>
    <row r="21" spans="1:5" x14ac:dyDescent="0.2">
      <c r="A21" s="781" t="s">
        <v>440</v>
      </c>
      <c r="B21" s="782">
        <f>+B19+B20</f>
        <v>7294788</v>
      </c>
      <c r="C21" s="777"/>
      <c r="D21" s="777"/>
      <c r="E21" s="777"/>
    </row>
    <row r="22" spans="1:5" x14ac:dyDescent="0.2">
      <c r="A22" s="767" t="s">
        <v>407</v>
      </c>
      <c r="B22" s="783">
        <f>+C22+D22</f>
        <v>55800</v>
      </c>
      <c r="C22" s="784">
        <f>45*3*30*12</f>
        <v>48600</v>
      </c>
      <c r="D22" s="783">
        <f>20*2*15*12</f>
        <v>7200</v>
      </c>
      <c r="E22" s="777"/>
    </row>
    <row r="23" spans="1:5" x14ac:dyDescent="0.2">
      <c r="A23" s="785" t="s">
        <v>408</v>
      </c>
      <c r="B23" s="786">
        <f>+B21/B22</f>
        <v>130.73096774193547</v>
      </c>
      <c r="C23" s="787"/>
      <c r="D23" s="777"/>
      <c r="E23" s="777"/>
    </row>
    <row r="24" spans="1:5" x14ac:dyDescent="0.2">
      <c r="B24" s="788"/>
      <c r="C24" s="789"/>
      <c r="D24" s="790"/>
      <c r="E24" s="790"/>
    </row>
    <row r="25" spans="1:5" x14ac:dyDescent="0.2">
      <c r="B25" s="776">
        <v>2023</v>
      </c>
      <c r="C25" s="777" t="s">
        <v>403</v>
      </c>
      <c r="D25" s="777" t="s">
        <v>409</v>
      </c>
      <c r="E25" s="777"/>
    </row>
    <row r="26" spans="1:5" x14ac:dyDescent="0.2">
      <c r="B26" s="778" t="s">
        <v>406</v>
      </c>
      <c r="C26" s="777" t="s">
        <v>443</v>
      </c>
      <c r="D26" s="777" t="s">
        <v>444</v>
      </c>
      <c r="E26" s="777"/>
    </row>
    <row r="27" spans="1:5" x14ac:dyDescent="0.2">
      <c r="B27" s="791">
        <f>+B28*B29</f>
        <v>8684640</v>
      </c>
      <c r="C27" s="777"/>
      <c r="D27" s="777"/>
      <c r="E27" s="777"/>
    </row>
    <row r="28" spans="1:5" x14ac:dyDescent="0.2">
      <c r="B28" s="783">
        <f>+C28+D28</f>
        <v>58680</v>
      </c>
      <c r="C28" s="784">
        <f>45*3*30*12</f>
        <v>48600</v>
      </c>
      <c r="D28" s="783">
        <f>28*2*15*12</f>
        <v>10080</v>
      </c>
      <c r="E28" s="777"/>
    </row>
    <row r="29" spans="1:5" x14ac:dyDescent="0.2">
      <c r="B29" s="792">
        <v>148</v>
      </c>
      <c r="C29" s="787"/>
      <c r="D29" s="777"/>
      <c r="E29" s="777"/>
    </row>
    <row r="32" spans="1:5" x14ac:dyDescent="0.2">
      <c r="A32" s="96" t="s">
        <v>410</v>
      </c>
    </row>
    <row r="34" spans="1:30" ht="15.75" x14ac:dyDescent="0.25">
      <c r="A34" s="793"/>
      <c r="B34" s="794" t="s">
        <v>24</v>
      </c>
      <c r="C34" s="794" t="s">
        <v>452</v>
      </c>
      <c r="D34" s="793"/>
      <c r="E34" s="793"/>
      <c r="F34" s="793"/>
      <c r="G34" s="793"/>
      <c r="H34" s="793"/>
      <c r="I34" s="793"/>
      <c r="J34" s="793"/>
      <c r="K34" s="793"/>
      <c r="L34" s="793"/>
      <c r="M34" s="793"/>
      <c r="N34" s="793"/>
      <c r="O34" s="793"/>
      <c r="P34" s="793"/>
      <c r="Q34" s="793"/>
      <c r="R34" s="793"/>
      <c r="S34" s="794" t="s">
        <v>26</v>
      </c>
      <c r="T34" s="794" t="s">
        <v>452</v>
      </c>
      <c r="U34" s="793"/>
      <c r="V34" s="793"/>
      <c r="W34" s="793"/>
      <c r="X34" s="793"/>
      <c r="Y34" s="793"/>
      <c r="Z34" s="793"/>
      <c r="AA34" s="793"/>
      <c r="AB34" s="793"/>
      <c r="AC34" s="793"/>
      <c r="AD34" s="793"/>
    </row>
    <row r="35" spans="1:30" x14ac:dyDescent="0.2">
      <c r="A35" s="793"/>
      <c r="B35" s="795"/>
      <c r="C35" s="795"/>
      <c r="D35" s="795"/>
      <c r="E35" s="795"/>
      <c r="F35" s="793"/>
      <c r="G35" s="793"/>
      <c r="H35" s="793"/>
      <c r="I35" s="793"/>
      <c r="J35" s="793"/>
      <c r="K35" s="793"/>
      <c r="L35" s="793"/>
      <c r="M35" s="793"/>
      <c r="N35" s="793"/>
      <c r="O35" s="793"/>
      <c r="P35" s="793"/>
      <c r="Q35" s="793"/>
      <c r="R35" s="793"/>
      <c r="S35" s="795"/>
      <c r="T35" s="795"/>
      <c r="U35" s="795"/>
      <c r="V35" s="795"/>
      <c r="W35" s="793"/>
      <c r="X35" s="793"/>
      <c r="Y35" s="793"/>
      <c r="Z35" s="793"/>
      <c r="AA35" s="793"/>
      <c r="AB35" s="793"/>
      <c r="AC35" s="793"/>
      <c r="AD35" s="793"/>
    </row>
    <row r="36" spans="1:30" x14ac:dyDescent="0.2">
      <c r="A36" s="796" t="s">
        <v>411</v>
      </c>
      <c r="B36" s="797"/>
      <c r="C36" s="798" t="s">
        <v>445</v>
      </c>
      <c r="D36" s="799"/>
      <c r="E36" s="800"/>
      <c r="F36" s="801" t="s">
        <v>446</v>
      </c>
      <c r="G36" s="802"/>
      <c r="H36" s="803"/>
      <c r="I36" s="804" t="s">
        <v>447</v>
      </c>
      <c r="J36" s="805"/>
      <c r="K36" s="806"/>
      <c r="L36" s="807" t="s">
        <v>448</v>
      </c>
      <c r="M36" s="808"/>
      <c r="N36" s="793"/>
      <c r="O36" s="793"/>
      <c r="P36" s="793"/>
      <c r="Q36" s="793"/>
      <c r="R36" s="796" t="s">
        <v>411</v>
      </c>
      <c r="S36" s="797"/>
      <c r="T36" s="798" t="s">
        <v>445</v>
      </c>
      <c r="U36" s="799"/>
      <c r="V36" s="800"/>
      <c r="W36" s="801" t="s">
        <v>446</v>
      </c>
      <c r="X36" s="802"/>
      <c r="Y36" s="803"/>
      <c r="Z36" s="804" t="s">
        <v>447</v>
      </c>
      <c r="AA36" s="805"/>
      <c r="AB36" s="806"/>
      <c r="AC36" s="807" t="s">
        <v>448</v>
      </c>
      <c r="AD36" s="808"/>
    </row>
    <row r="37" spans="1:30" x14ac:dyDescent="0.2">
      <c r="A37" s="809" t="s">
        <v>412</v>
      </c>
      <c r="B37" s="810" t="s">
        <v>413</v>
      </c>
      <c r="C37" s="810" t="s">
        <v>414</v>
      </c>
      <c r="D37" s="810" t="s">
        <v>192</v>
      </c>
      <c r="E37" s="810" t="s">
        <v>413</v>
      </c>
      <c r="F37" s="810" t="s">
        <v>414</v>
      </c>
      <c r="G37" s="810" t="s">
        <v>192</v>
      </c>
      <c r="H37" s="811" t="s">
        <v>413</v>
      </c>
      <c r="I37" s="811" t="s">
        <v>414</v>
      </c>
      <c r="J37" s="811" t="s">
        <v>192</v>
      </c>
      <c r="K37" s="812" t="s">
        <v>413</v>
      </c>
      <c r="L37" s="812" t="s">
        <v>414</v>
      </c>
      <c r="M37" s="812" t="s">
        <v>192</v>
      </c>
      <c r="N37" s="793"/>
      <c r="O37" s="793"/>
      <c r="P37" s="793"/>
      <c r="Q37" s="793"/>
      <c r="R37" s="809" t="s">
        <v>415</v>
      </c>
      <c r="S37" s="810" t="s">
        <v>416</v>
      </c>
      <c r="T37" s="810" t="s">
        <v>414</v>
      </c>
      <c r="U37" s="810" t="s">
        <v>192</v>
      </c>
      <c r="V37" s="810" t="s">
        <v>416</v>
      </c>
      <c r="W37" s="810" t="s">
        <v>414</v>
      </c>
      <c r="X37" s="810" t="s">
        <v>192</v>
      </c>
      <c r="Y37" s="811" t="s">
        <v>416</v>
      </c>
      <c r="Z37" s="811" t="s">
        <v>414</v>
      </c>
      <c r="AA37" s="811" t="s">
        <v>192</v>
      </c>
      <c r="AB37" s="812" t="s">
        <v>416</v>
      </c>
      <c r="AC37" s="812" t="s">
        <v>414</v>
      </c>
      <c r="AD37" s="812" t="s">
        <v>192</v>
      </c>
    </row>
    <row r="38" spans="1:30" x14ac:dyDescent="0.2">
      <c r="A38" s="813" t="s">
        <v>417</v>
      </c>
      <c r="B38" s="814">
        <v>1810</v>
      </c>
      <c r="C38" s="815">
        <v>148</v>
      </c>
      <c r="D38" s="814">
        <f>+B38*C38</f>
        <v>267880</v>
      </c>
      <c r="E38" s="814">
        <v>977</v>
      </c>
      <c r="F38" s="815">
        <v>166</v>
      </c>
      <c r="G38" s="816">
        <f>+E38*F38</f>
        <v>162182</v>
      </c>
      <c r="H38" s="817">
        <v>1166</v>
      </c>
      <c r="I38" s="818">
        <f t="shared" ref="I38:I42" si="1">+J38/H38</f>
        <v>138.75643224699829</v>
      </c>
      <c r="J38" s="819">
        <v>161790</v>
      </c>
      <c r="K38" s="820">
        <f>+(B38+E38+H38)/3</f>
        <v>1317.6666666666667</v>
      </c>
      <c r="L38" s="821">
        <f>141*1.13</f>
        <v>159.32999999999998</v>
      </c>
      <c r="M38" s="822">
        <f>+K38*L38</f>
        <v>209943.83</v>
      </c>
      <c r="N38" s="793"/>
      <c r="O38" s="793"/>
      <c r="P38" s="793"/>
      <c r="Q38" s="793"/>
      <c r="R38" s="813" t="s">
        <v>417</v>
      </c>
      <c r="S38" s="823">
        <v>185</v>
      </c>
      <c r="T38" s="815">
        <v>497</v>
      </c>
      <c r="U38" s="813">
        <f>+S38*T38</f>
        <v>91945</v>
      </c>
      <c r="V38" s="823">
        <v>210</v>
      </c>
      <c r="W38" s="815">
        <v>515</v>
      </c>
      <c r="X38" s="816">
        <f>+V38*W38</f>
        <v>108150</v>
      </c>
      <c r="Y38" s="817">
        <v>201.66666666666666</v>
      </c>
      <c r="Z38" s="824">
        <v>530</v>
      </c>
      <c r="AA38" s="819">
        <f>+Y38*Z38</f>
        <v>106883.33333333333</v>
      </c>
      <c r="AB38" s="820">
        <f>+(S38+V38+Y38)/3</f>
        <v>198.88888888888889</v>
      </c>
      <c r="AC38" s="821">
        <v>600</v>
      </c>
      <c r="AD38" s="822">
        <f>+AB38*AC38</f>
        <v>119333.33333333333</v>
      </c>
    </row>
    <row r="39" spans="1:30" x14ac:dyDescent="0.2">
      <c r="A39" s="813" t="s">
        <v>418</v>
      </c>
      <c r="B39" s="814">
        <v>1568</v>
      </c>
      <c r="C39" s="815">
        <v>148</v>
      </c>
      <c r="D39" s="814">
        <f t="shared" ref="D39:D49" si="2">+B39*C39</f>
        <v>232064</v>
      </c>
      <c r="E39" s="814">
        <v>1053</v>
      </c>
      <c r="F39" s="815">
        <v>175</v>
      </c>
      <c r="G39" s="816">
        <f t="shared" ref="G39:G42" si="3">+E39*F39</f>
        <v>184275</v>
      </c>
      <c r="H39" s="817">
        <v>1092</v>
      </c>
      <c r="I39" s="818">
        <f t="shared" si="1"/>
        <v>168.47344322344321</v>
      </c>
      <c r="J39" s="819">
        <v>183973</v>
      </c>
      <c r="K39" s="820">
        <f t="shared" ref="K39:K49" si="4">+(B39+E39+H39)/3</f>
        <v>1237.6666666666667</v>
      </c>
      <c r="L39" s="821">
        <f t="shared" ref="L39:L49" si="5">141*1.13</f>
        <v>159.32999999999998</v>
      </c>
      <c r="M39" s="822">
        <f t="shared" ref="M39:M49" si="6">+K39*L39</f>
        <v>197197.43</v>
      </c>
      <c r="N39" s="793"/>
      <c r="O39" s="793"/>
      <c r="P39" s="793"/>
      <c r="Q39" s="793"/>
      <c r="R39" s="813" t="s">
        <v>418</v>
      </c>
      <c r="S39" s="823">
        <v>172</v>
      </c>
      <c r="T39" s="815">
        <v>497</v>
      </c>
      <c r="U39" s="813">
        <f t="shared" ref="U39:U49" si="7">+S39*T39</f>
        <v>85484</v>
      </c>
      <c r="V39" s="823">
        <v>170</v>
      </c>
      <c r="W39" s="815">
        <v>515</v>
      </c>
      <c r="X39" s="816">
        <f t="shared" ref="X39:X49" si="8">+V39*W39</f>
        <v>87550</v>
      </c>
      <c r="Y39" s="817">
        <v>235</v>
      </c>
      <c r="Z39" s="824">
        <v>530</v>
      </c>
      <c r="AA39" s="819">
        <f t="shared" ref="AA39:AA49" si="9">+Y39*Z39</f>
        <v>124550</v>
      </c>
      <c r="AB39" s="820">
        <f t="shared" ref="AB39:AB49" si="10">+(S39+V39+Y39)/3</f>
        <v>192.33333333333334</v>
      </c>
      <c r="AC39" s="821">
        <v>600</v>
      </c>
      <c r="AD39" s="822">
        <f t="shared" ref="AD39:AD49" si="11">+AB39*AC39</f>
        <v>115400</v>
      </c>
    </row>
    <row r="40" spans="1:30" x14ac:dyDescent="0.2">
      <c r="A40" s="813" t="s">
        <v>419</v>
      </c>
      <c r="B40" s="814">
        <v>1791</v>
      </c>
      <c r="C40" s="815">
        <v>148</v>
      </c>
      <c r="D40" s="814">
        <f t="shared" si="2"/>
        <v>265068</v>
      </c>
      <c r="E40" s="814">
        <v>1231</v>
      </c>
      <c r="F40" s="815">
        <v>148</v>
      </c>
      <c r="G40" s="816">
        <f t="shared" si="3"/>
        <v>182188</v>
      </c>
      <c r="H40" s="817">
        <v>1411</v>
      </c>
      <c r="I40" s="818">
        <f t="shared" si="1"/>
        <v>129.21332388377039</v>
      </c>
      <c r="J40" s="819">
        <v>182320</v>
      </c>
      <c r="K40" s="820">
        <f t="shared" si="4"/>
        <v>1477.6666666666667</v>
      </c>
      <c r="L40" s="821">
        <f t="shared" si="5"/>
        <v>159.32999999999998</v>
      </c>
      <c r="M40" s="822">
        <f t="shared" si="6"/>
        <v>235436.62999999998</v>
      </c>
      <c r="N40" s="793"/>
      <c r="O40" s="793"/>
      <c r="P40" s="793"/>
      <c r="Q40" s="793"/>
      <c r="R40" s="813" t="s">
        <v>419</v>
      </c>
      <c r="S40" s="823">
        <v>190</v>
      </c>
      <c r="T40" s="815">
        <v>497</v>
      </c>
      <c r="U40" s="813">
        <f t="shared" si="7"/>
        <v>94430</v>
      </c>
      <c r="V40" s="823">
        <v>182</v>
      </c>
      <c r="W40" s="815">
        <v>515</v>
      </c>
      <c r="X40" s="816">
        <f t="shared" si="8"/>
        <v>93730</v>
      </c>
      <c r="Y40" s="817">
        <v>215</v>
      </c>
      <c r="Z40" s="824">
        <v>530</v>
      </c>
      <c r="AA40" s="819">
        <f t="shared" si="9"/>
        <v>113950</v>
      </c>
      <c r="AB40" s="820">
        <f t="shared" si="10"/>
        <v>195.66666666666666</v>
      </c>
      <c r="AC40" s="821">
        <v>600</v>
      </c>
      <c r="AD40" s="822">
        <f t="shared" si="11"/>
        <v>117400</v>
      </c>
    </row>
    <row r="41" spans="1:30" x14ac:dyDescent="0.2">
      <c r="A41" s="813" t="s">
        <v>420</v>
      </c>
      <c r="B41" s="814">
        <v>1444</v>
      </c>
      <c r="C41" s="815">
        <v>148</v>
      </c>
      <c r="D41" s="814">
        <f t="shared" si="2"/>
        <v>213712</v>
      </c>
      <c r="E41" s="814">
        <v>1076</v>
      </c>
      <c r="F41" s="815">
        <v>144</v>
      </c>
      <c r="G41" s="816">
        <f t="shared" si="3"/>
        <v>154944</v>
      </c>
      <c r="H41" s="817">
        <v>2106</v>
      </c>
      <c r="I41" s="818">
        <f t="shared" si="1"/>
        <v>73.433048433048427</v>
      </c>
      <c r="J41" s="819">
        <v>154650</v>
      </c>
      <c r="K41" s="820">
        <f t="shared" si="4"/>
        <v>1542</v>
      </c>
      <c r="L41" s="821">
        <f t="shared" si="5"/>
        <v>159.32999999999998</v>
      </c>
      <c r="M41" s="822">
        <f t="shared" si="6"/>
        <v>245686.86</v>
      </c>
      <c r="N41" s="793"/>
      <c r="O41" s="793"/>
      <c r="P41" s="793"/>
      <c r="Q41" s="793"/>
      <c r="R41" s="813" t="s">
        <v>420</v>
      </c>
      <c r="S41" s="823">
        <v>290</v>
      </c>
      <c r="T41" s="815">
        <v>497</v>
      </c>
      <c r="U41" s="813">
        <f t="shared" si="7"/>
        <v>144130</v>
      </c>
      <c r="V41" s="823">
        <v>190</v>
      </c>
      <c r="W41" s="815">
        <v>515</v>
      </c>
      <c r="X41" s="816">
        <f t="shared" si="8"/>
        <v>97850</v>
      </c>
      <c r="Y41" s="817">
        <v>240</v>
      </c>
      <c r="Z41" s="824">
        <v>530</v>
      </c>
      <c r="AA41" s="819">
        <f t="shared" si="9"/>
        <v>127200</v>
      </c>
      <c r="AB41" s="820">
        <f t="shared" si="10"/>
        <v>240</v>
      </c>
      <c r="AC41" s="821">
        <v>600</v>
      </c>
      <c r="AD41" s="822">
        <f t="shared" si="11"/>
        <v>144000</v>
      </c>
    </row>
    <row r="42" spans="1:30" x14ac:dyDescent="0.2">
      <c r="A42" s="813" t="s">
        <v>421</v>
      </c>
      <c r="B42" s="814">
        <v>1638</v>
      </c>
      <c r="C42" s="815">
        <v>148</v>
      </c>
      <c r="D42" s="814">
        <f t="shared" si="2"/>
        <v>242424</v>
      </c>
      <c r="E42" s="814">
        <v>1263</v>
      </c>
      <c r="F42" s="815">
        <v>166</v>
      </c>
      <c r="G42" s="816">
        <f t="shared" si="3"/>
        <v>209658</v>
      </c>
      <c r="H42" s="817">
        <v>1562</v>
      </c>
      <c r="I42" s="818">
        <f t="shared" si="1"/>
        <v>133.99935979513444</v>
      </c>
      <c r="J42" s="819">
        <v>209307</v>
      </c>
      <c r="K42" s="820">
        <f t="shared" si="4"/>
        <v>1487.6666666666667</v>
      </c>
      <c r="L42" s="821">
        <f t="shared" si="5"/>
        <v>159.32999999999998</v>
      </c>
      <c r="M42" s="822">
        <f t="shared" si="6"/>
        <v>237029.93</v>
      </c>
      <c r="N42" s="793"/>
      <c r="O42" s="793"/>
      <c r="P42" s="793"/>
      <c r="Q42" s="793"/>
      <c r="R42" s="813" t="s">
        <v>421</v>
      </c>
      <c r="S42" s="823">
        <v>590</v>
      </c>
      <c r="T42" s="815">
        <v>497</v>
      </c>
      <c r="U42" s="813">
        <f t="shared" si="7"/>
        <v>293230</v>
      </c>
      <c r="V42" s="823">
        <v>280</v>
      </c>
      <c r="W42" s="815">
        <v>515</v>
      </c>
      <c r="X42" s="816">
        <f t="shared" si="8"/>
        <v>144200</v>
      </c>
      <c r="Y42" s="817">
        <v>383.33333333333331</v>
      </c>
      <c r="Z42" s="824">
        <v>530</v>
      </c>
      <c r="AA42" s="819">
        <f t="shared" si="9"/>
        <v>203166.66666666666</v>
      </c>
      <c r="AB42" s="820">
        <f t="shared" si="10"/>
        <v>417.77777777777777</v>
      </c>
      <c r="AC42" s="821">
        <v>600</v>
      </c>
      <c r="AD42" s="822">
        <f t="shared" si="11"/>
        <v>250666.66666666666</v>
      </c>
    </row>
    <row r="43" spans="1:30" x14ac:dyDescent="0.2">
      <c r="A43" s="813" t="s">
        <v>422</v>
      </c>
      <c r="B43" s="814">
        <v>2176</v>
      </c>
      <c r="C43" s="815">
        <v>129</v>
      </c>
      <c r="D43" s="814">
        <f t="shared" si="2"/>
        <v>280704</v>
      </c>
      <c r="E43" s="814">
        <v>1484</v>
      </c>
      <c r="F43" s="815">
        <v>136</v>
      </c>
      <c r="G43" s="825">
        <v>281304</v>
      </c>
      <c r="H43" s="817">
        <v>1162</v>
      </c>
      <c r="I43" s="818">
        <v>126</v>
      </c>
      <c r="J43" s="819">
        <v>202181</v>
      </c>
      <c r="K43" s="820">
        <f t="shared" si="4"/>
        <v>1607.3333333333333</v>
      </c>
      <c r="L43" s="821">
        <f t="shared" si="5"/>
        <v>159.32999999999998</v>
      </c>
      <c r="M43" s="822">
        <f t="shared" si="6"/>
        <v>256096.41999999995</v>
      </c>
      <c r="N43" s="793"/>
      <c r="O43" s="793"/>
      <c r="P43" s="793"/>
      <c r="Q43" s="793"/>
      <c r="R43" s="813" t="s">
        <v>422</v>
      </c>
      <c r="S43" s="823">
        <v>830</v>
      </c>
      <c r="T43" s="815">
        <v>497</v>
      </c>
      <c r="U43" s="813">
        <f t="shared" si="7"/>
        <v>412510</v>
      </c>
      <c r="V43" s="823">
        <v>450</v>
      </c>
      <c r="W43" s="815">
        <v>515</v>
      </c>
      <c r="X43" s="816">
        <f t="shared" si="8"/>
        <v>231750</v>
      </c>
      <c r="Y43" s="817">
        <v>576.66666666666663</v>
      </c>
      <c r="Z43" s="824">
        <v>530</v>
      </c>
      <c r="AA43" s="819">
        <f t="shared" si="9"/>
        <v>305633.33333333331</v>
      </c>
      <c r="AB43" s="820">
        <f t="shared" si="10"/>
        <v>618.8888888888888</v>
      </c>
      <c r="AC43" s="821">
        <v>600</v>
      </c>
      <c r="AD43" s="822">
        <f t="shared" si="11"/>
        <v>371333.33333333326</v>
      </c>
    </row>
    <row r="44" spans="1:30" x14ac:dyDescent="0.2">
      <c r="A44" s="813" t="s">
        <v>423</v>
      </c>
      <c r="B44" s="814">
        <v>1916</v>
      </c>
      <c r="C44" s="815">
        <v>133</v>
      </c>
      <c r="D44" s="814">
        <f t="shared" si="2"/>
        <v>254828</v>
      </c>
      <c r="E44" s="814">
        <v>1375</v>
      </c>
      <c r="F44" s="815">
        <v>130</v>
      </c>
      <c r="G44" s="825">
        <v>253881</v>
      </c>
      <c r="H44" s="817">
        <v>778</v>
      </c>
      <c r="I44" s="818">
        <v>125</v>
      </c>
      <c r="J44" s="819">
        <v>179401</v>
      </c>
      <c r="K44" s="820">
        <f t="shared" si="4"/>
        <v>1356.3333333333333</v>
      </c>
      <c r="L44" s="821">
        <f t="shared" si="5"/>
        <v>159.32999999999998</v>
      </c>
      <c r="M44" s="822">
        <f t="shared" si="6"/>
        <v>216104.58999999997</v>
      </c>
      <c r="N44" s="793"/>
      <c r="O44" s="793"/>
      <c r="P44" s="793"/>
      <c r="Q44" s="793"/>
      <c r="R44" s="813" t="s">
        <v>423</v>
      </c>
      <c r="S44" s="823">
        <v>898</v>
      </c>
      <c r="T44" s="815">
        <v>497</v>
      </c>
      <c r="U44" s="813">
        <f t="shared" si="7"/>
        <v>446306</v>
      </c>
      <c r="V44" s="823">
        <v>490</v>
      </c>
      <c r="W44" s="815">
        <v>515</v>
      </c>
      <c r="X44" s="816">
        <f t="shared" si="8"/>
        <v>252350</v>
      </c>
      <c r="Y44" s="817">
        <v>626</v>
      </c>
      <c r="Z44" s="824">
        <v>530</v>
      </c>
      <c r="AA44" s="819">
        <f t="shared" si="9"/>
        <v>331780</v>
      </c>
      <c r="AB44" s="820">
        <f t="shared" si="10"/>
        <v>671.33333333333337</v>
      </c>
      <c r="AC44" s="821">
        <v>600</v>
      </c>
      <c r="AD44" s="822">
        <f t="shared" si="11"/>
        <v>402800</v>
      </c>
    </row>
    <row r="45" spans="1:30" x14ac:dyDescent="0.2">
      <c r="A45" s="813" t="s">
        <v>424</v>
      </c>
      <c r="B45" s="814">
        <v>1897</v>
      </c>
      <c r="C45" s="815">
        <v>136</v>
      </c>
      <c r="D45" s="814">
        <f t="shared" si="2"/>
        <v>257992</v>
      </c>
      <c r="E45" s="814">
        <v>1897</v>
      </c>
      <c r="F45" s="815">
        <v>130</v>
      </c>
      <c r="G45" s="825">
        <v>257406</v>
      </c>
      <c r="H45" s="844">
        <v>1262</v>
      </c>
      <c r="I45" s="818">
        <v>125</v>
      </c>
      <c r="J45" s="819">
        <f>+H45*I45</f>
        <v>157750</v>
      </c>
      <c r="K45" s="820">
        <f t="shared" si="4"/>
        <v>1685.3333333333333</v>
      </c>
      <c r="L45" s="821">
        <f t="shared" si="5"/>
        <v>159.32999999999998</v>
      </c>
      <c r="M45" s="822">
        <f t="shared" si="6"/>
        <v>268524.15999999997</v>
      </c>
      <c r="N45" s="793"/>
      <c r="O45" s="793"/>
      <c r="P45" s="793"/>
      <c r="Q45" s="793"/>
      <c r="R45" s="813" t="s">
        <v>424</v>
      </c>
      <c r="S45" s="826">
        <v>815</v>
      </c>
      <c r="T45" s="815">
        <v>497</v>
      </c>
      <c r="U45" s="813">
        <f t="shared" si="7"/>
        <v>405055</v>
      </c>
      <c r="V45" s="826">
        <v>534.84375</v>
      </c>
      <c r="W45" s="815">
        <v>515</v>
      </c>
      <c r="X45" s="825">
        <f t="shared" si="8"/>
        <v>275444.53125</v>
      </c>
      <c r="Y45" s="817">
        <v>618.67838541666663</v>
      </c>
      <c r="Z45" s="824">
        <v>530</v>
      </c>
      <c r="AA45" s="819">
        <f t="shared" si="9"/>
        <v>327899.54427083331</v>
      </c>
      <c r="AB45" s="820">
        <f t="shared" si="10"/>
        <v>656.1740451388888</v>
      </c>
      <c r="AC45" s="821">
        <v>600</v>
      </c>
      <c r="AD45" s="822">
        <f t="shared" si="11"/>
        <v>393704.42708333326</v>
      </c>
    </row>
    <row r="46" spans="1:30" x14ac:dyDescent="0.2">
      <c r="A46" s="813" t="s">
        <v>425</v>
      </c>
      <c r="B46" s="814">
        <v>1694</v>
      </c>
      <c r="C46" s="815">
        <v>134</v>
      </c>
      <c r="D46" s="814">
        <f t="shared" si="2"/>
        <v>226996</v>
      </c>
      <c r="E46" s="814">
        <v>1694</v>
      </c>
      <c r="F46" s="815">
        <v>130</v>
      </c>
      <c r="G46" s="825">
        <v>227021</v>
      </c>
      <c r="H46" s="844">
        <v>1294</v>
      </c>
      <c r="I46" s="818">
        <v>131</v>
      </c>
      <c r="J46" s="819">
        <f t="shared" ref="J46:J49" si="12">+H46*I46</f>
        <v>169514</v>
      </c>
      <c r="K46" s="820">
        <f t="shared" si="4"/>
        <v>1560.6666666666667</v>
      </c>
      <c r="L46" s="821">
        <f t="shared" si="5"/>
        <v>159.32999999999998</v>
      </c>
      <c r="M46" s="822">
        <f t="shared" si="6"/>
        <v>248661.02</v>
      </c>
      <c r="N46" s="793"/>
      <c r="O46" s="793"/>
      <c r="P46" s="793"/>
      <c r="Q46" s="793"/>
      <c r="R46" s="813" t="s">
        <v>425</v>
      </c>
      <c r="S46" s="826">
        <v>710</v>
      </c>
      <c r="T46" s="815">
        <v>497</v>
      </c>
      <c r="U46" s="813">
        <f t="shared" si="7"/>
        <v>352870</v>
      </c>
      <c r="V46" s="826">
        <v>465.9375</v>
      </c>
      <c r="W46" s="815">
        <v>515</v>
      </c>
      <c r="X46" s="825">
        <f t="shared" si="8"/>
        <v>239957.8125</v>
      </c>
      <c r="Y46" s="817">
        <v>538.97135416666663</v>
      </c>
      <c r="Z46" s="824">
        <v>530</v>
      </c>
      <c r="AA46" s="819">
        <f t="shared" si="9"/>
        <v>285654.81770833331</v>
      </c>
      <c r="AB46" s="820">
        <f t="shared" si="10"/>
        <v>571.63628472222217</v>
      </c>
      <c r="AC46" s="821">
        <v>600</v>
      </c>
      <c r="AD46" s="822">
        <f t="shared" si="11"/>
        <v>342981.77083333331</v>
      </c>
    </row>
    <row r="47" spans="1:30" x14ac:dyDescent="0.2">
      <c r="A47" s="813" t="s">
        <v>426</v>
      </c>
      <c r="B47" s="814">
        <v>1666</v>
      </c>
      <c r="C47" s="815">
        <v>154</v>
      </c>
      <c r="D47" s="814">
        <f t="shared" si="2"/>
        <v>256564</v>
      </c>
      <c r="E47" s="814">
        <v>1666</v>
      </c>
      <c r="F47" s="815">
        <v>130</v>
      </c>
      <c r="G47" s="825">
        <v>255803</v>
      </c>
      <c r="H47" s="844">
        <v>1018</v>
      </c>
      <c r="I47" s="818">
        <v>132</v>
      </c>
      <c r="J47" s="819">
        <f t="shared" si="12"/>
        <v>134376</v>
      </c>
      <c r="K47" s="820">
        <f t="shared" si="4"/>
        <v>1450</v>
      </c>
      <c r="L47" s="821">
        <f t="shared" si="5"/>
        <v>159.32999999999998</v>
      </c>
      <c r="M47" s="822">
        <f t="shared" si="6"/>
        <v>231028.49999999997</v>
      </c>
      <c r="N47" s="793"/>
      <c r="O47" s="793"/>
      <c r="P47" s="793"/>
      <c r="Q47" s="793"/>
      <c r="R47" s="813" t="s">
        <v>426</v>
      </c>
      <c r="S47" s="826">
        <v>590</v>
      </c>
      <c r="T47" s="815">
        <v>497</v>
      </c>
      <c r="U47" s="813">
        <f t="shared" si="7"/>
        <v>293230</v>
      </c>
      <c r="V47" s="826">
        <v>387.1875</v>
      </c>
      <c r="W47" s="815">
        <v>515</v>
      </c>
      <c r="X47" s="825">
        <f t="shared" si="8"/>
        <v>199401.5625</v>
      </c>
      <c r="Y47" s="817">
        <v>447.87760416666669</v>
      </c>
      <c r="Z47" s="824">
        <v>530</v>
      </c>
      <c r="AA47" s="819">
        <f t="shared" si="9"/>
        <v>237375.13020833334</v>
      </c>
      <c r="AB47" s="820">
        <f t="shared" si="10"/>
        <v>475.02170138888891</v>
      </c>
      <c r="AC47" s="821">
        <v>600</v>
      </c>
      <c r="AD47" s="822">
        <f t="shared" si="11"/>
        <v>285013.02083333337</v>
      </c>
    </row>
    <row r="48" spans="1:30" x14ac:dyDescent="0.2">
      <c r="A48" s="813" t="s">
        <v>427</v>
      </c>
      <c r="B48" s="814">
        <v>1535</v>
      </c>
      <c r="C48" s="815">
        <v>138</v>
      </c>
      <c r="D48" s="814">
        <f t="shared" si="2"/>
        <v>211830</v>
      </c>
      <c r="E48" s="814">
        <v>1535</v>
      </c>
      <c r="F48" s="815">
        <v>130</v>
      </c>
      <c r="G48" s="825">
        <v>212288</v>
      </c>
      <c r="H48" s="844">
        <v>1152</v>
      </c>
      <c r="I48" s="818">
        <v>137</v>
      </c>
      <c r="J48" s="819">
        <f t="shared" si="12"/>
        <v>157824</v>
      </c>
      <c r="K48" s="820">
        <f t="shared" si="4"/>
        <v>1407.3333333333333</v>
      </c>
      <c r="L48" s="821">
        <f t="shared" si="5"/>
        <v>159.32999999999998</v>
      </c>
      <c r="M48" s="822">
        <f t="shared" si="6"/>
        <v>224230.41999999995</v>
      </c>
      <c r="N48" s="793"/>
      <c r="O48" s="793"/>
      <c r="P48" s="793"/>
      <c r="Q48" s="793"/>
      <c r="R48" s="813" t="s">
        <v>427</v>
      </c>
      <c r="S48" s="826">
        <v>410</v>
      </c>
      <c r="T48" s="815">
        <v>497</v>
      </c>
      <c r="U48" s="813">
        <f t="shared" si="7"/>
        <v>203770</v>
      </c>
      <c r="V48" s="826">
        <v>269.0625</v>
      </c>
      <c r="W48" s="815">
        <v>515</v>
      </c>
      <c r="X48" s="825">
        <f t="shared" si="8"/>
        <v>138567.1875</v>
      </c>
      <c r="Y48" s="817">
        <v>320</v>
      </c>
      <c r="Z48" s="824">
        <v>530</v>
      </c>
      <c r="AA48" s="819">
        <f t="shared" si="9"/>
        <v>169600</v>
      </c>
      <c r="AB48" s="820">
        <f t="shared" si="10"/>
        <v>333.02083333333331</v>
      </c>
      <c r="AC48" s="821">
        <v>600</v>
      </c>
      <c r="AD48" s="822">
        <f t="shared" si="11"/>
        <v>199812.5</v>
      </c>
    </row>
    <row r="49" spans="1:30" x14ac:dyDescent="0.2">
      <c r="A49" s="813" t="s">
        <v>428</v>
      </c>
      <c r="B49" s="814">
        <v>1172</v>
      </c>
      <c r="C49" s="815">
        <v>155</v>
      </c>
      <c r="D49" s="814">
        <f t="shared" si="2"/>
        <v>181660</v>
      </c>
      <c r="E49" s="814">
        <v>1172</v>
      </c>
      <c r="F49" s="815">
        <v>130</v>
      </c>
      <c r="G49" s="825">
        <v>181109</v>
      </c>
      <c r="H49" s="844">
        <v>1066</v>
      </c>
      <c r="I49" s="818">
        <v>141</v>
      </c>
      <c r="J49" s="819">
        <f t="shared" si="12"/>
        <v>150306</v>
      </c>
      <c r="K49" s="820">
        <f t="shared" si="4"/>
        <v>1136.6666666666667</v>
      </c>
      <c r="L49" s="821">
        <f t="shared" si="5"/>
        <v>159.32999999999998</v>
      </c>
      <c r="M49" s="822">
        <f t="shared" si="6"/>
        <v>181105.1</v>
      </c>
      <c r="N49" s="793"/>
      <c r="O49" s="793"/>
      <c r="P49" s="793"/>
      <c r="Q49" s="793"/>
      <c r="R49" s="813" t="s">
        <v>428</v>
      </c>
      <c r="S49" s="826">
        <v>350</v>
      </c>
      <c r="T49" s="815">
        <v>497</v>
      </c>
      <c r="U49" s="813">
        <f t="shared" si="7"/>
        <v>173950</v>
      </c>
      <c r="V49" s="826">
        <v>229.6875</v>
      </c>
      <c r="W49" s="815">
        <v>515</v>
      </c>
      <c r="X49" s="825">
        <f t="shared" si="8"/>
        <v>118289.0625</v>
      </c>
      <c r="Y49" s="817">
        <v>285</v>
      </c>
      <c r="Z49" s="824">
        <v>530</v>
      </c>
      <c r="AA49" s="819">
        <f t="shared" si="9"/>
        <v>151050</v>
      </c>
      <c r="AB49" s="820">
        <f t="shared" si="10"/>
        <v>288.22916666666669</v>
      </c>
      <c r="AC49" s="821">
        <v>600</v>
      </c>
      <c r="AD49" s="822">
        <f t="shared" si="11"/>
        <v>172937.5</v>
      </c>
    </row>
    <row r="50" spans="1:30" x14ac:dyDescent="0.2">
      <c r="A50" s="827" t="s">
        <v>429</v>
      </c>
      <c r="B50" s="828">
        <f t="shared" ref="B50:H50" si="13">SUM(B38:B49)</f>
        <v>20307</v>
      </c>
      <c r="C50" s="828">
        <f t="shared" si="13"/>
        <v>1719</v>
      </c>
      <c r="D50" s="828">
        <f t="shared" si="13"/>
        <v>2891722</v>
      </c>
      <c r="E50" s="828">
        <f t="shared" si="13"/>
        <v>16423</v>
      </c>
      <c r="F50" s="843"/>
      <c r="G50" s="828">
        <f t="shared" si="13"/>
        <v>2562059</v>
      </c>
      <c r="H50" s="845">
        <f t="shared" si="13"/>
        <v>15069</v>
      </c>
      <c r="I50" s="846"/>
      <c r="J50" s="845">
        <f>SUM(J38:J49)</f>
        <v>2043392</v>
      </c>
      <c r="K50" s="830">
        <f>SUM(K38:K49)</f>
        <v>17266.333333333336</v>
      </c>
      <c r="L50" s="831"/>
      <c r="M50" s="830">
        <f>SUM(M38:M49)</f>
        <v>2751044.8899999997</v>
      </c>
      <c r="N50" s="793"/>
      <c r="O50" s="793"/>
      <c r="P50" s="793"/>
      <c r="Q50" s="793"/>
      <c r="R50" s="827" t="s">
        <v>429</v>
      </c>
      <c r="S50" s="832">
        <f>SUM(S38:S49)</f>
        <v>6030</v>
      </c>
      <c r="T50" s="829"/>
      <c r="U50" s="828">
        <f>SUM(U38:U49)</f>
        <v>2996910</v>
      </c>
      <c r="V50" s="832">
        <f>SUM(V38:V49)</f>
        <v>3858.71875</v>
      </c>
      <c r="W50" s="810"/>
      <c r="X50" s="828">
        <f>SUM(X38:X49)</f>
        <v>1987240.15625</v>
      </c>
      <c r="Y50" s="845">
        <f>SUM(Y38:Y49)</f>
        <v>4688.1940104166661</v>
      </c>
      <c r="Z50" s="846"/>
      <c r="AA50" s="845">
        <f>SUM(AA38:AA49)</f>
        <v>2484742.825520833</v>
      </c>
      <c r="AB50" s="830">
        <f>SUM(AB38:AB49)</f>
        <v>4858.9709201388887</v>
      </c>
      <c r="AC50" s="831"/>
      <c r="AD50" s="830">
        <f>SUM(AD38:AD49)</f>
        <v>2915382.5520833335</v>
      </c>
    </row>
    <row r="51" spans="1:30" x14ac:dyDescent="0.2">
      <c r="A51" s="793"/>
      <c r="B51" s="793"/>
      <c r="C51" s="793"/>
      <c r="D51" s="827" t="s">
        <v>430</v>
      </c>
      <c r="E51" s="816">
        <f>+E38+E39+E40+E49</f>
        <v>4433</v>
      </c>
      <c r="F51" s="833"/>
      <c r="G51" s="816">
        <f>+G38+G39+G40+G49</f>
        <v>709754</v>
      </c>
      <c r="H51" s="819">
        <f>+H38+H39+H40+H49</f>
        <v>4735</v>
      </c>
      <c r="I51" s="847"/>
      <c r="J51" s="835" t="s">
        <v>430</v>
      </c>
      <c r="K51" s="822">
        <f>+K38+K39+K40+K49</f>
        <v>5169.666666666667</v>
      </c>
      <c r="L51" s="833"/>
      <c r="M51" s="822">
        <f>+M38+M39+M40+M49</f>
        <v>823682.99</v>
      </c>
      <c r="N51" s="793"/>
      <c r="O51" s="793"/>
      <c r="P51" s="793"/>
      <c r="Q51" s="793"/>
      <c r="R51" s="793"/>
      <c r="S51" s="793"/>
      <c r="T51" s="793"/>
      <c r="U51" s="827" t="s">
        <v>430</v>
      </c>
      <c r="V51" s="816">
        <f>+V38+V39+V40+V49</f>
        <v>791.6875</v>
      </c>
      <c r="W51" s="815">
        <f>+W50/12</f>
        <v>0</v>
      </c>
      <c r="X51" s="827" t="s">
        <v>430</v>
      </c>
      <c r="Y51" s="819">
        <f>+Y38+Y39+Y40+Y49</f>
        <v>936.66666666666663</v>
      </c>
      <c r="Z51" s="847"/>
      <c r="AA51" s="835" t="s">
        <v>430</v>
      </c>
      <c r="AB51" s="822">
        <f>+AB38+AB39+AB40+AB49</f>
        <v>875.11805555555566</v>
      </c>
      <c r="AC51" s="834"/>
      <c r="AD51" s="822">
        <f>+AD38+AD39+AD40+AD49</f>
        <v>525070.83333333326</v>
      </c>
    </row>
    <row r="52" spans="1:30" x14ac:dyDescent="0.2">
      <c r="A52" s="793"/>
      <c r="B52" s="793"/>
      <c r="C52" s="793"/>
      <c r="D52" s="827" t="s">
        <v>431</v>
      </c>
      <c r="E52" s="816">
        <f>SUM(E41:E48)</f>
        <v>11990</v>
      </c>
      <c r="F52" s="793"/>
      <c r="G52" s="816">
        <f>SUM(G41:G48)</f>
        <v>1852305</v>
      </c>
      <c r="H52" s="819">
        <f>SUM(H41:H48)</f>
        <v>10334</v>
      </c>
      <c r="I52" s="847"/>
      <c r="J52" s="835" t="s">
        <v>431</v>
      </c>
      <c r="K52" s="822">
        <f>SUM(K41:K48)</f>
        <v>12096.666666666666</v>
      </c>
      <c r="L52" s="793"/>
      <c r="M52" s="822">
        <f>SUM(M41:M48)</f>
        <v>1927361.9</v>
      </c>
      <c r="N52" s="793"/>
      <c r="O52" s="793"/>
      <c r="P52" s="793"/>
      <c r="Q52" s="793"/>
      <c r="R52" s="793"/>
      <c r="S52" s="793"/>
      <c r="T52" s="793"/>
      <c r="U52" s="827" t="s">
        <v>431</v>
      </c>
      <c r="V52" s="816">
        <f>SUM(V41:V48)</f>
        <v>3067.03125</v>
      </c>
      <c r="W52" s="836">
        <v>3.4000000000000002E-2</v>
      </c>
      <c r="X52" s="827" t="s">
        <v>431</v>
      </c>
      <c r="Y52" s="819">
        <f>SUM(Y41:Y48)</f>
        <v>3751.5273437499995</v>
      </c>
      <c r="Z52" s="847"/>
      <c r="AA52" s="835" t="s">
        <v>431</v>
      </c>
      <c r="AB52" s="822">
        <f>SUM(AB41:AB48)</f>
        <v>3983.8528645833335</v>
      </c>
      <c r="AC52" s="834"/>
      <c r="AD52" s="822">
        <f>SUM(AD41:AD48)</f>
        <v>2390311.71875</v>
      </c>
    </row>
    <row r="53" spans="1:30" x14ac:dyDescent="0.2">
      <c r="A53" s="793"/>
      <c r="B53" s="793"/>
      <c r="C53" s="793"/>
      <c r="D53" s="829" t="s">
        <v>432</v>
      </c>
      <c r="E53" s="828">
        <f>+E51+E52</f>
        <v>16423</v>
      </c>
      <c r="F53" s="793"/>
      <c r="G53" s="828">
        <f>+G51+G52</f>
        <v>2562059</v>
      </c>
      <c r="H53" s="845">
        <f>+H51+H52</f>
        <v>15069</v>
      </c>
      <c r="I53" s="847"/>
      <c r="J53" s="831" t="s">
        <v>432</v>
      </c>
      <c r="K53" s="830">
        <f>+K51+K52</f>
        <v>17266.333333333332</v>
      </c>
      <c r="L53" s="793"/>
      <c r="M53" s="830">
        <f>+M51+M52</f>
        <v>2751044.8899999997</v>
      </c>
      <c r="N53" s="793"/>
      <c r="O53" s="793"/>
      <c r="P53" s="793"/>
      <c r="Q53" s="793"/>
      <c r="R53" s="793"/>
      <c r="S53" s="793"/>
      <c r="T53" s="793"/>
      <c r="U53" s="829" t="s">
        <v>432</v>
      </c>
      <c r="V53" s="828">
        <f>+V51+V52</f>
        <v>3858.71875</v>
      </c>
      <c r="W53" s="829">
        <f>+W51*1.037</f>
        <v>0</v>
      </c>
      <c r="X53" s="829" t="s">
        <v>432</v>
      </c>
      <c r="Y53" s="845">
        <f>+Y51+Y52</f>
        <v>4688.1940104166661</v>
      </c>
      <c r="Z53" s="847"/>
      <c r="AA53" s="831" t="s">
        <v>432</v>
      </c>
      <c r="AB53" s="830">
        <f>+AB51+AB52</f>
        <v>4858.9709201388887</v>
      </c>
      <c r="AC53" s="834"/>
      <c r="AD53" s="830">
        <f>+AD51+AD52</f>
        <v>2915382.552083333</v>
      </c>
    </row>
    <row r="54" spans="1:30" x14ac:dyDescent="0.2">
      <c r="A54" s="793"/>
      <c r="B54" s="793"/>
      <c r="C54" s="793"/>
      <c r="D54" s="793"/>
      <c r="E54" s="793"/>
      <c r="F54" s="793"/>
      <c r="G54" s="793"/>
      <c r="H54" s="793"/>
      <c r="I54" s="793"/>
      <c r="J54" s="793"/>
      <c r="K54" s="793"/>
      <c r="L54" s="793"/>
      <c r="M54" s="793"/>
      <c r="N54" s="793"/>
      <c r="O54" s="793"/>
      <c r="P54" s="793"/>
      <c r="Q54" s="793"/>
      <c r="R54" s="793"/>
      <c r="S54" s="793"/>
      <c r="T54" s="793"/>
      <c r="U54" s="793"/>
      <c r="V54" s="793"/>
      <c r="W54" s="793"/>
      <c r="X54" s="793"/>
      <c r="Y54" s="793"/>
      <c r="Z54" s="793"/>
      <c r="AA54" s="793"/>
      <c r="AB54" s="793"/>
      <c r="AC54" s="793"/>
      <c r="AD54" s="837"/>
    </row>
    <row r="55" spans="1:30" x14ac:dyDescent="0.2">
      <c r="A55" s="793"/>
      <c r="B55" s="793"/>
      <c r="C55" s="793"/>
      <c r="D55" s="793"/>
      <c r="E55" s="793"/>
      <c r="F55" s="793"/>
      <c r="G55" s="793"/>
      <c r="H55" s="793"/>
      <c r="I55" s="793"/>
      <c r="J55" s="793"/>
      <c r="K55" s="793"/>
      <c r="L55" s="793"/>
      <c r="M55" s="793"/>
      <c r="N55" s="793"/>
      <c r="O55" s="793"/>
      <c r="P55" s="793"/>
      <c r="Q55" s="793"/>
      <c r="R55" s="793"/>
      <c r="S55" s="793"/>
      <c r="T55" s="793"/>
      <c r="U55" s="793"/>
      <c r="V55" s="793"/>
      <c r="W55" s="793"/>
      <c r="X55" s="793"/>
      <c r="Y55" s="793"/>
      <c r="Z55" s="793"/>
      <c r="AA55" s="793"/>
      <c r="AB55" s="793"/>
      <c r="AC55" s="793"/>
      <c r="AD55" s="793"/>
    </row>
    <row r="56" spans="1:30" x14ac:dyDescent="0.2">
      <c r="A56" s="793"/>
      <c r="B56" s="793"/>
      <c r="C56" s="793"/>
      <c r="D56" s="793"/>
      <c r="E56" s="793"/>
      <c r="F56" s="793"/>
      <c r="G56" s="793"/>
      <c r="H56" s="793"/>
      <c r="I56" s="793"/>
      <c r="J56" s="793"/>
      <c r="K56" s="793"/>
      <c r="L56" s="793"/>
      <c r="M56" s="793"/>
      <c r="N56" s="793"/>
      <c r="O56" s="793"/>
      <c r="P56" s="793"/>
      <c r="Q56" s="793"/>
      <c r="R56" s="793"/>
      <c r="S56" s="793"/>
      <c r="T56" s="793"/>
      <c r="U56" s="793"/>
      <c r="V56" s="793"/>
      <c r="W56" s="793">
        <f>+V50/12</f>
        <v>321.55989583333331</v>
      </c>
      <c r="X56" s="793"/>
      <c r="Y56" s="793"/>
      <c r="Z56" s="793"/>
      <c r="AA56" s="793"/>
      <c r="AB56" s="793"/>
      <c r="AC56" s="793"/>
      <c r="AD56" s="793"/>
    </row>
    <row r="57" spans="1:30" ht="15.75" x14ac:dyDescent="0.25">
      <c r="A57" s="793"/>
      <c r="B57" s="794" t="s">
        <v>25</v>
      </c>
      <c r="C57" s="794" t="s">
        <v>452</v>
      </c>
      <c r="D57" s="793"/>
      <c r="E57" s="793"/>
      <c r="F57" s="793"/>
      <c r="G57" s="793"/>
      <c r="H57" s="793"/>
      <c r="I57" s="793"/>
      <c r="J57" s="793"/>
      <c r="K57" s="793"/>
      <c r="L57" s="793"/>
      <c r="M57" s="793"/>
      <c r="N57" s="793"/>
      <c r="O57" s="793"/>
      <c r="P57" s="793"/>
      <c r="Q57" s="793"/>
      <c r="R57" s="793"/>
      <c r="S57" s="793"/>
      <c r="T57" s="793"/>
      <c r="U57" s="793"/>
      <c r="V57" s="793"/>
      <c r="W57" s="793"/>
      <c r="X57" s="793"/>
      <c r="Y57" s="793"/>
      <c r="Z57" s="793"/>
      <c r="AA57" s="793"/>
      <c r="AB57" s="793"/>
      <c r="AC57" s="793"/>
      <c r="AD57" s="793"/>
    </row>
    <row r="58" spans="1:30" x14ac:dyDescent="0.2">
      <c r="A58" s="793"/>
      <c r="B58" s="795"/>
      <c r="C58" s="795"/>
      <c r="D58" s="795"/>
      <c r="E58" s="795"/>
      <c r="F58" s="793"/>
      <c r="G58" s="793"/>
      <c r="H58" s="793"/>
      <c r="I58" s="793"/>
      <c r="J58" s="793"/>
      <c r="K58" s="793"/>
      <c r="L58" s="793"/>
      <c r="M58" s="793"/>
      <c r="N58" s="793"/>
      <c r="O58" s="793"/>
      <c r="P58" s="793"/>
      <c r="Q58" s="793"/>
      <c r="R58" s="793"/>
      <c r="S58" s="793"/>
      <c r="T58" s="793"/>
      <c r="U58" s="793"/>
      <c r="V58" s="793"/>
      <c r="W58" s="793"/>
      <c r="X58" s="793"/>
      <c r="Y58" s="793"/>
      <c r="Z58" s="793"/>
      <c r="AA58" s="793"/>
      <c r="AB58" s="793"/>
      <c r="AC58" s="793"/>
      <c r="AD58" s="793"/>
    </row>
    <row r="59" spans="1:30" x14ac:dyDescent="0.2">
      <c r="A59" s="796" t="s">
        <v>411</v>
      </c>
      <c r="B59" s="797"/>
      <c r="C59" s="798" t="s">
        <v>445</v>
      </c>
      <c r="D59" s="799"/>
      <c r="E59" s="800"/>
      <c r="F59" s="801" t="s">
        <v>446</v>
      </c>
      <c r="G59" s="802"/>
      <c r="H59" s="803"/>
      <c r="I59" s="804" t="s">
        <v>447</v>
      </c>
      <c r="J59" s="805"/>
      <c r="K59" s="806"/>
      <c r="L59" s="807" t="s">
        <v>448</v>
      </c>
      <c r="M59" s="808"/>
      <c r="N59" s="793"/>
      <c r="O59" s="793"/>
      <c r="P59" s="793"/>
      <c r="Q59" s="793"/>
      <c r="R59" s="793"/>
      <c r="S59" s="793"/>
      <c r="T59" s="793"/>
      <c r="U59" s="793"/>
      <c r="V59" s="793"/>
      <c r="W59" s="793"/>
      <c r="X59" s="793"/>
      <c r="Y59" s="793"/>
      <c r="Z59" s="793"/>
      <c r="AA59" s="793"/>
      <c r="AB59" s="793"/>
      <c r="AC59" s="793"/>
      <c r="AD59" s="793"/>
    </row>
    <row r="60" spans="1:30" x14ac:dyDescent="0.2">
      <c r="A60" s="809" t="s">
        <v>412</v>
      </c>
      <c r="B60" s="810" t="s">
        <v>416</v>
      </c>
      <c r="C60" s="810" t="s">
        <v>414</v>
      </c>
      <c r="D60" s="810" t="s">
        <v>192</v>
      </c>
      <c r="E60" s="810" t="s">
        <v>416</v>
      </c>
      <c r="F60" s="810" t="s">
        <v>414</v>
      </c>
      <c r="G60" s="810" t="s">
        <v>192</v>
      </c>
      <c r="H60" s="811" t="s">
        <v>416</v>
      </c>
      <c r="I60" s="811" t="s">
        <v>414</v>
      </c>
      <c r="J60" s="811" t="s">
        <v>192</v>
      </c>
      <c r="K60" s="812" t="s">
        <v>416</v>
      </c>
      <c r="L60" s="812" t="s">
        <v>414</v>
      </c>
      <c r="M60" s="812" t="s">
        <v>192</v>
      </c>
      <c r="N60" s="793"/>
      <c r="O60" s="793"/>
      <c r="P60" s="793"/>
      <c r="Q60" s="793"/>
      <c r="R60" s="793"/>
      <c r="S60" s="793"/>
      <c r="T60" s="793"/>
      <c r="U60" s="793"/>
      <c r="V60" s="793"/>
      <c r="W60" s="793"/>
      <c r="X60" s="793"/>
      <c r="Y60" s="793"/>
      <c r="Z60" s="793"/>
      <c r="AA60" s="793"/>
      <c r="AB60" s="793"/>
      <c r="AC60" s="793"/>
      <c r="AD60" s="793"/>
    </row>
    <row r="61" spans="1:30" x14ac:dyDescent="0.2">
      <c r="A61" s="813" t="s">
        <v>417</v>
      </c>
      <c r="B61" s="823">
        <v>128</v>
      </c>
      <c r="C61" s="815">
        <v>456</v>
      </c>
      <c r="D61" s="813">
        <f>+B61*C61</f>
        <v>58368</v>
      </c>
      <c r="E61" s="823">
        <v>46</v>
      </c>
      <c r="F61" s="815">
        <v>512</v>
      </c>
      <c r="G61" s="816">
        <f>+E61*F61</f>
        <v>23552</v>
      </c>
      <c r="H61" s="817">
        <v>60</v>
      </c>
      <c r="I61" s="818">
        <v>593</v>
      </c>
      <c r="J61" s="819">
        <f>+H61*I61</f>
        <v>35580</v>
      </c>
      <c r="K61" s="820">
        <f>+(B61+E61+H61)/3</f>
        <v>78</v>
      </c>
      <c r="L61" s="821">
        <f>681*1.13</f>
        <v>769.53</v>
      </c>
      <c r="M61" s="822">
        <f>+K61*L61</f>
        <v>60023.34</v>
      </c>
      <c r="N61" s="793"/>
      <c r="O61" s="793"/>
      <c r="P61" s="793"/>
      <c r="Q61" s="793"/>
      <c r="R61" s="793"/>
      <c r="S61" s="793"/>
      <c r="T61" s="793"/>
      <c r="U61" s="793"/>
      <c r="V61" s="793"/>
      <c r="W61" s="793"/>
      <c r="X61" s="793"/>
      <c r="Y61" s="793"/>
      <c r="Z61" s="793"/>
      <c r="AA61" s="793"/>
      <c r="AB61" s="793"/>
      <c r="AC61" s="793"/>
      <c r="AD61" s="793"/>
    </row>
    <row r="62" spans="1:30" x14ac:dyDescent="0.2">
      <c r="A62" s="813" t="s">
        <v>418</v>
      </c>
      <c r="B62" s="823">
        <v>169</v>
      </c>
      <c r="C62" s="815">
        <v>456</v>
      </c>
      <c r="D62" s="813">
        <f t="shared" ref="D62:D72" si="14">+B62*C62</f>
        <v>77064</v>
      </c>
      <c r="E62" s="823">
        <v>74</v>
      </c>
      <c r="F62" s="815">
        <v>463</v>
      </c>
      <c r="G62" s="816">
        <f t="shared" ref="G62:G65" si="15">+E62*F62</f>
        <v>34262</v>
      </c>
      <c r="H62" s="817">
        <v>65</v>
      </c>
      <c r="I62" s="818">
        <v>554</v>
      </c>
      <c r="J62" s="819">
        <f t="shared" ref="J62:J72" si="16">+H62*I62</f>
        <v>36010</v>
      </c>
      <c r="K62" s="820">
        <f t="shared" ref="K62:K72" si="17">+(B62+E62+H62)/3</f>
        <v>102.66666666666667</v>
      </c>
      <c r="L62" s="821">
        <f t="shared" ref="L62:L72" si="18">681*1.13</f>
        <v>769.53</v>
      </c>
      <c r="M62" s="822">
        <f t="shared" ref="M62:M72" si="19">+K62*L62</f>
        <v>79005.08</v>
      </c>
      <c r="N62" s="793"/>
      <c r="O62" s="793"/>
      <c r="P62" s="793"/>
      <c r="Q62" s="793"/>
      <c r="R62" s="793"/>
      <c r="S62" s="793"/>
      <c r="T62" s="793"/>
      <c r="U62" s="793"/>
      <c r="V62" s="793"/>
      <c r="W62" s="793"/>
      <c r="X62" s="793"/>
      <c r="Y62" s="793"/>
      <c r="Z62" s="793"/>
      <c r="AA62" s="793"/>
      <c r="AB62" s="793"/>
      <c r="AC62" s="793"/>
      <c r="AD62" s="793"/>
    </row>
    <row r="63" spans="1:30" x14ac:dyDescent="0.2">
      <c r="A63" s="813" t="s">
        <v>419</v>
      </c>
      <c r="B63" s="823">
        <v>157</v>
      </c>
      <c r="C63" s="815">
        <v>457</v>
      </c>
      <c r="D63" s="813">
        <f t="shared" si="14"/>
        <v>71749</v>
      </c>
      <c r="E63" s="823">
        <v>50</v>
      </c>
      <c r="F63" s="815">
        <v>541</v>
      </c>
      <c r="G63" s="816">
        <f t="shared" si="15"/>
        <v>27050</v>
      </c>
      <c r="H63" s="817">
        <v>63</v>
      </c>
      <c r="I63" s="818">
        <v>491</v>
      </c>
      <c r="J63" s="819">
        <f t="shared" si="16"/>
        <v>30933</v>
      </c>
      <c r="K63" s="820">
        <f t="shared" si="17"/>
        <v>90</v>
      </c>
      <c r="L63" s="821">
        <f t="shared" si="18"/>
        <v>769.53</v>
      </c>
      <c r="M63" s="822">
        <f t="shared" si="19"/>
        <v>69257.7</v>
      </c>
      <c r="N63" s="793"/>
      <c r="O63" s="793"/>
      <c r="P63" s="793"/>
      <c r="Q63" s="793"/>
      <c r="R63" s="793"/>
      <c r="S63" s="793"/>
      <c r="T63" s="793"/>
      <c r="U63" s="793"/>
      <c r="V63" s="793"/>
      <c r="W63" s="793"/>
      <c r="X63" s="793"/>
      <c r="Y63" s="793"/>
      <c r="Z63" s="793"/>
      <c r="AA63" s="793"/>
      <c r="AB63" s="793"/>
      <c r="AC63" s="793"/>
      <c r="AD63" s="793"/>
    </row>
    <row r="64" spans="1:30" x14ac:dyDescent="0.2">
      <c r="A64" s="813" t="s">
        <v>420</v>
      </c>
      <c r="B64" s="823">
        <v>56</v>
      </c>
      <c r="C64" s="815">
        <v>456</v>
      </c>
      <c r="D64" s="813">
        <f t="shared" si="14"/>
        <v>25536</v>
      </c>
      <c r="E64" s="823">
        <v>36</v>
      </c>
      <c r="F64" s="815">
        <v>466</v>
      </c>
      <c r="G64" s="816">
        <f t="shared" si="15"/>
        <v>16776</v>
      </c>
      <c r="H64" s="817">
        <v>82</v>
      </c>
      <c r="I64" s="818">
        <v>489</v>
      </c>
      <c r="J64" s="819">
        <f t="shared" si="16"/>
        <v>40098</v>
      </c>
      <c r="K64" s="820">
        <f t="shared" si="17"/>
        <v>58</v>
      </c>
      <c r="L64" s="821">
        <f t="shared" si="18"/>
        <v>769.53</v>
      </c>
      <c r="M64" s="822">
        <f t="shared" si="19"/>
        <v>44632.74</v>
      </c>
      <c r="N64" s="793"/>
      <c r="O64" s="793"/>
      <c r="P64" s="793"/>
      <c r="Q64" s="793"/>
      <c r="R64" s="793"/>
      <c r="S64" s="793"/>
      <c r="T64" s="793"/>
      <c r="U64" s="793"/>
      <c r="V64" s="793"/>
      <c r="W64" s="793"/>
      <c r="X64" s="793"/>
      <c r="Y64" s="793"/>
      <c r="Z64" s="793"/>
      <c r="AA64" s="793"/>
      <c r="AB64" s="793"/>
      <c r="AC64" s="793"/>
      <c r="AD64" s="793"/>
    </row>
    <row r="65" spans="1:30" x14ac:dyDescent="0.2">
      <c r="A65" s="813" t="s">
        <v>421</v>
      </c>
      <c r="B65" s="823">
        <v>43</v>
      </c>
      <c r="C65" s="815">
        <v>457</v>
      </c>
      <c r="D65" s="813">
        <f t="shared" si="14"/>
        <v>19651</v>
      </c>
      <c r="E65" s="823">
        <v>25</v>
      </c>
      <c r="F65" s="815">
        <v>478</v>
      </c>
      <c r="G65" s="816">
        <f t="shared" si="15"/>
        <v>11950</v>
      </c>
      <c r="H65" s="817">
        <v>50</v>
      </c>
      <c r="I65" s="818">
        <v>484</v>
      </c>
      <c r="J65" s="819">
        <f t="shared" si="16"/>
        <v>24200</v>
      </c>
      <c r="K65" s="820">
        <f t="shared" si="17"/>
        <v>39.333333333333336</v>
      </c>
      <c r="L65" s="821">
        <f t="shared" si="18"/>
        <v>769.53</v>
      </c>
      <c r="M65" s="822">
        <f t="shared" si="19"/>
        <v>30268.18</v>
      </c>
      <c r="N65" s="793"/>
      <c r="O65" s="793"/>
      <c r="P65" s="793"/>
      <c r="Q65" s="793"/>
      <c r="R65" s="793"/>
      <c r="S65" s="793"/>
      <c r="T65" s="793"/>
      <c r="U65" s="793"/>
      <c r="V65" s="793"/>
      <c r="W65" s="793"/>
      <c r="X65" s="793"/>
      <c r="Y65" s="793"/>
      <c r="Z65" s="793"/>
      <c r="AA65" s="793"/>
      <c r="AB65" s="793"/>
      <c r="AC65" s="793"/>
      <c r="AD65" s="793"/>
    </row>
    <row r="66" spans="1:30" x14ac:dyDescent="0.2">
      <c r="A66" s="813" t="s">
        <v>422</v>
      </c>
      <c r="B66" s="823">
        <v>55</v>
      </c>
      <c r="C66" s="815">
        <v>456</v>
      </c>
      <c r="D66" s="813">
        <f t="shared" si="14"/>
        <v>25080</v>
      </c>
      <c r="E66" s="826">
        <v>29</v>
      </c>
      <c r="F66" s="838">
        <v>478</v>
      </c>
      <c r="G66" s="825">
        <v>25106</v>
      </c>
      <c r="H66" s="817">
        <v>37</v>
      </c>
      <c r="I66" s="818">
        <v>495</v>
      </c>
      <c r="J66" s="819">
        <f t="shared" si="16"/>
        <v>18315</v>
      </c>
      <c r="K66" s="820">
        <f t="shared" si="17"/>
        <v>40.333333333333336</v>
      </c>
      <c r="L66" s="821">
        <f t="shared" si="18"/>
        <v>769.53</v>
      </c>
      <c r="M66" s="822">
        <f t="shared" si="19"/>
        <v>31037.71</v>
      </c>
      <c r="N66" s="793"/>
      <c r="O66" s="793"/>
      <c r="P66" s="793"/>
      <c r="Q66" s="793"/>
      <c r="R66" s="793"/>
      <c r="S66" s="793"/>
      <c r="T66" s="793"/>
      <c r="U66" s="793"/>
      <c r="V66" s="793"/>
      <c r="W66" s="793"/>
      <c r="X66" s="793"/>
      <c r="Y66" s="793"/>
      <c r="Z66" s="793"/>
      <c r="AA66" s="793"/>
      <c r="AB66" s="793"/>
      <c r="AC66" s="793"/>
      <c r="AD66" s="793"/>
    </row>
    <row r="67" spans="1:30" x14ac:dyDescent="0.2">
      <c r="A67" s="813" t="s">
        <v>423</v>
      </c>
      <c r="B67" s="839">
        <v>36</v>
      </c>
      <c r="C67" s="815">
        <v>457</v>
      </c>
      <c r="D67" s="813">
        <f t="shared" si="14"/>
        <v>16452</v>
      </c>
      <c r="E67" s="840">
        <v>30</v>
      </c>
      <c r="F67" s="838">
        <v>479</v>
      </c>
      <c r="G67" s="825">
        <v>16463</v>
      </c>
      <c r="H67" s="817">
        <v>16</v>
      </c>
      <c r="I67" s="818">
        <v>495</v>
      </c>
      <c r="J67" s="819">
        <f t="shared" si="16"/>
        <v>7920</v>
      </c>
      <c r="K67" s="820">
        <f t="shared" si="17"/>
        <v>27.333333333333332</v>
      </c>
      <c r="L67" s="821">
        <f t="shared" si="18"/>
        <v>769.53</v>
      </c>
      <c r="M67" s="822">
        <f t="shared" si="19"/>
        <v>21033.82</v>
      </c>
      <c r="N67" s="793"/>
      <c r="O67" s="793"/>
      <c r="P67" s="793"/>
      <c r="Q67" s="793"/>
      <c r="R67" s="793"/>
      <c r="S67" s="793"/>
      <c r="T67" s="793"/>
      <c r="U67" s="793"/>
      <c r="V67" s="793"/>
      <c r="W67" s="793"/>
      <c r="X67" s="793"/>
      <c r="Y67" s="793"/>
      <c r="Z67" s="793"/>
      <c r="AA67" s="793"/>
      <c r="AB67" s="793"/>
      <c r="AC67" s="793"/>
      <c r="AD67" s="793"/>
    </row>
    <row r="68" spans="1:30" x14ac:dyDescent="0.2">
      <c r="A68" s="813" t="s">
        <v>424</v>
      </c>
      <c r="B68" s="815">
        <v>40</v>
      </c>
      <c r="C68" s="815">
        <v>458</v>
      </c>
      <c r="D68" s="813">
        <f t="shared" si="14"/>
        <v>18320</v>
      </c>
      <c r="E68" s="841">
        <v>40</v>
      </c>
      <c r="F68" s="838">
        <v>458</v>
      </c>
      <c r="G68" s="825">
        <v>18312</v>
      </c>
      <c r="H68" s="824">
        <v>37</v>
      </c>
      <c r="I68" s="818">
        <v>495</v>
      </c>
      <c r="J68" s="819">
        <f t="shared" si="16"/>
        <v>18315</v>
      </c>
      <c r="K68" s="820">
        <f t="shared" si="17"/>
        <v>39</v>
      </c>
      <c r="L68" s="821">
        <f t="shared" si="18"/>
        <v>769.53</v>
      </c>
      <c r="M68" s="822">
        <f t="shared" si="19"/>
        <v>30011.67</v>
      </c>
      <c r="N68" s="793"/>
      <c r="O68" s="793"/>
      <c r="P68" s="793"/>
      <c r="Q68" s="793"/>
      <c r="R68" s="793"/>
      <c r="S68" s="793"/>
      <c r="T68" s="793"/>
      <c r="U68" s="793"/>
      <c r="V68" s="793"/>
      <c r="W68" s="793"/>
      <c r="X68" s="793"/>
      <c r="Y68" s="793"/>
      <c r="Z68" s="793"/>
      <c r="AA68" s="793"/>
      <c r="AB68" s="793"/>
      <c r="AC68" s="793"/>
      <c r="AD68" s="793"/>
    </row>
    <row r="69" spans="1:30" x14ac:dyDescent="0.2">
      <c r="A69" s="813" t="s">
        <v>425</v>
      </c>
      <c r="B69" s="815">
        <v>76</v>
      </c>
      <c r="C69" s="815">
        <v>458</v>
      </c>
      <c r="D69" s="813">
        <f t="shared" si="14"/>
        <v>34808</v>
      </c>
      <c r="E69" s="841">
        <v>76</v>
      </c>
      <c r="F69" s="838">
        <v>458</v>
      </c>
      <c r="G69" s="825">
        <v>34790</v>
      </c>
      <c r="H69" s="824">
        <v>42</v>
      </c>
      <c r="I69" s="818">
        <v>500</v>
      </c>
      <c r="J69" s="819">
        <f t="shared" si="16"/>
        <v>21000</v>
      </c>
      <c r="K69" s="820">
        <f t="shared" si="17"/>
        <v>64.666666666666671</v>
      </c>
      <c r="L69" s="821">
        <f t="shared" si="18"/>
        <v>769.53</v>
      </c>
      <c r="M69" s="822">
        <f t="shared" si="19"/>
        <v>49762.94</v>
      </c>
      <c r="N69" s="793"/>
      <c r="O69" s="793"/>
      <c r="P69" s="793"/>
      <c r="Q69" s="793"/>
      <c r="R69" s="793"/>
      <c r="S69" s="793"/>
      <c r="T69" s="793"/>
      <c r="U69" s="793"/>
      <c r="V69" s="793"/>
      <c r="W69" s="793"/>
      <c r="X69" s="793"/>
      <c r="Y69" s="793"/>
      <c r="Z69" s="793"/>
      <c r="AA69" s="793"/>
      <c r="AB69" s="793"/>
      <c r="AC69" s="793"/>
      <c r="AD69" s="793"/>
    </row>
    <row r="70" spans="1:30" x14ac:dyDescent="0.2">
      <c r="A70" s="813" t="s">
        <v>426</v>
      </c>
      <c r="B70" s="815">
        <v>45</v>
      </c>
      <c r="C70" s="815">
        <v>456</v>
      </c>
      <c r="D70" s="813">
        <f t="shared" si="14"/>
        <v>20520</v>
      </c>
      <c r="E70" s="841">
        <v>45</v>
      </c>
      <c r="F70" s="838">
        <v>456</v>
      </c>
      <c r="G70" s="825">
        <v>20541</v>
      </c>
      <c r="H70" s="824">
        <v>33</v>
      </c>
      <c r="I70" s="818">
        <v>502</v>
      </c>
      <c r="J70" s="819">
        <f t="shared" si="16"/>
        <v>16566</v>
      </c>
      <c r="K70" s="820">
        <f t="shared" si="17"/>
        <v>41</v>
      </c>
      <c r="L70" s="821">
        <f t="shared" si="18"/>
        <v>769.53</v>
      </c>
      <c r="M70" s="822">
        <f t="shared" si="19"/>
        <v>31550.73</v>
      </c>
      <c r="N70" s="793"/>
      <c r="O70" s="793"/>
      <c r="P70" s="793"/>
      <c r="Q70" s="793"/>
      <c r="R70" s="793"/>
      <c r="S70" s="793"/>
      <c r="T70" s="793"/>
      <c r="U70" s="793"/>
      <c r="V70" s="793"/>
      <c r="W70" s="793"/>
      <c r="X70" s="793"/>
      <c r="Y70" s="793"/>
      <c r="Z70" s="793"/>
      <c r="AA70" s="793"/>
      <c r="AB70" s="793"/>
      <c r="AC70" s="793"/>
      <c r="AD70" s="793"/>
    </row>
    <row r="71" spans="1:30" x14ac:dyDescent="0.2">
      <c r="A71" s="813" t="s">
        <v>427</v>
      </c>
      <c r="B71" s="815">
        <v>71</v>
      </c>
      <c r="C71" s="815">
        <v>457</v>
      </c>
      <c r="D71" s="813">
        <f t="shared" si="14"/>
        <v>32447</v>
      </c>
      <c r="E71" s="841">
        <v>71</v>
      </c>
      <c r="F71" s="838">
        <v>457</v>
      </c>
      <c r="G71" s="825">
        <v>32431</v>
      </c>
      <c r="H71" s="824">
        <v>50</v>
      </c>
      <c r="I71" s="818">
        <v>503</v>
      </c>
      <c r="J71" s="819">
        <f t="shared" si="16"/>
        <v>25150</v>
      </c>
      <c r="K71" s="820">
        <f t="shared" si="17"/>
        <v>64</v>
      </c>
      <c r="L71" s="821">
        <f t="shared" si="18"/>
        <v>769.53</v>
      </c>
      <c r="M71" s="822">
        <f t="shared" si="19"/>
        <v>49249.919999999998</v>
      </c>
      <c r="N71" s="793"/>
      <c r="O71" s="793"/>
      <c r="P71" s="793"/>
      <c r="Q71" s="793"/>
      <c r="R71" s="793"/>
      <c r="S71" s="793"/>
      <c r="T71" s="793"/>
      <c r="U71" s="793"/>
      <c r="V71" s="793"/>
      <c r="W71" s="793"/>
      <c r="X71" s="793"/>
      <c r="Y71" s="793"/>
      <c r="Z71" s="793"/>
      <c r="AA71" s="793"/>
      <c r="AB71" s="793"/>
      <c r="AC71" s="793"/>
      <c r="AD71" s="793"/>
    </row>
    <row r="72" spans="1:30" x14ac:dyDescent="0.2">
      <c r="A72" s="813" t="s">
        <v>428</v>
      </c>
      <c r="B72" s="815">
        <v>84</v>
      </c>
      <c r="C72" s="815">
        <v>456</v>
      </c>
      <c r="D72" s="813">
        <f t="shared" si="14"/>
        <v>38304</v>
      </c>
      <c r="E72" s="841">
        <v>84</v>
      </c>
      <c r="F72" s="838">
        <v>456</v>
      </c>
      <c r="G72" s="825">
        <v>38312</v>
      </c>
      <c r="H72" s="824">
        <v>154</v>
      </c>
      <c r="I72" s="818">
        <v>681</v>
      </c>
      <c r="J72" s="819">
        <f t="shared" si="16"/>
        <v>104874</v>
      </c>
      <c r="K72" s="820">
        <f t="shared" si="17"/>
        <v>107.33333333333333</v>
      </c>
      <c r="L72" s="821">
        <f t="shared" si="18"/>
        <v>769.53</v>
      </c>
      <c r="M72" s="822">
        <f t="shared" si="19"/>
        <v>82596.219999999987</v>
      </c>
      <c r="N72" s="793"/>
      <c r="O72" s="793"/>
      <c r="P72" s="793"/>
      <c r="Q72" s="793"/>
      <c r="R72" s="793"/>
      <c r="S72" s="793"/>
      <c r="T72" s="793"/>
      <c r="U72" s="793"/>
      <c r="V72" s="793"/>
      <c r="W72" s="793"/>
      <c r="X72" s="793"/>
      <c r="Y72" s="793"/>
      <c r="Z72" s="793"/>
      <c r="AA72" s="793"/>
      <c r="AB72" s="793"/>
      <c r="AC72" s="793"/>
      <c r="AD72" s="793"/>
    </row>
    <row r="73" spans="1:30" x14ac:dyDescent="0.2">
      <c r="A73" s="827" t="s">
        <v>429</v>
      </c>
      <c r="B73" s="832">
        <f t="shared" ref="B73:H73" si="20">SUM(B61:B72)</f>
        <v>960</v>
      </c>
      <c r="C73" s="828"/>
      <c r="D73" s="828">
        <f t="shared" si="20"/>
        <v>438299</v>
      </c>
      <c r="E73" s="828">
        <f>SUM(E61:E72)</f>
        <v>606</v>
      </c>
      <c r="F73" s="829"/>
      <c r="G73" s="828">
        <f t="shared" si="20"/>
        <v>299545</v>
      </c>
      <c r="H73" s="845">
        <f t="shared" si="20"/>
        <v>689</v>
      </c>
      <c r="I73" s="846"/>
      <c r="J73" s="845">
        <f>SUM(J61:J72)</f>
        <v>378961</v>
      </c>
      <c r="K73" s="830">
        <f>SUM(K61:K72)</f>
        <v>751.66666666666663</v>
      </c>
      <c r="L73" s="831"/>
      <c r="M73" s="830">
        <f>SUM(M61:M72)</f>
        <v>578430.04999999993</v>
      </c>
      <c r="N73" s="793"/>
      <c r="O73" s="793"/>
      <c r="P73" s="793"/>
      <c r="Q73" s="793"/>
      <c r="R73" s="793"/>
      <c r="S73" s="793"/>
      <c r="T73" s="793"/>
      <c r="U73" s="793"/>
      <c r="V73" s="793"/>
      <c r="W73" s="793"/>
      <c r="X73" s="793"/>
      <c r="Y73" s="793"/>
      <c r="Z73" s="793"/>
      <c r="AA73" s="793"/>
      <c r="AB73" s="793"/>
      <c r="AC73" s="793"/>
      <c r="AD73" s="793"/>
    </row>
    <row r="74" spans="1:30" x14ac:dyDescent="0.2">
      <c r="A74" s="793"/>
      <c r="B74" s="793"/>
      <c r="C74" s="793"/>
      <c r="D74" s="827" t="s">
        <v>430</v>
      </c>
      <c r="E74" s="816">
        <f>+E61+E62+E63+E72</f>
        <v>254</v>
      </c>
      <c r="F74" s="793"/>
      <c r="G74" s="816">
        <f>+G61+G62+G63+G72</f>
        <v>123176</v>
      </c>
      <c r="H74" s="819">
        <f>+H61+H62+H63+H72</f>
        <v>342</v>
      </c>
      <c r="I74" s="847"/>
      <c r="J74" s="835" t="s">
        <v>430</v>
      </c>
      <c r="K74" s="822">
        <f>+K61+K62+K63+K72</f>
        <v>378</v>
      </c>
      <c r="L74" s="834"/>
      <c r="M74" s="822">
        <f>+M61+M62+M63+M72</f>
        <v>290882.33999999997</v>
      </c>
      <c r="N74" s="793"/>
      <c r="O74" s="793"/>
      <c r="P74" s="793"/>
      <c r="Q74" s="793"/>
      <c r="R74" s="793"/>
      <c r="S74" s="793"/>
      <c r="T74" s="793"/>
      <c r="U74" s="793"/>
      <c r="V74" s="793"/>
      <c r="W74" s="793"/>
      <c r="X74" s="793"/>
      <c r="Y74" s="793"/>
      <c r="Z74" s="793"/>
      <c r="AA74" s="793"/>
      <c r="AB74" s="793"/>
      <c r="AC74" s="793"/>
      <c r="AD74" s="793"/>
    </row>
    <row r="75" spans="1:30" x14ac:dyDescent="0.2">
      <c r="A75" s="793"/>
      <c r="B75" s="793"/>
      <c r="C75" s="793"/>
      <c r="D75" s="827" t="s">
        <v>431</v>
      </c>
      <c r="E75" s="816">
        <f>SUM(E64:E71)</f>
        <v>352</v>
      </c>
      <c r="F75" s="793"/>
      <c r="G75" s="816">
        <f>SUM(G64:G71)</f>
        <v>176369</v>
      </c>
      <c r="H75" s="819">
        <f>SUM(H64:H71)</f>
        <v>347</v>
      </c>
      <c r="I75" s="847"/>
      <c r="J75" s="835" t="s">
        <v>431</v>
      </c>
      <c r="K75" s="822">
        <f>SUM(K64:K71)</f>
        <v>373.66666666666669</v>
      </c>
      <c r="L75" s="834"/>
      <c r="M75" s="822">
        <f>SUM(M64:M71)</f>
        <v>287547.71000000002</v>
      </c>
      <c r="N75" s="793"/>
      <c r="O75" s="793"/>
      <c r="P75" s="793"/>
      <c r="Q75" s="793"/>
      <c r="R75" s="793"/>
      <c r="S75" s="793"/>
      <c r="T75" s="793"/>
      <c r="U75" s="793"/>
      <c r="V75" s="793"/>
      <c r="W75" s="793"/>
      <c r="X75" s="793"/>
      <c r="Y75" s="793"/>
      <c r="Z75" s="793"/>
      <c r="AA75" s="793"/>
      <c r="AB75" s="793"/>
      <c r="AC75" s="793"/>
      <c r="AD75" s="793"/>
    </row>
    <row r="76" spans="1:30" x14ac:dyDescent="0.2">
      <c r="A76" s="793"/>
      <c r="B76" s="793"/>
      <c r="C76" s="793"/>
      <c r="D76" s="829" t="s">
        <v>432</v>
      </c>
      <c r="E76" s="828">
        <f>+E74+E75</f>
        <v>606</v>
      </c>
      <c r="F76" s="793"/>
      <c r="G76" s="828">
        <f>+G74+G75</f>
        <v>299545</v>
      </c>
      <c r="H76" s="845">
        <f>+H74+H75</f>
        <v>689</v>
      </c>
      <c r="I76" s="847"/>
      <c r="J76" s="831" t="s">
        <v>432</v>
      </c>
      <c r="K76" s="830">
        <f>+K74+K75</f>
        <v>751.66666666666674</v>
      </c>
      <c r="L76" s="834"/>
      <c r="M76" s="830">
        <f>+M74+M75</f>
        <v>578430.05000000005</v>
      </c>
      <c r="N76" s="793"/>
      <c r="O76" s="793"/>
      <c r="P76" s="793"/>
      <c r="Q76" s="793"/>
      <c r="R76" s="793"/>
      <c r="S76" s="793"/>
      <c r="T76" s="793"/>
      <c r="U76" s="793"/>
      <c r="V76" s="793"/>
      <c r="W76" s="793"/>
      <c r="X76" s="793"/>
      <c r="Y76" s="793"/>
      <c r="Z76" s="793"/>
      <c r="AA76" s="793"/>
      <c r="AB76" s="793"/>
      <c r="AC76" s="793"/>
      <c r="AD76" s="793"/>
    </row>
    <row r="77" spans="1:30" x14ac:dyDescent="0.2">
      <c r="A77" s="793"/>
      <c r="B77" s="793"/>
      <c r="C77" s="793"/>
      <c r="D77" s="793"/>
      <c r="E77" s="793"/>
      <c r="F77" s="793"/>
      <c r="G77" s="793"/>
      <c r="H77" s="793"/>
      <c r="I77" s="793"/>
      <c r="J77" s="793"/>
      <c r="K77" s="793"/>
      <c r="L77" s="842"/>
      <c r="M77" s="793"/>
      <c r="N77" s="793"/>
      <c r="O77" s="793"/>
      <c r="P77" s="793"/>
      <c r="Q77" s="793"/>
      <c r="R77" s="793"/>
      <c r="S77" s="793"/>
      <c r="T77" s="793"/>
      <c r="U77" s="793"/>
      <c r="V77" s="793"/>
      <c r="W77" s="793"/>
      <c r="X77" s="793"/>
      <c r="Y77" s="793"/>
      <c r="Z77" s="793"/>
      <c r="AA77" s="793"/>
      <c r="AB77" s="793"/>
      <c r="AC77" s="793"/>
      <c r="AD77" s="793"/>
    </row>
    <row r="78" spans="1:30" x14ac:dyDescent="0.2">
      <c r="A78" s="793"/>
      <c r="B78" s="793"/>
      <c r="C78" s="793"/>
      <c r="D78" s="793"/>
      <c r="E78" s="793"/>
      <c r="F78" s="793"/>
      <c r="G78" s="793"/>
      <c r="H78" s="793"/>
      <c r="I78" s="793"/>
      <c r="J78" s="793"/>
      <c r="K78" s="793"/>
      <c r="L78" s="793"/>
      <c r="M78" s="793"/>
      <c r="N78" s="793"/>
      <c r="O78" s="793"/>
      <c r="P78" s="793"/>
      <c r="Q78" s="793"/>
      <c r="R78" s="793"/>
      <c r="S78" s="793"/>
      <c r="T78" s="793"/>
      <c r="U78" s="793"/>
      <c r="V78" s="793"/>
      <c r="W78" s="793"/>
      <c r="X78" s="793"/>
      <c r="Y78" s="793"/>
      <c r="Z78" s="793"/>
      <c r="AA78" s="793"/>
      <c r="AB78" s="793"/>
      <c r="AC78" s="793"/>
      <c r="AD78" s="793"/>
    </row>
    <row r="79" spans="1:30" x14ac:dyDescent="0.2">
      <c r="A79" s="793" t="s">
        <v>450</v>
      </c>
      <c r="B79" s="793"/>
      <c r="C79" s="793"/>
      <c r="D79" s="793"/>
      <c r="E79" s="793"/>
      <c r="F79" s="793"/>
      <c r="G79" s="793"/>
      <c r="H79" s="793"/>
      <c r="I79" s="793"/>
      <c r="J79" s="793"/>
      <c r="K79" s="793"/>
      <c r="L79" s="793"/>
      <c r="M79" s="793"/>
      <c r="N79" s="793"/>
      <c r="O79" s="793"/>
      <c r="P79" s="793"/>
      <c r="Q79" s="793"/>
      <c r="R79" s="793"/>
      <c r="S79" s="793"/>
      <c r="T79" s="793"/>
      <c r="U79" s="793"/>
      <c r="V79" s="793"/>
      <c r="W79" s="793"/>
      <c r="X79" s="793"/>
      <c r="Y79" s="793"/>
      <c r="Z79" s="793"/>
      <c r="AA79" s="793"/>
      <c r="AB79" s="793"/>
      <c r="AC79" s="793"/>
      <c r="AD79" s="793"/>
    </row>
    <row r="83" spans="1:1" x14ac:dyDescent="0.2">
      <c r="A83" s="96" t="s">
        <v>451</v>
      </c>
    </row>
    <row r="85" spans="1:1" x14ac:dyDescent="0.2">
      <c r="A85" s="96" t="s">
        <v>433</v>
      </c>
    </row>
    <row r="86" spans="1:1" x14ac:dyDescent="0.2">
      <c r="A86" s="96" t="s">
        <v>434</v>
      </c>
    </row>
    <row r="87" spans="1:1" x14ac:dyDescent="0.2">
      <c r="A87" s="96" t="s">
        <v>435</v>
      </c>
    </row>
  </sheetData>
  <mergeCells count="1">
    <mergeCell ref="J4:K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theme="4" tint="0.39997558519241921"/>
    <pageSetUpPr fitToPage="1"/>
  </sheetPr>
  <dimension ref="A2:P53"/>
  <sheetViews>
    <sheetView topLeftCell="A19" zoomScale="90" zoomScaleNormal="90" workbookViewId="0">
      <selection activeCell="M54" sqref="M54"/>
    </sheetView>
  </sheetViews>
  <sheetFormatPr baseColWidth="10" defaultColWidth="11.42578125" defaultRowHeight="15" x14ac:dyDescent="0.25"/>
  <cols>
    <col min="1" max="1" width="38.140625" style="522" bestFit="1" customWidth="1"/>
    <col min="2" max="13" width="13.85546875" style="522" bestFit="1" customWidth="1"/>
    <col min="14" max="14" width="14.85546875" style="522" bestFit="1" customWidth="1"/>
    <col min="15" max="15" width="13.85546875" style="522" bestFit="1" customWidth="1"/>
    <col min="16" max="16" width="17.140625" style="522" bestFit="1" customWidth="1"/>
    <col min="17" max="16384" width="11.42578125" style="522"/>
  </cols>
  <sheetData>
    <row r="2" spans="1:15" ht="15.75" x14ac:dyDescent="0.25">
      <c r="A2" s="1178" t="s">
        <v>247</v>
      </c>
      <c r="B2" s="1178"/>
      <c r="C2" s="1178"/>
      <c r="D2" s="1178"/>
    </row>
    <row r="4" spans="1:15" x14ac:dyDescent="0.25">
      <c r="A4" s="523" t="s">
        <v>255</v>
      </c>
      <c r="B4" s="524" t="s">
        <v>230</v>
      </c>
      <c r="C4" s="524" t="s">
        <v>231</v>
      </c>
      <c r="D4" s="524" t="s">
        <v>232</v>
      </c>
      <c r="E4" s="524" t="s">
        <v>233</v>
      </c>
      <c r="F4" s="524" t="s">
        <v>234</v>
      </c>
      <c r="G4" s="524" t="s">
        <v>235</v>
      </c>
      <c r="H4" s="524" t="s">
        <v>236</v>
      </c>
      <c r="I4" s="524" t="s">
        <v>237</v>
      </c>
      <c r="J4" s="524" t="s">
        <v>238</v>
      </c>
      <c r="K4" s="524" t="s">
        <v>239</v>
      </c>
      <c r="L4" s="524" t="s">
        <v>240</v>
      </c>
      <c r="M4" s="524" t="s">
        <v>241</v>
      </c>
    </row>
    <row r="5" spans="1:15" x14ac:dyDescent="0.25">
      <c r="A5" s="525" t="s">
        <v>248</v>
      </c>
      <c r="B5" s="526"/>
      <c r="C5" s="526"/>
      <c r="D5" s="526">
        <f>+'B) Reajuste Tarifas y Ocupación'!$I$28</f>
        <v>30</v>
      </c>
      <c r="E5" s="526">
        <f>+'B) Reajuste Tarifas y Ocupación'!$I$28</f>
        <v>30</v>
      </c>
      <c r="F5" s="526">
        <f>+'B) Reajuste Tarifas y Ocupación'!$I$28</f>
        <v>30</v>
      </c>
      <c r="G5" s="526">
        <f>+'B) Reajuste Tarifas y Ocupación'!$I$28</f>
        <v>30</v>
      </c>
      <c r="H5" s="526">
        <f>+'B) Reajuste Tarifas y Ocupación'!$I$28</f>
        <v>30</v>
      </c>
      <c r="I5" s="526">
        <f>+'B) Reajuste Tarifas y Ocupación'!$I$28</f>
        <v>30</v>
      </c>
      <c r="J5" s="526">
        <f>+'B) Reajuste Tarifas y Ocupación'!$I$28</f>
        <v>30</v>
      </c>
      <c r="K5" s="526">
        <f>+'B) Reajuste Tarifas y Ocupación'!$I$28</f>
        <v>30</v>
      </c>
      <c r="L5" s="526">
        <f>+'B) Reajuste Tarifas y Ocupación'!$I$28</f>
        <v>30</v>
      </c>
      <c r="M5" s="526">
        <f>+'B) Reajuste Tarifas y Ocupación'!$I$28</f>
        <v>30</v>
      </c>
    </row>
    <row r="6" spans="1:15" x14ac:dyDescent="0.25">
      <c r="A6" s="525" t="s">
        <v>249</v>
      </c>
      <c r="B6" s="526">
        <f>+COUNTA('F) Remuneraciones'!$C$11:$C$18)</f>
        <v>5</v>
      </c>
      <c r="C6" s="526">
        <f>+COUNTA('F) Remuneraciones'!$C$11:$C$18)</f>
        <v>5</v>
      </c>
      <c r="D6" s="526">
        <f>+COUNTA('F) Remuneraciones'!$C$11:$C$18)</f>
        <v>5</v>
      </c>
      <c r="E6" s="526">
        <f>+COUNTA('F) Remuneraciones'!$C$11:$C$18)</f>
        <v>5</v>
      </c>
      <c r="F6" s="526">
        <f>+COUNTA('F) Remuneraciones'!$C$11:$C$18)</f>
        <v>5</v>
      </c>
      <c r="G6" s="526">
        <f>+COUNTA('F) Remuneraciones'!$C$11:$C$18)</f>
        <v>5</v>
      </c>
      <c r="H6" s="526">
        <f>+COUNTA('F) Remuneraciones'!$C$11:$C$18)</f>
        <v>5</v>
      </c>
      <c r="I6" s="526">
        <f>+COUNTA('F) Remuneraciones'!$C$11:$C$18)</f>
        <v>5</v>
      </c>
      <c r="J6" s="526">
        <f>+COUNTA('F) Remuneraciones'!$C$11:$C$18)</f>
        <v>5</v>
      </c>
      <c r="K6" s="526">
        <f>+COUNTA('F) Remuneraciones'!$C$11:$C$18)</f>
        <v>5</v>
      </c>
      <c r="L6" s="526">
        <f>+COUNTA('F) Remuneraciones'!$C$11:$C$18)</f>
        <v>5</v>
      </c>
      <c r="M6" s="526">
        <f>+COUNTA('F) Remuneraciones'!$C$11:$C$18)</f>
        <v>5</v>
      </c>
    </row>
    <row r="7" spans="1:15" x14ac:dyDescent="0.25">
      <c r="A7" s="525"/>
      <c r="B7" s="527"/>
      <c r="C7" s="527"/>
      <c r="D7" s="527"/>
      <c r="E7" s="527"/>
      <c r="F7" s="527"/>
      <c r="G7" s="527"/>
      <c r="H7" s="527"/>
      <c r="I7" s="527"/>
      <c r="J7" s="527"/>
      <c r="K7" s="527"/>
      <c r="L7" s="527"/>
      <c r="M7" s="527"/>
    </row>
    <row r="8" spans="1:15" ht="30" x14ac:dyDescent="0.25">
      <c r="A8" s="528" t="str">
        <f>+'A) Resumen Ingresos y Egresos'!A22</f>
        <v>Jardín Infantil Tortuguita Marina</v>
      </c>
      <c r="B8" s="524" t="s">
        <v>230</v>
      </c>
      <c r="C8" s="524" t="s">
        <v>231</v>
      </c>
      <c r="D8" s="524" t="s">
        <v>232</v>
      </c>
      <c r="E8" s="524" t="s">
        <v>233</v>
      </c>
      <c r="F8" s="524" t="s">
        <v>234</v>
      </c>
      <c r="G8" s="524" t="s">
        <v>235</v>
      </c>
      <c r="H8" s="524" t="s">
        <v>236</v>
      </c>
      <c r="I8" s="524" t="s">
        <v>237</v>
      </c>
      <c r="J8" s="524" t="s">
        <v>238</v>
      </c>
      <c r="K8" s="524" t="s">
        <v>239</v>
      </c>
      <c r="L8" s="524" t="s">
        <v>240</v>
      </c>
      <c r="M8" s="524" t="s">
        <v>241</v>
      </c>
      <c r="N8" s="524" t="s">
        <v>250</v>
      </c>
    </row>
    <row r="9" spans="1:15" x14ac:dyDescent="0.25">
      <c r="A9" s="529" t="s">
        <v>242</v>
      </c>
      <c r="B9" s="530">
        <f>+'A) Resumen Ingresos y Egresos'!P28</f>
        <v>0</v>
      </c>
      <c r="C9" s="530">
        <f>+'A) Resumen Ingresos y Egresos'!N28*0.7</f>
        <v>1705200</v>
      </c>
      <c r="D9" s="530">
        <f>+'A) Resumen Ingresos y Egresos'!N28*0.3+'A) Resumen Ingresos y Egresos'!O28*0.1</f>
        <v>3166800</v>
      </c>
      <c r="E9" s="530">
        <f>+'A) Resumen Ingresos y Egresos'!$O$28*0.1</f>
        <v>2436000</v>
      </c>
      <c r="F9" s="530">
        <f>+'A) Resumen Ingresos y Egresos'!$O$28*0.1</f>
        <v>2436000</v>
      </c>
      <c r="G9" s="530">
        <f>+'A) Resumen Ingresos y Egresos'!$O$28*0.1</f>
        <v>2436000</v>
      </c>
      <c r="H9" s="530">
        <f>+'A) Resumen Ingresos y Egresos'!$O$28*0.1</f>
        <v>2436000</v>
      </c>
      <c r="I9" s="530">
        <f>+'A) Resumen Ingresos y Egresos'!$O$28*0.1</f>
        <v>2436000</v>
      </c>
      <c r="J9" s="530">
        <f>+'A) Resumen Ingresos y Egresos'!$O$28*0.1</f>
        <v>2436000</v>
      </c>
      <c r="K9" s="530">
        <f>+'A) Resumen Ingresos y Egresos'!$O$28*0.1</f>
        <v>2436000</v>
      </c>
      <c r="L9" s="530">
        <f>+'A) Resumen Ingresos y Egresos'!$O$28*0.1</f>
        <v>2436000</v>
      </c>
      <c r="M9" s="530">
        <f>+'A) Resumen Ingresos y Egresos'!$O$28*0.1</f>
        <v>2436000</v>
      </c>
      <c r="N9" s="531">
        <f>SUM(B9:M9)</f>
        <v>26796000</v>
      </c>
    </row>
    <row r="10" spans="1:15" x14ac:dyDescent="0.25">
      <c r="A10" s="529" t="s">
        <v>243</v>
      </c>
      <c r="B10" s="530">
        <f>SUM('F) Remuneraciones'!$H$11:$H$18)/12</f>
        <v>2464958.6466666665</v>
      </c>
      <c r="C10" s="530">
        <f>SUM('F) Remuneraciones'!$H$11:$H$18)/12</f>
        <v>2464958.6466666665</v>
      </c>
      <c r="D10" s="530">
        <f>SUM('F) Remuneraciones'!$H$11:$H$18)/12</f>
        <v>2464958.6466666665</v>
      </c>
      <c r="E10" s="530">
        <f>SUM('F) Remuneraciones'!$H$11:$H$18)/12</f>
        <v>2464958.6466666665</v>
      </c>
      <c r="F10" s="530">
        <f>SUM('F) Remuneraciones'!$H$11:$H$18)/12</f>
        <v>2464958.6466666665</v>
      </c>
      <c r="G10" s="530">
        <f>SUM('F) Remuneraciones'!$H$11:$H$18)/12</f>
        <v>2464958.6466666665</v>
      </c>
      <c r="H10" s="530">
        <f>SUM('F) Remuneraciones'!$H$11:$H$18)/12</f>
        <v>2464958.6466666665</v>
      </c>
      <c r="I10" s="530">
        <f>SUM('F) Remuneraciones'!$H$11:$H$18)/12</f>
        <v>2464958.6466666665</v>
      </c>
      <c r="J10" s="530">
        <f>SUM('F) Remuneraciones'!$H$11:$H$18)/12</f>
        <v>2464958.6466666665</v>
      </c>
      <c r="K10" s="530">
        <f>SUM('F) Remuneraciones'!$H$11:$H$18)/12</f>
        <v>2464958.6466666665</v>
      </c>
      <c r="L10" s="530">
        <f>SUM('F) Remuneraciones'!$H$11:$H$18)/12</f>
        <v>2464958.6466666665</v>
      </c>
      <c r="M10" s="530">
        <f>SUM('F) Remuneraciones'!$H$11:$H$18)/12</f>
        <v>2464958.6466666665</v>
      </c>
      <c r="N10" s="531">
        <f t="shared" ref="N10:N12" si="0">SUM(B10:M10)</f>
        <v>29579503.760000005</v>
      </c>
    </row>
    <row r="11" spans="1:15" x14ac:dyDescent="0.25">
      <c r="A11" s="529" t="s">
        <v>245</v>
      </c>
      <c r="B11" s="530">
        <f>SUM('F) Remuneraciones'!I11:I18*0.5)</f>
        <v>136373</v>
      </c>
      <c r="C11" s="530">
        <v>0</v>
      </c>
      <c r="D11" s="530">
        <v>0</v>
      </c>
      <c r="E11" s="530">
        <v>0</v>
      </c>
      <c r="F11" s="530">
        <v>0</v>
      </c>
      <c r="G11" s="530">
        <v>0</v>
      </c>
      <c r="H11" s="530">
        <v>0</v>
      </c>
      <c r="I11" s="530">
        <v>0</v>
      </c>
      <c r="J11" s="530">
        <f>SUM('F) Remuneraciones'!J11:J18*0.5)</f>
        <v>72819</v>
      </c>
      <c r="K11" s="530">
        <v>0</v>
      </c>
      <c r="L11" s="530">
        <v>0</v>
      </c>
      <c r="M11" s="530">
        <f>+B11+J11</f>
        <v>209192</v>
      </c>
      <c r="N11" s="531">
        <f t="shared" si="0"/>
        <v>418384</v>
      </c>
    </row>
    <row r="12" spans="1:15" x14ac:dyDescent="0.25">
      <c r="A12" s="529" t="s">
        <v>244</v>
      </c>
      <c r="B12" s="530">
        <f>(+'C) Costos Directos'!$H$75-'C) Costos Directos'!$D$14)*0.05</f>
        <v>367071.62949999981</v>
      </c>
      <c r="C12" s="530">
        <f>(+'C) Costos Directos'!$H$75-'C) Costos Directos'!$D$14)*0.05</f>
        <v>367071.62949999981</v>
      </c>
      <c r="D12" s="530">
        <f>(+'C) Costos Directos'!$H$75-'C) Costos Directos'!$D$14)*0.09</f>
        <v>660728.93309999967</v>
      </c>
      <c r="E12" s="530">
        <f>(+'C) Costos Directos'!$H$75-'C) Costos Directos'!$D$14)*0.09</f>
        <v>660728.93309999967</v>
      </c>
      <c r="F12" s="530">
        <f>(+'C) Costos Directos'!$H$75-'C) Costos Directos'!$D$14)*0.09</f>
        <v>660728.93309999967</v>
      </c>
      <c r="G12" s="530">
        <f>(+'C) Costos Directos'!$H$75-'C) Costos Directos'!$D$14)*0.09</f>
        <v>660728.93309999967</v>
      </c>
      <c r="H12" s="530">
        <f>(+'C) Costos Directos'!$H$75-'C) Costos Directos'!$D$14)*0.09</f>
        <v>660728.93309999967</v>
      </c>
      <c r="I12" s="530">
        <f>(+'C) Costos Directos'!$H$75-'C) Costos Directos'!$D$14)*0.09</f>
        <v>660728.93309999967</v>
      </c>
      <c r="J12" s="530">
        <f>(+'C) Costos Directos'!$H$75-'C) Costos Directos'!$D$14)*0.09</f>
        <v>660728.93309999967</v>
      </c>
      <c r="K12" s="530">
        <f>(+'C) Costos Directos'!$H$75-'C) Costos Directos'!$D$14)*0.09</f>
        <v>660728.93309999967</v>
      </c>
      <c r="L12" s="530">
        <f>(+'C) Costos Directos'!$H$75-'C) Costos Directos'!$D$14)*0.09</f>
        <v>660728.93309999967</v>
      </c>
      <c r="M12" s="530">
        <f>(+'C) Costos Directos'!$H$75-'C) Costos Directos'!$D$14)*0.09</f>
        <v>660728.93309999967</v>
      </c>
      <c r="N12" s="531">
        <f t="shared" si="0"/>
        <v>7341432.5899999971</v>
      </c>
      <c r="O12" s="530"/>
    </row>
    <row r="13" spans="1:15" x14ac:dyDescent="0.25">
      <c r="A13" s="532" t="s">
        <v>251</v>
      </c>
      <c r="B13" s="533">
        <f t="shared" ref="B13:M13" si="1">+B9-B10-B11-B12</f>
        <v>-2968403.2761666663</v>
      </c>
      <c r="C13" s="533">
        <f t="shared" si="1"/>
        <v>-1126830.2761666663</v>
      </c>
      <c r="D13" s="533">
        <f t="shared" si="1"/>
        <v>41112.420233333833</v>
      </c>
      <c r="E13" s="533">
        <f t="shared" si="1"/>
        <v>-689687.57976666617</v>
      </c>
      <c r="F13" s="533">
        <f t="shared" si="1"/>
        <v>-689687.57976666617</v>
      </c>
      <c r="G13" s="533">
        <f t="shared" si="1"/>
        <v>-689687.57976666617</v>
      </c>
      <c r="H13" s="533">
        <f t="shared" si="1"/>
        <v>-689687.57976666617</v>
      </c>
      <c r="I13" s="533">
        <f t="shared" si="1"/>
        <v>-689687.57976666617</v>
      </c>
      <c r="J13" s="533">
        <f t="shared" si="1"/>
        <v>-762506.57976666617</v>
      </c>
      <c r="K13" s="533">
        <f t="shared" si="1"/>
        <v>-689687.57976666617</v>
      </c>
      <c r="L13" s="533">
        <f t="shared" si="1"/>
        <v>-689687.57976666617</v>
      </c>
      <c r="M13" s="533">
        <f t="shared" si="1"/>
        <v>-898879.57976666617</v>
      </c>
      <c r="N13" s="533">
        <f>+N9-N10-N11-N12</f>
        <v>-10543320.350000001</v>
      </c>
      <c r="O13" s="530"/>
    </row>
    <row r="16" spans="1:15" x14ac:dyDescent="0.25">
      <c r="A16" s="523" t="s">
        <v>255</v>
      </c>
      <c r="B16" s="524" t="s">
        <v>230</v>
      </c>
      <c r="C16" s="524" t="s">
        <v>231</v>
      </c>
      <c r="D16" s="524" t="s">
        <v>232</v>
      </c>
      <c r="E16" s="524" t="s">
        <v>233</v>
      </c>
      <c r="F16" s="524" t="s">
        <v>234</v>
      </c>
      <c r="G16" s="524" t="s">
        <v>235</v>
      </c>
      <c r="H16" s="524" t="s">
        <v>236</v>
      </c>
      <c r="I16" s="524" t="s">
        <v>237</v>
      </c>
      <c r="J16" s="524" t="s">
        <v>238</v>
      </c>
      <c r="K16" s="524" t="s">
        <v>239</v>
      </c>
      <c r="L16" s="524" t="s">
        <v>240</v>
      </c>
      <c r="M16" s="524" t="s">
        <v>241</v>
      </c>
    </row>
    <row r="17" spans="1:14" x14ac:dyDescent="0.25">
      <c r="A17" s="525" t="s">
        <v>248</v>
      </c>
      <c r="B17" s="526"/>
      <c r="C17" s="526"/>
      <c r="D17" s="526">
        <f>+'B) Reajuste Tarifas y Ocupación'!$I$30</f>
        <v>25</v>
      </c>
      <c r="E17" s="526">
        <f>+'B) Reajuste Tarifas y Ocupación'!$I$30</f>
        <v>25</v>
      </c>
      <c r="F17" s="526">
        <f>+'B) Reajuste Tarifas y Ocupación'!$I$30</f>
        <v>25</v>
      </c>
      <c r="G17" s="526">
        <f>+'B) Reajuste Tarifas y Ocupación'!$I$30</f>
        <v>25</v>
      </c>
      <c r="H17" s="526">
        <f>+'B) Reajuste Tarifas y Ocupación'!$I$30</f>
        <v>25</v>
      </c>
      <c r="I17" s="526">
        <f>+'B) Reajuste Tarifas y Ocupación'!$I$30</f>
        <v>25</v>
      </c>
      <c r="J17" s="526">
        <f>+'B) Reajuste Tarifas y Ocupación'!$I$30</f>
        <v>25</v>
      </c>
      <c r="K17" s="526">
        <f>+'B) Reajuste Tarifas y Ocupación'!$I$30</f>
        <v>25</v>
      </c>
      <c r="L17" s="526">
        <f>+'B) Reajuste Tarifas y Ocupación'!$I$30</f>
        <v>25</v>
      </c>
      <c r="M17" s="526">
        <f>+'B) Reajuste Tarifas y Ocupación'!$I$30</f>
        <v>25</v>
      </c>
    </row>
    <row r="18" spans="1:14" x14ac:dyDescent="0.25">
      <c r="A18" s="525" t="s">
        <v>249</v>
      </c>
      <c r="B18" s="526">
        <f>+COUNTA('F) Remuneraciones'!$C$19:$C$26)</f>
        <v>4</v>
      </c>
      <c r="C18" s="526">
        <f>+COUNTA('F) Remuneraciones'!$C$19:$C$26)</f>
        <v>4</v>
      </c>
      <c r="D18" s="526">
        <f>+COUNTA('F) Remuneraciones'!$C$19:$C$26)</f>
        <v>4</v>
      </c>
      <c r="E18" s="526">
        <f>+COUNTA('F) Remuneraciones'!$C$19:$C$26)</f>
        <v>4</v>
      </c>
      <c r="F18" s="526">
        <f>+COUNTA('F) Remuneraciones'!$C$19:$C$26)</f>
        <v>4</v>
      </c>
      <c r="G18" s="526">
        <f>+COUNTA('F) Remuneraciones'!$C$19:$C$26)</f>
        <v>4</v>
      </c>
      <c r="H18" s="526">
        <f>+COUNTA('F) Remuneraciones'!$C$19:$C$26)</f>
        <v>4</v>
      </c>
      <c r="I18" s="526">
        <f>+COUNTA('F) Remuneraciones'!$C$19:$C$26)</f>
        <v>4</v>
      </c>
      <c r="J18" s="526">
        <f>+COUNTA('F) Remuneraciones'!$C$19:$C$26)</f>
        <v>4</v>
      </c>
      <c r="K18" s="526">
        <f>+COUNTA('F) Remuneraciones'!$C$19:$C$26)</f>
        <v>4</v>
      </c>
      <c r="L18" s="526">
        <f>+COUNTA('F) Remuneraciones'!$C$19:$C$26)</f>
        <v>4</v>
      </c>
      <c r="M18" s="526">
        <f>+COUNTA('F) Remuneraciones'!$C$19:$C$26)</f>
        <v>4</v>
      </c>
    </row>
    <row r="19" spans="1:14" x14ac:dyDescent="0.25">
      <c r="A19" s="525"/>
      <c r="B19" s="527"/>
      <c r="C19" s="527"/>
      <c r="D19" s="527"/>
      <c r="E19" s="527"/>
      <c r="F19" s="527"/>
      <c r="G19" s="527"/>
      <c r="H19" s="527"/>
      <c r="I19" s="527"/>
      <c r="J19" s="527"/>
      <c r="K19" s="527"/>
      <c r="L19" s="527"/>
      <c r="M19" s="527"/>
    </row>
    <row r="20" spans="1:14" ht="30" x14ac:dyDescent="0.25">
      <c r="A20" s="528" t="str">
        <f>+'A) Resumen Ingresos y Egresos'!A29</f>
        <v>Jardín Infantil Burbujitas de Mar</v>
      </c>
      <c r="B20" s="524" t="s">
        <v>230</v>
      </c>
      <c r="C20" s="524" t="s">
        <v>231</v>
      </c>
      <c r="D20" s="524" t="s">
        <v>232</v>
      </c>
      <c r="E20" s="524" t="s">
        <v>233</v>
      </c>
      <c r="F20" s="524" t="s">
        <v>234</v>
      </c>
      <c r="G20" s="524" t="s">
        <v>235</v>
      </c>
      <c r="H20" s="524" t="s">
        <v>236</v>
      </c>
      <c r="I20" s="524" t="s">
        <v>237</v>
      </c>
      <c r="J20" s="524" t="s">
        <v>238</v>
      </c>
      <c r="K20" s="524" t="s">
        <v>239</v>
      </c>
      <c r="L20" s="524" t="s">
        <v>240</v>
      </c>
      <c r="M20" s="524" t="s">
        <v>241</v>
      </c>
      <c r="N20" s="524" t="s">
        <v>250</v>
      </c>
    </row>
    <row r="21" spans="1:14" x14ac:dyDescent="0.25">
      <c r="A21" s="529" t="s">
        <v>242</v>
      </c>
      <c r="B21" s="530">
        <f>+'A) Resumen Ingresos y Egresos'!P35</f>
        <v>0</v>
      </c>
      <c r="C21" s="530">
        <f>+'A) Resumen Ingresos y Egresos'!N35*0.7</f>
        <v>1760500</v>
      </c>
      <c r="D21" s="530">
        <f>+'A) Resumen Ingresos y Egresos'!N35*0.3+'A) Resumen Ingresos y Egresos'!O35*0.1</f>
        <v>3269500</v>
      </c>
      <c r="E21" s="530">
        <f>+'A) Resumen Ingresos y Egresos'!$O$35*0.1</f>
        <v>2515000</v>
      </c>
      <c r="F21" s="530">
        <f>+'A) Resumen Ingresos y Egresos'!$O$35*0.1</f>
        <v>2515000</v>
      </c>
      <c r="G21" s="530">
        <f>+'A) Resumen Ingresos y Egresos'!$O$35*0.1</f>
        <v>2515000</v>
      </c>
      <c r="H21" s="530">
        <f>+'A) Resumen Ingresos y Egresos'!$O$35*0.1</f>
        <v>2515000</v>
      </c>
      <c r="I21" s="530">
        <f>+'A) Resumen Ingresos y Egresos'!$O$35*0.1</f>
        <v>2515000</v>
      </c>
      <c r="J21" s="530">
        <f>+'A) Resumen Ingresos y Egresos'!$O$35*0.1</f>
        <v>2515000</v>
      </c>
      <c r="K21" s="530">
        <f>+'A) Resumen Ingresos y Egresos'!$O$35*0.1</f>
        <v>2515000</v>
      </c>
      <c r="L21" s="530">
        <f>+'A) Resumen Ingresos y Egresos'!$O$35*0.1</f>
        <v>2515000</v>
      </c>
      <c r="M21" s="530">
        <f>+'A) Resumen Ingresos y Egresos'!$O$35*0.1</f>
        <v>2515000</v>
      </c>
      <c r="N21" s="531">
        <f>SUM(B21:M21)</f>
        <v>27665000</v>
      </c>
    </row>
    <row r="22" spans="1:14" x14ac:dyDescent="0.25">
      <c r="A22" s="529" t="s">
        <v>243</v>
      </c>
      <c r="B22" s="530">
        <f>SUM('F) Remuneraciones'!$H$19:$H$26)/12</f>
        <v>2911560.26</v>
      </c>
      <c r="C22" s="530">
        <f>SUM('F) Remuneraciones'!$H$19:$H$26)/12</f>
        <v>2911560.26</v>
      </c>
      <c r="D22" s="530">
        <f>SUM('F) Remuneraciones'!$H$19:$H$26)/12</f>
        <v>2911560.26</v>
      </c>
      <c r="E22" s="530">
        <f>SUM('F) Remuneraciones'!$H$19:$H$26)/12</f>
        <v>2911560.26</v>
      </c>
      <c r="F22" s="530">
        <f>SUM('F) Remuneraciones'!$H$19:$H$26)/12</f>
        <v>2911560.26</v>
      </c>
      <c r="G22" s="530">
        <f>SUM('F) Remuneraciones'!$H$19:$H$26)/12</f>
        <v>2911560.26</v>
      </c>
      <c r="H22" s="530">
        <f>SUM('F) Remuneraciones'!$H$19:$H$26)/12</f>
        <v>2911560.26</v>
      </c>
      <c r="I22" s="530">
        <f>SUM('F) Remuneraciones'!$H$19:$H$26)/12</f>
        <v>2911560.26</v>
      </c>
      <c r="J22" s="530">
        <f>SUM('F) Remuneraciones'!$H$19:$H$26)/12</f>
        <v>2911560.26</v>
      </c>
      <c r="K22" s="530">
        <f>SUM('F) Remuneraciones'!$H$19:$H$26)/12</f>
        <v>2911560.26</v>
      </c>
      <c r="L22" s="530">
        <f>SUM('F) Remuneraciones'!$H$19:$H$26)/12</f>
        <v>2911560.26</v>
      </c>
      <c r="M22" s="530">
        <f>SUM('F) Remuneraciones'!$H$19:$H$26)/12</f>
        <v>2911560.26</v>
      </c>
      <c r="N22" s="531">
        <f t="shared" ref="N22:N24" si="2">SUM(B22:M22)</f>
        <v>34938723.11999999</v>
      </c>
    </row>
    <row r="23" spans="1:14" x14ac:dyDescent="0.25">
      <c r="A23" s="529" t="s">
        <v>245</v>
      </c>
      <c r="B23" s="530">
        <f>SUM('F) Remuneraciones'!I19:I26)*0.5</f>
        <v>545492</v>
      </c>
      <c r="C23" s="530">
        <v>0</v>
      </c>
      <c r="D23" s="530">
        <v>0</v>
      </c>
      <c r="E23" s="530">
        <v>0</v>
      </c>
      <c r="F23" s="530">
        <v>0</v>
      </c>
      <c r="G23" s="530">
        <v>0</v>
      </c>
      <c r="H23" s="530">
        <v>0</v>
      </c>
      <c r="I23" s="530">
        <v>0</v>
      </c>
      <c r="J23" s="530">
        <f>SUM('F) Remuneraciones'!J19:J26)*0.5</f>
        <v>296364</v>
      </c>
      <c r="K23" s="530">
        <v>0</v>
      </c>
      <c r="L23" s="530">
        <v>0</v>
      </c>
      <c r="M23" s="530">
        <f>+B23+J23</f>
        <v>841856</v>
      </c>
      <c r="N23" s="531">
        <f t="shared" si="2"/>
        <v>1683712</v>
      </c>
    </row>
    <row r="24" spans="1:14" x14ac:dyDescent="0.25">
      <c r="A24" s="529" t="s">
        <v>244</v>
      </c>
      <c r="B24" s="530">
        <f>(+'C) Costos Directos'!$H$139-'C) Costos Directos'!$D$78)/12</f>
        <v>676789.78795376979</v>
      </c>
      <c r="C24" s="530">
        <f>(+'C) Costos Directos'!$H$139-'C) Costos Directos'!$D$78)/12</f>
        <v>676789.78795376979</v>
      </c>
      <c r="D24" s="530">
        <f>(+'C) Costos Directos'!$H$139-'C) Costos Directos'!$D$78)/12</f>
        <v>676789.78795376979</v>
      </c>
      <c r="E24" s="530">
        <f>(+'C) Costos Directos'!$H$139-'C) Costos Directos'!$D$78)/12</f>
        <v>676789.78795376979</v>
      </c>
      <c r="F24" s="530">
        <f>(+'C) Costos Directos'!$H$139-'C) Costos Directos'!$D$78)/12</f>
        <v>676789.78795376979</v>
      </c>
      <c r="G24" s="530">
        <f>(+'C) Costos Directos'!$H$139-'C) Costos Directos'!$D$78)/12</f>
        <v>676789.78795376979</v>
      </c>
      <c r="H24" s="530">
        <f>(+'C) Costos Directos'!$H$139-'C) Costos Directos'!$D$78)/12</f>
        <v>676789.78795376979</v>
      </c>
      <c r="I24" s="530">
        <f>(+'C) Costos Directos'!$H$139-'C) Costos Directos'!$D$78)/12</f>
        <v>676789.78795376979</v>
      </c>
      <c r="J24" s="530">
        <f>(+'C) Costos Directos'!$H$139-'C) Costos Directos'!$D$78)/12</f>
        <v>676789.78795376979</v>
      </c>
      <c r="K24" s="530">
        <f>(+'C) Costos Directos'!$H$139-'C) Costos Directos'!$D$78)/12</f>
        <v>676789.78795376979</v>
      </c>
      <c r="L24" s="530">
        <f>(+'C) Costos Directos'!$H$139-'C) Costos Directos'!$D$78)/12</f>
        <v>676789.78795376979</v>
      </c>
      <c r="M24" s="530">
        <f>(+'C) Costos Directos'!$H$139-'C) Costos Directos'!$D$78)/12</f>
        <v>676789.78795376979</v>
      </c>
      <c r="N24" s="531">
        <f t="shared" si="2"/>
        <v>8121477.4554452375</v>
      </c>
    </row>
    <row r="25" spans="1:14" x14ac:dyDescent="0.25">
      <c r="A25" s="532" t="s">
        <v>251</v>
      </c>
      <c r="B25" s="533">
        <f t="shared" ref="B25:M25" si="3">+B21-B22-B23-B24</f>
        <v>-4133842.0479537696</v>
      </c>
      <c r="C25" s="533">
        <f t="shared" si="3"/>
        <v>-1827850.0479537696</v>
      </c>
      <c r="D25" s="533">
        <f t="shared" si="3"/>
        <v>-318850.04795376956</v>
      </c>
      <c r="E25" s="533">
        <f t="shared" si="3"/>
        <v>-1073350.0479537696</v>
      </c>
      <c r="F25" s="533">
        <f t="shared" si="3"/>
        <v>-1073350.0479537696</v>
      </c>
      <c r="G25" s="533">
        <f t="shared" si="3"/>
        <v>-1073350.0479537696</v>
      </c>
      <c r="H25" s="533">
        <f t="shared" si="3"/>
        <v>-1073350.0479537696</v>
      </c>
      <c r="I25" s="533">
        <f t="shared" si="3"/>
        <v>-1073350.0479537696</v>
      </c>
      <c r="J25" s="533">
        <f t="shared" si="3"/>
        <v>-1369714.0479537696</v>
      </c>
      <c r="K25" s="533">
        <f t="shared" si="3"/>
        <v>-1073350.0479537696</v>
      </c>
      <c r="L25" s="533">
        <f t="shared" si="3"/>
        <v>-1073350.0479537696</v>
      </c>
      <c r="M25" s="533">
        <f t="shared" si="3"/>
        <v>-1915206.0479537696</v>
      </c>
      <c r="N25" s="533">
        <f>+N21-N22-N23-N24</f>
        <v>-17078912.575445227</v>
      </c>
    </row>
    <row r="28" spans="1:14" x14ac:dyDescent="0.25">
      <c r="A28" s="523" t="s">
        <v>255</v>
      </c>
      <c r="B28" s="524" t="s">
        <v>230</v>
      </c>
      <c r="C28" s="524" t="s">
        <v>231</v>
      </c>
      <c r="D28" s="524" t="s">
        <v>232</v>
      </c>
      <c r="E28" s="524" t="s">
        <v>233</v>
      </c>
      <c r="F28" s="524" t="s">
        <v>234</v>
      </c>
      <c r="G28" s="524" t="s">
        <v>235</v>
      </c>
      <c r="H28" s="524" t="s">
        <v>236</v>
      </c>
      <c r="I28" s="524" t="s">
        <v>237</v>
      </c>
      <c r="J28" s="524" t="s">
        <v>238</v>
      </c>
      <c r="K28" s="524" t="s">
        <v>239</v>
      </c>
      <c r="L28" s="524" t="s">
        <v>240</v>
      </c>
      <c r="M28" s="524" t="s">
        <v>241</v>
      </c>
    </row>
    <row r="29" spans="1:14" x14ac:dyDescent="0.25">
      <c r="A29" s="525" t="s">
        <v>248</v>
      </c>
      <c r="B29" s="526">
        <f>+'B) Reajuste Tarifas y Ocupación'!$I$36</f>
        <v>45</v>
      </c>
      <c r="C29" s="526">
        <f>+'B) Reajuste Tarifas y Ocupación'!$I$36</f>
        <v>45</v>
      </c>
      <c r="D29" s="526">
        <f>+'B) Reajuste Tarifas y Ocupación'!$I$36</f>
        <v>45</v>
      </c>
      <c r="E29" s="526">
        <f>+'B) Reajuste Tarifas y Ocupación'!$I$36</f>
        <v>45</v>
      </c>
      <c r="F29" s="526">
        <f>+'B) Reajuste Tarifas y Ocupación'!$I$36</f>
        <v>45</v>
      </c>
      <c r="G29" s="526">
        <f>+'B) Reajuste Tarifas y Ocupación'!$I$36</f>
        <v>45</v>
      </c>
      <c r="H29" s="526">
        <f>+'B) Reajuste Tarifas y Ocupación'!$I$36</f>
        <v>45</v>
      </c>
      <c r="I29" s="526">
        <f>+'B) Reajuste Tarifas y Ocupación'!$I$36</f>
        <v>45</v>
      </c>
      <c r="J29" s="526">
        <f>+'B) Reajuste Tarifas y Ocupación'!$I$36</f>
        <v>45</v>
      </c>
      <c r="K29" s="526">
        <f>+'B) Reajuste Tarifas y Ocupación'!$I$36</f>
        <v>45</v>
      </c>
      <c r="L29" s="526">
        <f>+'B) Reajuste Tarifas y Ocupación'!$I$36</f>
        <v>45</v>
      </c>
      <c r="M29" s="526">
        <f>+'B) Reajuste Tarifas y Ocupación'!$I$36</f>
        <v>45</v>
      </c>
    </row>
    <row r="30" spans="1:14" x14ac:dyDescent="0.25">
      <c r="A30" s="525" t="s">
        <v>249</v>
      </c>
      <c r="B30" s="526">
        <f>+COUNTA('F) Remuneraciones'!$C$29:$C$44)</f>
        <v>14</v>
      </c>
      <c r="C30" s="526">
        <f>+COUNTA('F) Remuneraciones'!$C$29:$C$44)</f>
        <v>14</v>
      </c>
      <c r="D30" s="526">
        <f>+COUNTA('F) Remuneraciones'!$C$29:$C$44)</f>
        <v>14</v>
      </c>
      <c r="E30" s="526">
        <f>+COUNTA('F) Remuneraciones'!$C$29:$C$44)</f>
        <v>14</v>
      </c>
      <c r="F30" s="526">
        <f>+COUNTA('F) Remuneraciones'!$C$29:$C$44)</f>
        <v>14</v>
      </c>
      <c r="G30" s="526">
        <f>+COUNTA('F) Remuneraciones'!$C$29:$C$44)</f>
        <v>14</v>
      </c>
      <c r="H30" s="526">
        <f>+COUNTA('F) Remuneraciones'!$C$29:$C$44)</f>
        <v>14</v>
      </c>
      <c r="I30" s="526">
        <f>+COUNTA('F) Remuneraciones'!$C$29:$C$44)</f>
        <v>14</v>
      </c>
      <c r="J30" s="526">
        <f>+COUNTA('F) Remuneraciones'!$C$29:$C$44)</f>
        <v>14</v>
      </c>
      <c r="K30" s="526">
        <f>+COUNTA('F) Remuneraciones'!$C$29:$C$44)</f>
        <v>14</v>
      </c>
      <c r="L30" s="526">
        <f>+COUNTA('F) Remuneraciones'!$C$29:$C$44)</f>
        <v>14</v>
      </c>
      <c r="M30" s="526">
        <f>+COUNTA('F) Remuneraciones'!$C$29:$C$44)</f>
        <v>14</v>
      </c>
    </row>
    <row r="31" spans="1:14" x14ac:dyDescent="0.25">
      <c r="A31" s="525"/>
      <c r="B31" s="527"/>
      <c r="C31" s="527"/>
      <c r="D31" s="527"/>
      <c r="E31" s="527"/>
      <c r="F31" s="527"/>
      <c r="G31" s="527"/>
      <c r="H31" s="527"/>
      <c r="I31" s="527"/>
      <c r="J31" s="527"/>
      <c r="K31" s="527"/>
      <c r="L31" s="527"/>
      <c r="M31" s="527"/>
    </row>
    <row r="32" spans="1:14" ht="30" x14ac:dyDescent="0.25">
      <c r="A32" s="528" t="s">
        <v>256</v>
      </c>
      <c r="B32" s="524" t="s">
        <v>230</v>
      </c>
      <c r="C32" s="524" t="s">
        <v>231</v>
      </c>
      <c r="D32" s="524" t="s">
        <v>232</v>
      </c>
      <c r="E32" s="524" t="s">
        <v>233</v>
      </c>
      <c r="F32" s="524" t="s">
        <v>234</v>
      </c>
      <c r="G32" s="524" t="s">
        <v>235</v>
      </c>
      <c r="H32" s="524" t="s">
        <v>236</v>
      </c>
      <c r="I32" s="524" t="s">
        <v>237</v>
      </c>
      <c r="J32" s="524" t="s">
        <v>238</v>
      </c>
      <c r="K32" s="524" t="s">
        <v>239</v>
      </c>
      <c r="L32" s="524" t="s">
        <v>240</v>
      </c>
      <c r="M32" s="524" t="s">
        <v>241</v>
      </c>
      <c r="N32" s="524" t="s">
        <v>250</v>
      </c>
    </row>
    <row r="33" spans="1:16" x14ac:dyDescent="0.25">
      <c r="A33" s="529" t="s">
        <v>242</v>
      </c>
      <c r="B33" s="530">
        <f>+('A) Resumen Ingresos y Egresos'!$N$38+'A) Resumen Ingresos y Egresos'!$O$38+'A) Resumen Ingresos y Egresos'!$N$44+'A) Resumen Ingresos y Egresos'!$O$44)/12</f>
        <v>15633000</v>
      </c>
      <c r="C33" s="530">
        <f>+('A) Resumen Ingresos y Egresos'!$N$38+'A) Resumen Ingresos y Egresos'!$O$38+'A) Resumen Ingresos y Egresos'!$N$44+'A) Resumen Ingresos y Egresos'!$O$44)/12</f>
        <v>15633000</v>
      </c>
      <c r="D33" s="530">
        <f>+('A) Resumen Ingresos y Egresos'!$N$38+'A) Resumen Ingresos y Egresos'!$O$38+'A) Resumen Ingresos y Egresos'!$N$44+'A) Resumen Ingresos y Egresos'!$O$44)/12</f>
        <v>15633000</v>
      </c>
      <c r="E33" s="530">
        <f>+('A) Resumen Ingresos y Egresos'!$N$38+'A) Resumen Ingresos y Egresos'!$O$38+'A) Resumen Ingresos y Egresos'!$N$44+'A) Resumen Ingresos y Egresos'!$O$44)/12</f>
        <v>15633000</v>
      </c>
      <c r="F33" s="530">
        <f>+('A) Resumen Ingresos y Egresos'!$N$38+'A) Resumen Ingresos y Egresos'!$O$38+'A) Resumen Ingresos y Egresos'!$N$44+'A) Resumen Ingresos y Egresos'!$O$44)/12</f>
        <v>15633000</v>
      </c>
      <c r="G33" s="530">
        <f>+('A) Resumen Ingresos y Egresos'!$N$38+'A) Resumen Ingresos y Egresos'!$O$38+'A) Resumen Ingresos y Egresos'!$N$44+'A) Resumen Ingresos y Egresos'!$O$44)/12</f>
        <v>15633000</v>
      </c>
      <c r="H33" s="530">
        <f>+('A) Resumen Ingresos y Egresos'!$N$38+'A) Resumen Ingresos y Egresos'!$O$38+'A) Resumen Ingresos y Egresos'!$N$44+'A) Resumen Ingresos y Egresos'!$O$44)/12</f>
        <v>15633000</v>
      </c>
      <c r="I33" s="530">
        <f>+('A) Resumen Ingresos y Egresos'!$N$38+'A) Resumen Ingresos y Egresos'!$O$38+'A) Resumen Ingresos y Egresos'!$N$44+'A) Resumen Ingresos y Egresos'!$O$44)/12</f>
        <v>15633000</v>
      </c>
      <c r="J33" s="530">
        <f>+('A) Resumen Ingresos y Egresos'!$N$38+'A) Resumen Ingresos y Egresos'!$O$38+'A) Resumen Ingresos y Egresos'!$N$44+'A) Resumen Ingresos y Egresos'!$O$44)/12</f>
        <v>15633000</v>
      </c>
      <c r="K33" s="530">
        <f>+('A) Resumen Ingresos y Egresos'!$N$38+'A) Resumen Ingresos y Egresos'!$O$38+'A) Resumen Ingresos y Egresos'!$N$44+'A) Resumen Ingresos y Egresos'!$O$44)/12</f>
        <v>15633000</v>
      </c>
      <c r="L33" s="530">
        <f>+('A) Resumen Ingresos y Egresos'!$N$38+'A) Resumen Ingresos y Egresos'!$O$38+'A) Resumen Ingresos y Egresos'!$N$44+'A) Resumen Ingresos y Egresos'!$O$44)/12</f>
        <v>15633000</v>
      </c>
      <c r="M33" s="530">
        <f>+('A) Resumen Ingresos y Egresos'!$N$38+'A) Resumen Ingresos y Egresos'!$O$38+'A) Resumen Ingresos y Egresos'!$N$44+'A) Resumen Ingresos y Egresos'!$O$44)/12</f>
        <v>15633000</v>
      </c>
      <c r="N33" s="531">
        <f>SUM(B33:M33)</f>
        <v>187596000</v>
      </c>
    </row>
    <row r="34" spans="1:16" x14ac:dyDescent="0.25">
      <c r="A34" s="529" t="s">
        <v>243</v>
      </c>
      <c r="B34" s="530">
        <f>SUM('F) Remuneraciones'!$H$29:$H$44)/12</f>
        <v>8959278.4499999993</v>
      </c>
      <c r="C34" s="530">
        <f>SUM('F) Remuneraciones'!$H$29:$H$44)/12</f>
        <v>8959278.4499999993</v>
      </c>
      <c r="D34" s="530">
        <f>SUM('F) Remuneraciones'!$H$29:$H$44)/12</f>
        <v>8959278.4499999993</v>
      </c>
      <c r="E34" s="530">
        <f>SUM('F) Remuneraciones'!$H$29:$H$44)/12</f>
        <v>8959278.4499999993</v>
      </c>
      <c r="F34" s="530">
        <f>SUM('F) Remuneraciones'!$H$29:$H$44)/12</f>
        <v>8959278.4499999993</v>
      </c>
      <c r="G34" s="530">
        <f>SUM('F) Remuneraciones'!$H$29:$H$44)/12</f>
        <v>8959278.4499999993</v>
      </c>
      <c r="H34" s="530">
        <f>SUM('F) Remuneraciones'!$H$29:$H$44)/12</f>
        <v>8959278.4499999993</v>
      </c>
      <c r="I34" s="530">
        <f>SUM('F) Remuneraciones'!$H$29:$H$44)/12</f>
        <v>8959278.4499999993</v>
      </c>
      <c r="J34" s="530">
        <f>SUM('F) Remuneraciones'!$H$29:$H$44)/12</f>
        <v>8959278.4499999993</v>
      </c>
      <c r="K34" s="530">
        <f>SUM('F) Remuneraciones'!$H$29:$H$44)/12</f>
        <v>8959278.4499999993</v>
      </c>
      <c r="L34" s="530">
        <f>SUM('F) Remuneraciones'!$H$29:$H$44)/12</f>
        <v>8959278.4499999993</v>
      </c>
      <c r="M34" s="530">
        <f>SUM('F) Remuneraciones'!$H$29:$H$44)/12</f>
        <v>8959278.4499999993</v>
      </c>
      <c r="N34" s="531">
        <f t="shared" ref="N34:N36" si="4">SUM(B34:M34)</f>
        <v>107511341.40000002</v>
      </c>
    </row>
    <row r="35" spans="1:16" x14ac:dyDescent="0.25">
      <c r="A35" s="529" t="s">
        <v>245</v>
      </c>
      <c r="B35" s="530">
        <f>SUM('F) Remuneraciones'!I29:I44)*0.5</f>
        <v>1636476</v>
      </c>
      <c r="C35" s="530">
        <v>0</v>
      </c>
      <c r="D35" s="530">
        <v>0</v>
      </c>
      <c r="E35" s="530">
        <v>0</v>
      </c>
      <c r="F35" s="530">
        <v>0</v>
      </c>
      <c r="G35" s="530">
        <v>0</v>
      </c>
      <c r="H35" s="530">
        <v>0</v>
      </c>
      <c r="I35" s="530">
        <v>0</v>
      </c>
      <c r="J35" s="530">
        <f>SUM('F) Remuneraciones'!J29:J44)*0.5</f>
        <v>813961</v>
      </c>
      <c r="K35" s="530">
        <v>0</v>
      </c>
      <c r="L35" s="530">
        <v>0</v>
      </c>
      <c r="M35" s="530">
        <f>+B35+J35</f>
        <v>2450437</v>
      </c>
      <c r="N35" s="531">
        <f t="shared" si="4"/>
        <v>4900874</v>
      </c>
    </row>
    <row r="36" spans="1:16" x14ac:dyDescent="0.25">
      <c r="A36" s="529" t="s">
        <v>244</v>
      </c>
      <c r="B36" s="530">
        <f>+('C) Costos Directos'!$H$205-'C) Costos Directos'!$D$144)/12</f>
        <v>2658457.7195279785</v>
      </c>
      <c r="C36" s="530">
        <f>+('C) Costos Directos'!$H$205-'C) Costos Directos'!$D$144)/12</f>
        <v>2658457.7195279785</v>
      </c>
      <c r="D36" s="530">
        <f>+('C) Costos Directos'!$H$205-'C) Costos Directos'!$D$144)/12</f>
        <v>2658457.7195279785</v>
      </c>
      <c r="E36" s="530">
        <f>+('C) Costos Directos'!$H$205-'C) Costos Directos'!$D$144)/12</f>
        <v>2658457.7195279785</v>
      </c>
      <c r="F36" s="530">
        <f>+('C) Costos Directos'!$H$205-'C) Costos Directos'!$D$144)/12</f>
        <v>2658457.7195279785</v>
      </c>
      <c r="G36" s="530">
        <f>+('C) Costos Directos'!$H$205-'C) Costos Directos'!$D$144)/12</f>
        <v>2658457.7195279785</v>
      </c>
      <c r="H36" s="530">
        <f>+('C) Costos Directos'!$H$205-'C) Costos Directos'!$D$144)/12</f>
        <v>2658457.7195279785</v>
      </c>
      <c r="I36" s="530">
        <f>+('C) Costos Directos'!$H$205-'C) Costos Directos'!$D$144)/12</f>
        <v>2658457.7195279785</v>
      </c>
      <c r="J36" s="530">
        <f>+('C) Costos Directos'!$H$205-'C) Costos Directos'!$D$144)/12</f>
        <v>2658457.7195279785</v>
      </c>
      <c r="K36" s="530">
        <f>+('C) Costos Directos'!$H$205-'C) Costos Directos'!$D$144)/12</f>
        <v>2658457.7195279785</v>
      </c>
      <c r="L36" s="530">
        <f>+('C) Costos Directos'!$H$205-'C) Costos Directos'!$D$144)/12</f>
        <v>2658457.7195279785</v>
      </c>
      <c r="M36" s="530">
        <f>+('C) Costos Directos'!$H$205-'C) Costos Directos'!$D$144)/12</f>
        <v>2658457.7195279785</v>
      </c>
      <c r="N36" s="531">
        <f t="shared" si="4"/>
        <v>31901492.634335741</v>
      </c>
    </row>
    <row r="37" spans="1:16" x14ac:dyDescent="0.25">
      <c r="A37" s="532" t="s">
        <v>251</v>
      </c>
      <c r="B37" s="533">
        <f t="shared" ref="B37:M37" si="5">+B33-B34-B35-B36</f>
        <v>2378787.8304720223</v>
      </c>
      <c r="C37" s="533">
        <f t="shared" si="5"/>
        <v>4015263.8304720223</v>
      </c>
      <c r="D37" s="533">
        <f t="shared" si="5"/>
        <v>4015263.8304720223</v>
      </c>
      <c r="E37" s="533">
        <f t="shared" si="5"/>
        <v>4015263.8304720223</v>
      </c>
      <c r="F37" s="533">
        <f t="shared" si="5"/>
        <v>4015263.8304720223</v>
      </c>
      <c r="G37" s="533">
        <f t="shared" si="5"/>
        <v>4015263.8304720223</v>
      </c>
      <c r="H37" s="533">
        <f t="shared" si="5"/>
        <v>4015263.8304720223</v>
      </c>
      <c r="I37" s="533">
        <f t="shared" si="5"/>
        <v>4015263.8304720223</v>
      </c>
      <c r="J37" s="533">
        <f t="shared" si="5"/>
        <v>3201302.8304720223</v>
      </c>
      <c r="K37" s="533">
        <f t="shared" si="5"/>
        <v>4015263.8304720223</v>
      </c>
      <c r="L37" s="533">
        <f t="shared" si="5"/>
        <v>4015263.8304720223</v>
      </c>
      <c r="M37" s="533">
        <f t="shared" si="5"/>
        <v>1564826.8304720223</v>
      </c>
      <c r="N37" s="533">
        <f>+N33-N34-N35-N36</f>
        <v>43282291.965664238</v>
      </c>
    </row>
    <row r="40" spans="1:16" x14ac:dyDescent="0.25">
      <c r="A40" s="523" t="s">
        <v>255</v>
      </c>
      <c r="B40" s="524" t="s">
        <v>230</v>
      </c>
      <c r="C40" s="524" t="s">
        <v>231</v>
      </c>
      <c r="D40" s="524" t="s">
        <v>232</v>
      </c>
      <c r="E40" s="524" t="s">
        <v>233</v>
      </c>
      <c r="F40" s="524" t="s">
        <v>234</v>
      </c>
      <c r="G40" s="524" t="s">
        <v>235</v>
      </c>
      <c r="H40" s="524" t="s">
        <v>236</v>
      </c>
      <c r="I40" s="524" t="s">
        <v>237</v>
      </c>
      <c r="J40" s="524" t="s">
        <v>238</v>
      </c>
      <c r="K40" s="524" t="s">
        <v>239</v>
      </c>
      <c r="L40" s="524" t="s">
        <v>240</v>
      </c>
      <c r="M40" s="524" t="s">
        <v>241</v>
      </c>
    </row>
    <row r="41" spans="1:16" x14ac:dyDescent="0.25">
      <c r="A41" s="525" t="s">
        <v>248</v>
      </c>
      <c r="B41" s="526">
        <f>+'B) Reajuste Tarifas y Ocupación'!$H$35</f>
        <v>28</v>
      </c>
      <c r="C41" s="526">
        <f>+'B) Reajuste Tarifas y Ocupación'!$H$35</f>
        <v>28</v>
      </c>
      <c r="D41" s="526">
        <f>+'B) Reajuste Tarifas y Ocupación'!$H$35</f>
        <v>28</v>
      </c>
      <c r="E41" s="526">
        <f>+'B) Reajuste Tarifas y Ocupación'!$H$35</f>
        <v>28</v>
      </c>
      <c r="F41" s="526">
        <f>+'B) Reajuste Tarifas y Ocupación'!$H$35</f>
        <v>28</v>
      </c>
      <c r="G41" s="526">
        <f>+'B) Reajuste Tarifas y Ocupación'!$H$35</f>
        <v>28</v>
      </c>
      <c r="H41" s="526">
        <f>+'B) Reajuste Tarifas y Ocupación'!$H$35</f>
        <v>28</v>
      </c>
      <c r="I41" s="526">
        <f>+'B) Reajuste Tarifas y Ocupación'!$H$35</f>
        <v>28</v>
      </c>
      <c r="J41" s="526">
        <f>+'B) Reajuste Tarifas y Ocupación'!$H$35</f>
        <v>28</v>
      </c>
      <c r="K41" s="526">
        <f>+'B) Reajuste Tarifas y Ocupación'!$H$35</f>
        <v>28</v>
      </c>
      <c r="L41" s="526">
        <f>+'B) Reajuste Tarifas y Ocupación'!$H$35</f>
        <v>28</v>
      </c>
      <c r="M41" s="526">
        <f>+'B) Reajuste Tarifas y Ocupación'!$H$35</f>
        <v>28</v>
      </c>
    </row>
    <row r="42" spans="1:16" x14ac:dyDescent="0.25">
      <c r="A42" s="525" t="s">
        <v>249</v>
      </c>
      <c r="B42" s="526">
        <f>+COUNTA('F) Remuneraciones'!$C$45:$C$59)</f>
        <v>7</v>
      </c>
      <c r="C42" s="526">
        <f>+COUNTA('F) Remuneraciones'!$C$45:$C$59)</f>
        <v>7</v>
      </c>
      <c r="D42" s="526">
        <f>+COUNTA('F) Remuneraciones'!$C$45:$C$59)</f>
        <v>7</v>
      </c>
      <c r="E42" s="526">
        <f>+COUNTA('F) Remuneraciones'!$C$45:$C$59)</f>
        <v>7</v>
      </c>
      <c r="F42" s="526">
        <f>+COUNTA('F) Remuneraciones'!$C$45:$C$59)</f>
        <v>7</v>
      </c>
      <c r="G42" s="526">
        <f>+COUNTA('F) Remuneraciones'!$C$45:$C$59)</f>
        <v>7</v>
      </c>
      <c r="H42" s="526">
        <f>+COUNTA('F) Remuneraciones'!$C$45:$C$59)</f>
        <v>7</v>
      </c>
      <c r="I42" s="526">
        <f>+COUNTA('F) Remuneraciones'!$C$45:$C$59)</f>
        <v>7</v>
      </c>
      <c r="J42" s="526">
        <f>+COUNTA('F) Remuneraciones'!$C$45:$C$59)</f>
        <v>7</v>
      </c>
      <c r="K42" s="526">
        <f>+COUNTA('F) Remuneraciones'!$C$45:$C$59)</f>
        <v>7</v>
      </c>
      <c r="L42" s="526">
        <f>+COUNTA('F) Remuneraciones'!$C$45:$C$59)</f>
        <v>7</v>
      </c>
      <c r="M42" s="526">
        <f>+COUNTA('F) Remuneraciones'!$C$45:$C$59)</f>
        <v>7</v>
      </c>
    </row>
    <row r="43" spans="1:16" x14ac:dyDescent="0.25">
      <c r="A43" s="525"/>
      <c r="B43" s="527"/>
      <c r="C43" s="527"/>
      <c r="D43" s="527"/>
      <c r="E43" s="527"/>
      <c r="F43" s="527"/>
      <c r="G43" s="527"/>
      <c r="H43" s="527"/>
      <c r="I43" s="527"/>
      <c r="J43" s="527"/>
      <c r="K43" s="527"/>
      <c r="L43" s="527"/>
      <c r="M43" s="527"/>
      <c r="P43" s="530"/>
    </row>
    <row r="44" spans="1:16" ht="30" x14ac:dyDescent="0.25">
      <c r="A44" s="528" t="s">
        <v>257</v>
      </c>
      <c r="B44" s="524" t="s">
        <v>230</v>
      </c>
      <c r="C44" s="524" t="s">
        <v>231</v>
      </c>
      <c r="D44" s="524" t="s">
        <v>232</v>
      </c>
      <c r="E44" s="524" t="s">
        <v>233</v>
      </c>
      <c r="F44" s="524" t="s">
        <v>234</v>
      </c>
      <c r="G44" s="524" t="s">
        <v>235</v>
      </c>
      <c r="H44" s="524" t="s">
        <v>236</v>
      </c>
      <c r="I44" s="524" t="s">
        <v>237</v>
      </c>
      <c r="J44" s="524" t="s">
        <v>238</v>
      </c>
      <c r="K44" s="524" t="s">
        <v>239</v>
      </c>
      <c r="L44" s="524" t="s">
        <v>240</v>
      </c>
      <c r="M44" s="524" t="s">
        <v>241</v>
      </c>
      <c r="N44" s="524" t="s">
        <v>250</v>
      </c>
    </row>
    <row r="45" spans="1:16" x14ac:dyDescent="0.25">
      <c r="A45" s="529" t="s">
        <v>242</v>
      </c>
      <c r="B45" s="530">
        <f>+'A) Resumen Ingresos y Egresos'!$O$41/12</f>
        <v>7845600</v>
      </c>
      <c r="C45" s="530">
        <f>+'A) Resumen Ingresos y Egresos'!$O$41/12</f>
        <v>7845600</v>
      </c>
      <c r="D45" s="530">
        <f>+'A) Resumen Ingresos y Egresos'!$O$41/12</f>
        <v>7845600</v>
      </c>
      <c r="E45" s="530">
        <f>+'A) Resumen Ingresos y Egresos'!$O$41/12</f>
        <v>7845600</v>
      </c>
      <c r="F45" s="530">
        <f>+'A) Resumen Ingresos y Egresos'!$O$41/12</f>
        <v>7845600</v>
      </c>
      <c r="G45" s="530">
        <f>+'A) Resumen Ingresos y Egresos'!$O$41/12</f>
        <v>7845600</v>
      </c>
      <c r="H45" s="530">
        <f>+'A) Resumen Ingresos y Egresos'!$O$41/12</f>
        <v>7845600</v>
      </c>
      <c r="I45" s="530">
        <f>+'A) Resumen Ingresos y Egresos'!$O$41/12</f>
        <v>7845600</v>
      </c>
      <c r="J45" s="530">
        <f>+'A) Resumen Ingresos y Egresos'!$O$41/12</f>
        <v>7845600</v>
      </c>
      <c r="K45" s="530">
        <f>+'A) Resumen Ingresos y Egresos'!$O$41/12</f>
        <v>7845600</v>
      </c>
      <c r="L45" s="530">
        <f>+'A) Resumen Ingresos y Egresos'!$O$41/12</f>
        <v>7845600</v>
      </c>
      <c r="M45" s="530">
        <f>+'A) Resumen Ingresos y Egresos'!$O$41/12</f>
        <v>7845600</v>
      </c>
      <c r="N45" s="531">
        <f>SUM(B45:M45)</f>
        <v>94147200</v>
      </c>
    </row>
    <row r="46" spans="1:16" x14ac:dyDescent="0.25">
      <c r="A46" s="529" t="s">
        <v>243</v>
      </c>
      <c r="B46" s="530">
        <f>SUM('F) Remuneraciones'!$H$45:$H$59)/12</f>
        <v>4875858.4699999988</v>
      </c>
      <c r="C46" s="530">
        <f>SUM('F) Remuneraciones'!$H$45:$H$59)/12</f>
        <v>4875858.4699999988</v>
      </c>
      <c r="D46" s="530">
        <f>SUM('F) Remuneraciones'!$H$45:$H$59)/12</f>
        <v>4875858.4699999988</v>
      </c>
      <c r="E46" s="530">
        <f>SUM('F) Remuneraciones'!$H$45:$H$59)/12</f>
        <v>4875858.4699999988</v>
      </c>
      <c r="F46" s="530">
        <f>SUM('F) Remuneraciones'!$H$45:$H$59)/12</f>
        <v>4875858.4699999988</v>
      </c>
      <c r="G46" s="530">
        <f>SUM('F) Remuneraciones'!$H$45:$H$59)/12</f>
        <v>4875858.4699999988</v>
      </c>
      <c r="H46" s="530">
        <f>SUM('F) Remuneraciones'!$H$45:$H$59)/12</f>
        <v>4875858.4699999988</v>
      </c>
      <c r="I46" s="530">
        <f>SUM('F) Remuneraciones'!$H$45:$H$59)/12</f>
        <v>4875858.4699999988</v>
      </c>
      <c r="J46" s="530">
        <f>SUM('F) Remuneraciones'!$H$45:$H$59)/12</f>
        <v>4875858.4699999988</v>
      </c>
      <c r="K46" s="530">
        <f>SUM('F) Remuneraciones'!$H$45:$H$59)/12</f>
        <v>4875858.4699999988</v>
      </c>
      <c r="L46" s="530">
        <f>SUM('F) Remuneraciones'!$H$45:$H$59)/12</f>
        <v>4875858.4699999988</v>
      </c>
      <c r="M46" s="530">
        <f>SUM('F) Remuneraciones'!$H$45:$H$59)/12</f>
        <v>4875858.4699999988</v>
      </c>
      <c r="N46" s="531">
        <f t="shared" ref="N46:N48" si="6">SUM(B46:M46)</f>
        <v>58510301.639999986</v>
      </c>
    </row>
    <row r="47" spans="1:16" x14ac:dyDescent="0.25">
      <c r="A47" s="529" t="s">
        <v>245</v>
      </c>
      <c r="B47" s="530">
        <f>SUM('F) Remuneraciones'!I45:I59)*0.5</f>
        <v>954611</v>
      </c>
      <c r="C47" s="530">
        <v>0</v>
      </c>
      <c r="D47" s="530">
        <v>0</v>
      </c>
      <c r="E47" s="530">
        <v>0</v>
      </c>
      <c r="F47" s="530">
        <v>0</v>
      </c>
      <c r="G47" s="530">
        <v>0</v>
      </c>
      <c r="H47" s="530">
        <v>0</v>
      </c>
      <c r="I47" s="530">
        <v>0</v>
      </c>
      <c r="J47" s="530">
        <f>SUM('F) Remuneraciones'!J45:J59)*0.5</f>
        <v>514821</v>
      </c>
      <c r="K47" s="530">
        <v>0</v>
      </c>
      <c r="L47" s="530">
        <v>0</v>
      </c>
      <c r="M47" s="530">
        <f>+B47+J47</f>
        <v>1469432</v>
      </c>
      <c r="N47" s="531">
        <f t="shared" si="6"/>
        <v>2938864</v>
      </c>
    </row>
    <row r="48" spans="1:16" x14ac:dyDescent="0.25">
      <c r="A48" s="529" t="s">
        <v>244</v>
      </c>
      <c r="B48" s="530">
        <f>+('C) Costos Directos'!$H$271-'C) Costos Directos'!$D$210)/12</f>
        <v>837959.78795377037</v>
      </c>
      <c r="C48" s="530">
        <f>+('C) Costos Directos'!$H$271-'C) Costos Directos'!$D$210)/12</f>
        <v>837959.78795377037</v>
      </c>
      <c r="D48" s="530">
        <f>+('C) Costos Directos'!$H$271-'C) Costos Directos'!$D$210)/12</f>
        <v>837959.78795377037</v>
      </c>
      <c r="E48" s="530">
        <f>+('C) Costos Directos'!$H$271-'C) Costos Directos'!$D$210)/12</f>
        <v>837959.78795377037</v>
      </c>
      <c r="F48" s="530">
        <f>+('C) Costos Directos'!$H$271-'C) Costos Directos'!$D$210)/12</f>
        <v>837959.78795377037</v>
      </c>
      <c r="G48" s="530">
        <f>+('C) Costos Directos'!$H$271-'C) Costos Directos'!$D$210)/12</f>
        <v>837959.78795377037</v>
      </c>
      <c r="H48" s="530">
        <f>+('C) Costos Directos'!$H$271-'C) Costos Directos'!$D$210)/12</f>
        <v>837959.78795377037</v>
      </c>
      <c r="I48" s="530">
        <f>+('C) Costos Directos'!$H$271-'C) Costos Directos'!$D$210)/12</f>
        <v>837959.78795377037</v>
      </c>
      <c r="J48" s="530">
        <f>+('C) Costos Directos'!$H$271-'C) Costos Directos'!$D$210)/12</f>
        <v>837959.78795377037</v>
      </c>
      <c r="K48" s="530">
        <f>+('C) Costos Directos'!$H$271-'C) Costos Directos'!$D$210)/12</f>
        <v>837959.78795377037</v>
      </c>
      <c r="L48" s="530">
        <f>+('C) Costos Directos'!$H$271-'C) Costos Directos'!$D$210)/12</f>
        <v>837959.78795377037</v>
      </c>
      <c r="M48" s="530">
        <f>+('C) Costos Directos'!$H$271-'C) Costos Directos'!$D$210)/12</f>
        <v>837959.78795377037</v>
      </c>
      <c r="N48" s="531">
        <f t="shared" si="6"/>
        <v>10055517.455445245</v>
      </c>
    </row>
    <row r="49" spans="1:14" x14ac:dyDescent="0.25">
      <c r="A49" s="532" t="s">
        <v>251</v>
      </c>
      <c r="B49" s="533">
        <f t="shared" ref="B49:M49" si="7">+B45-B46-B47-B48</f>
        <v>1177170.7420462309</v>
      </c>
      <c r="C49" s="533">
        <f t="shared" si="7"/>
        <v>2131781.7420462309</v>
      </c>
      <c r="D49" s="533">
        <f t="shared" si="7"/>
        <v>2131781.7420462309</v>
      </c>
      <c r="E49" s="533">
        <f t="shared" si="7"/>
        <v>2131781.7420462309</v>
      </c>
      <c r="F49" s="533">
        <f t="shared" si="7"/>
        <v>2131781.7420462309</v>
      </c>
      <c r="G49" s="533">
        <f t="shared" si="7"/>
        <v>2131781.7420462309</v>
      </c>
      <c r="H49" s="533">
        <f t="shared" si="7"/>
        <v>2131781.7420462309</v>
      </c>
      <c r="I49" s="533">
        <f t="shared" si="7"/>
        <v>2131781.7420462309</v>
      </c>
      <c r="J49" s="533">
        <f t="shared" si="7"/>
        <v>1616960.7420462309</v>
      </c>
      <c r="K49" s="533">
        <f t="shared" si="7"/>
        <v>2131781.7420462309</v>
      </c>
      <c r="L49" s="533">
        <f t="shared" si="7"/>
        <v>2131781.7420462309</v>
      </c>
      <c r="M49" s="533">
        <f t="shared" si="7"/>
        <v>662349.74204623082</v>
      </c>
      <c r="N49" s="533">
        <f>+N45-N46-N47-N48</f>
        <v>22642516.904554769</v>
      </c>
    </row>
    <row r="53" spans="1:14" x14ac:dyDescent="0.25">
      <c r="N53" s="530"/>
    </row>
  </sheetData>
  <sheetProtection algorithmName="SHA-512" hashValue="XDxBVLP5Att2v4he/JyPEJ4qFn+Yod7ndqFhCkxF3Hxi3IXu/hizEOO90bvHtr4Nigw4nibGqYtUASrpc375zw==" saltValue="mIzr/FrrdzwiRJ3ekeaOlg==" spinCount="100000" sheet="1" objects="1" scenarios="1"/>
  <mergeCells count="1">
    <mergeCell ref="A2:D2"/>
  </mergeCells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CC00FF"/>
  </sheetPr>
  <dimension ref="B1:S56"/>
  <sheetViews>
    <sheetView showGridLines="0" topLeftCell="A8" zoomScale="80" zoomScaleNormal="80" workbookViewId="0">
      <selection activeCell="B56" sqref="B56:D56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44"/>
    </row>
    <row r="2" spans="2:11" x14ac:dyDescent="0.2">
      <c r="H2" s="44" t="s">
        <v>84</v>
      </c>
    </row>
    <row r="5" spans="2:11" x14ac:dyDescent="0.2">
      <c r="B5" s="900" t="s">
        <v>160</v>
      </c>
      <c r="C5" s="900"/>
      <c r="D5" s="900"/>
      <c r="E5" s="900"/>
      <c r="F5" s="900"/>
    </row>
    <row r="7" spans="2:11" x14ac:dyDescent="0.2">
      <c r="C7" s="229" t="s">
        <v>145</v>
      </c>
      <c r="D7" s="229"/>
      <c r="E7" s="229"/>
      <c r="F7" s="229"/>
      <c r="G7" s="229"/>
      <c r="H7" s="229"/>
      <c r="I7" s="229"/>
      <c r="J7" s="229"/>
      <c r="K7" s="229"/>
    </row>
    <row r="9" spans="2:11" x14ac:dyDescent="0.2">
      <c r="C9" s="229" t="s">
        <v>146</v>
      </c>
      <c r="D9" s="229"/>
      <c r="E9" s="229"/>
      <c r="F9" s="229"/>
      <c r="G9" s="229"/>
      <c r="H9" s="229"/>
      <c r="I9" s="228"/>
      <c r="J9" s="228"/>
      <c r="K9" s="228"/>
    </row>
    <row r="11" spans="2:11" x14ac:dyDescent="0.2">
      <c r="B11" s="898" t="s">
        <v>161</v>
      </c>
      <c r="C11" s="898"/>
      <c r="D11" s="898"/>
      <c r="E11" s="898"/>
      <c r="F11" s="898"/>
    </row>
    <row r="13" spans="2:11" x14ac:dyDescent="0.2">
      <c r="C13" s="230" t="s">
        <v>147</v>
      </c>
      <c r="D13" s="230"/>
      <c r="E13" s="230"/>
      <c r="F13" s="230"/>
      <c r="G13" s="230"/>
      <c r="H13" s="230"/>
    </row>
    <row r="15" spans="2:11" x14ac:dyDescent="0.2">
      <c r="C15" s="230" t="s">
        <v>148</v>
      </c>
      <c r="D15" s="230"/>
      <c r="E15" s="230"/>
      <c r="F15" s="230"/>
      <c r="G15" s="230"/>
      <c r="H15" s="230"/>
      <c r="I15" s="228"/>
      <c r="J15" s="228"/>
      <c r="K15" s="228"/>
    </row>
    <row r="19" spans="2:16" x14ac:dyDescent="0.2">
      <c r="B19" s="898" t="s">
        <v>162</v>
      </c>
      <c r="C19" s="898"/>
      <c r="D19" s="898"/>
      <c r="E19" s="898"/>
      <c r="F19" s="898"/>
    </row>
    <row r="21" spans="2:16" x14ac:dyDescent="0.2">
      <c r="C21" s="230" t="s">
        <v>150</v>
      </c>
      <c r="D21" s="230"/>
      <c r="E21" s="230"/>
      <c r="F21" s="231"/>
      <c r="G21" s="231"/>
      <c r="H21" s="231"/>
    </row>
    <row r="22" spans="2:16" x14ac:dyDescent="0.2">
      <c r="C22" s="899"/>
      <c r="D22" s="899"/>
      <c r="E22" s="899"/>
      <c r="F22" s="899"/>
      <c r="G22" s="899"/>
      <c r="H22" s="899"/>
      <c r="I22" s="899"/>
      <c r="J22" s="899"/>
      <c r="K22" s="899"/>
    </row>
    <row r="24" spans="2:16" x14ac:dyDescent="0.2">
      <c r="B24" s="898" t="s">
        <v>163</v>
      </c>
      <c r="C24" s="898"/>
      <c r="D24" s="898"/>
      <c r="E24" s="898"/>
      <c r="F24" s="898"/>
    </row>
    <row r="26" spans="2:16" x14ac:dyDescent="0.2">
      <c r="C26" s="232" t="s">
        <v>151</v>
      </c>
      <c r="D26" s="232"/>
      <c r="E26" s="232"/>
      <c r="F26" s="232"/>
      <c r="G26" s="232"/>
      <c r="H26" s="232"/>
      <c r="I26" s="232"/>
      <c r="J26" s="232"/>
    </row>
    <row r="27" spans="2:16" ht="12.75" customHeight="1" x14ac:dyDescent="0.2">
      <c r="C27" s="901" t="s">
        <v>152</v>
      </c>
      <c r="D27" s="901"/>
      <c r="E27" s="901"/>
      <c r="F27" s="901"/>
      <c r="G27" s="901"/>
      <c r="H27" s="901"/>
      <c r="I27" s="901"/>
      <c r="J27" s="901"/>
      <c r="K27" s="901"/>
      <c r="L27" s="901"/>
      <c r="M27" s="901"/>
    </row>
    <row r="28" spans="2:16" ht="12.75" customHeight="1" x14ac:dyDescent="0.2">
      <c r="C28" s="901"/>
      <c r="D28" s="901"/>
      <c r="E28" s="901"/>
      <c r="F28" s="901"/>
      <c r="G28" s="901"/>
      <c r="H28" s="901"/>
      <c r="I28" s="901"/>
      <c r="J28" s="901"/>
      <c r="K28" s="901"/>
      <c r="L28" s="901"/>
      <c r="M28" s="901"/>
    </row>
    <row r="29" spans="2:16" ht="12.75" customHeight="1" x14ac:dyDescent="0.2">
      <c r="C29" s="232" t="s">
        <v>153</v>
      </c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1"/>
    </row>
    <row r="30" spans="2:16" ht="12.75" customHeight="1" x14ac:dyDescent="0.2"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1"/>
    </row>
    <row r="31" spans="2:16" ht="12.75" customHeight="1" x14ac:dyDescent="0.2">
      <c r="C31" s="236" t="s">
        <v>154</v>
      </c>
      <c r="D31" s="233"/>
      <c r="E31" s="233"/>
      <c r="F31" s="235"/>
      <c r="G31" s="233"/>
      <c r="H31" s="233"/>
      <c r="I31" s="233"/>
      <c r="J31" s="233"/>
      <c r="K31" s="233"/>
      <c r="L31" s="233"/>
      <c r="M31" s="233"/>
      <c r="N31" s="231"/>
      <c r="O31" s="231"/>
      <c r="P31" s="231"/>
    </row>
    <row r="32" spans="2:16" ht="12.75" customHeight="1" x14ac:dyDescent="0.2">
      <c r="C32" s="234"/>
      <c r="D32" s="234"/>
      <c r="E32" s="234"/>
      <c r="F32" s="234"/>
      <c r="G32" s="234"/>
      <c r="H32" s="234"/>
      <c r="I32" s="233"/>
      <c r="J32" s="233"/>
      <c r="K32" s="233"/>
      <c r="L32" s="233"/>
      <c r="M32" s="233"/>
      <c r="N32" s="231"/>
    </row>
    <row r="33" spans="2:19" ht="12.75" customHeight="1" x14ac:dyDescent="0.2">
      <c r="C33" s="902" t="s">
        <v>155</v>
      </c>
      <c r="D33" s="902"/>
      <c r="E33" s="902"/>
      <c r="F33" s="902"/>
      <c r="G33" s="902"/>
      <c r="H33" s="902"/>
      <c r="I33" s="902"/>
      <c r="J33" s="902"/>
      <c r="K33" s="902"/>
      <c r="L33" s="902"/>
      <c r="M33" s="902"/>
      <c r="N33" s="231"/>
    </row>
    <row r="34" spans="2:19" ht="12.75" customHeight="1" x14ac:dyDescent="0.2">
      <c r="C34" s="183"/>
      <c r="D34" s="183"/>
      <c r="E34" s="183"/>
      <c r="F34" s="183"/>
      <c r="G34" s="183"/>
      <c r="H34" s="183"/>
      <c r="I34" s="232"/>
      <c r="J34" s="232"/>
      <c r="K34" s="232"/>
      <c r="L34" s="232"/>
      <c r="M34" s="232"/>
      <c r="N34" s="231"/>
    </row>
    <row r="35" spans="2:19" ht="12.75" customHeight="1" x14ac:dyDescent="0.2">
      <c r="C35" s="233" t="s">
        <v>156</v>
      </c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1"/>
    </row>
    <row r="36" spans="2:19" ht="12.75" customHeight="1" x14ac:dyDescent="0.2">
      <c r="C36" s="234"/>
      <c r="D36" s="234"/>
      <c r="E36" s="234"/>
      <c r="F36" s="234"/>
      <c r="G36" s="234"/>
      <c r="H36" s="234"/>
      <c r="I36" s="233"/>
      <c r="J36" s="233"/>
      <c r="K36" s="233"/>
      <c r="L36" s="233"/>
      <c r="M36" s="233"/>
      <c r="N36" s="231"/>
    </row>
    <row r="37" spans="2:19" ht="12.75" customHeight="1" x14ac:dyDescent="0.2"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</row>
    <row r="38" spans="2:19" ht="12.75" customHeight="1" x14ac:dyDescent="0.2"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</row>
    <row r="39" spans="2:19" ht="12.75" customHeight="1" x14ac:dyDescent="0.2">
      <c r="B39" s="236" t="s">
        <v>164</v>
      </c>
      <c r="C39" s="232"/>
      <c r="D39" s="139"/>
      <c r="E39" s="139"/>
      <c r="F39" s="139"/>
      <c r="G39" s="139"/>
      <c r="H39" s="139"/>
      <c r="I39" s="139"/>
      <c r="J39" s="139"/>
      <c r="K39" s="139"/>
      <c r="L39" s="139"/>
      <c r="M39" s="139"/>
    </row>
    <row r="40" spans="2:19" x14ac:dyDescent="0.2">
      <c r="O40" s="899"/>
      <c r="P40" s="899"/>
      <c r="Q40" s="899"/>
      <c r="R40" s="899"/>
      <c r="S40" s="899"/>
    </row>
    <row r="41" spans="2:19" x14ac:dyDescent="0.2">
      <c r="C41" s="903" t="s">
        <v>157</v>
      </c>
      <c r="D41" s="903"/>
      <c r="E41" s="903"/>
      <c r="F41" s="903"/>
    </row>
    <row r="42" spans="2:19" x14ac:dyDescent="0.2">
      <c r="C42" s="899"/>
      <c r="D42" s="899"/>
      <c r="E42" s="899"/>
      <c r="F42" s="899"/>
      <c r="G42" s="899"/>
      <c r="H42" s="899"/>
      <c r="I42" s="899"/>
      <c r="J42" s="899"/>
    </row>
    <row r="44" spans="2:19" x14ac:dyDescent="0.2">
      <c r="B44" s="898" t="s">
        <v>165</v>
      </c>
      <c r="C44" s="898"/>
      <c r="D44" s="898"/>
      <c r="E44" s="898"/>
      <c r="F44" s="898"/>
    </row>
    <row r="46" spans="2:19" x14ac:dyDescent="0.2">
      <c r="C46" s="237" t="s">
        <v>158</v>
      </c>
      <c r="D46" s="237"/>
      <c r="E46" s="237"/>
      <c r="F46" s="237"/>
      <c r="G46" s="237"/>
      <c r="H46" s="237"/>
      <c r="I46" s="237"/>
      <c r="J46" s="237"/>
      <c r="K46" s="238"/>
      <c r="L46" s="238"/>
      <c r="M46" s="238"/>
    </row>
    <row r="50" spans="2:13" x14ac:dyDescent="0.2">
      <c r="B50" s="898" t="s">
        <v>166</v>
      </c>
      <c r="C50" s="898"/>
      <c r="D50" s="898"/>
      <c r="E50" s="898"/>
      <c r="F50" s="898"/>
    </row>
    <row r="52" spans="2:13" x14ac:dyDescent="0.2">
      <c r="C52" s="232" t="s">
        <v>159</v>
      </c>
      <c r="D52" s="232"/>
      <c r="E52" s="232"/>
      <c r="F52" s="232"/>
      <c r="G52" s="231"/>
      <c r="H52" s="231"/>
      <c r="I52" s="231"/>
      <c r="J52" s="231"/>
      <c r="K52" s="231"/>
      <c r="L52" s="231"/>
      <c r="M52" s="231"/>
    </row>
    <row r="54" spans="2:13" x14ac:dyDescent="0.2">
      <c r="B54" s="231" t="s">
        <v>167</v>
      </c>
      <c r="C54" s="231"/>
    </row>
    <row r="56" spans="2:13" x14ac:dyDescent="0.2">
      <c r="B56" s="897" t="s">
        <v>246</v>
      </c>
      <c r="C56" s="897"/>
      <c r="D56" s="897"/>
    </row>
  </sheetData>
  <sheetProtection algorithmName="SHA-512" hashValue="LGlawsSDbv4m4E/JqetPEn68yn3040CnyltpE24b9/hrGbEXKEu38csOHB6xDAVGzflLQeeXlIuJB3TUsSSMZA==" saltValue="yVtXD2drmlZl5ZWYjjEAWw==" spinCount="100000" sheet="1" objects="1" scenarios="1"/>
  <mergeCells count="13">
    <mergeCell ref="B5:F5"/>
    <mergeCell ref="C22:K22"/>
    <mergeCell ref="B50:F50"/>
    <mergeCell ref="C42:J42"/>
    <mergeCell ref="B44:F44"/>
    <mergeCell ref="C27:M28"/>
    <mergeCell ref="C33:M33"/>
    <mergeCell ref="C41:F41"/>
    <mergeCell ref="B56:D56"/>
    <mergeCell ref="B11:F11"/>
    <mergeCell ref="O40:S40"/>
    <mergeCell ref="B19:F19"/>
    <mergeCell ref="B24:F24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  <hyperlink ref="B56:D56" location="'Proyección Mensual.'!A2" display="I) Proyección mensual" xr:uid="{00000000-0004-0000-0100-000018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3" tint="0.39997558519241921"/>
    <pageSetUpPr fitToPage="1"/>
  </sheetPr>
  <dimension ref="A1:IM46"/>
  <sheetViews>
    <sheetView showGridLines="0" zoomScale="80" zoomScaleNormal="80" workbookViewId="0">
      <selection activeCell="F15" sqref="F15"/>
    </sheetView>
  </sheetViews>
  <sheetFormatPr baseColWidth="10" defaultColWidth="11.42578125" defaultRowHeight="12.75" x14ac:dyDescent="0.2"/>
  <cols>
    <col min="1" max="1" width="37.140625" style="4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5703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44" t="s">
        <v>200</v>
      </c>
      <c r="F1" s="44"/>
      <c r="G1" s="7"/>
      <c r="H1" s="7"/>
      <c r="IL1" s="4"/>
      <c r="IM1" s="4"/>
    </row>
    <row r="2" spans="1:247" s="6" customFormat="1" x14ac:dyDescent="0.2">
      <c r="A2" s="8"/>
      <c r="C2" s="7"/>
      <c r="D2" s="7"/>
      <c r="E2" s="44" t="s">
        <v>193</v>
      </c>
      <c r="F2" s="44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5"/>
      <c r="B4" s="26"/>
      <c r="C4" s="914" t="s">
        <v>0</v>
      </c>
      <c r="D4" s="914"/>
      <c r="E4" s="915" t="s">
        <v>141</v>
      </c>
      <c r="F4" s="916"/>
      <c r="G4" s="917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239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924" t="s">
        <v>145</v>
      </c>
      <c r="B6" s="924"/>
      <c r="C6" s="924"/>
      <c r="D6" s="924"/>
      <c r="E6" s="4"/>
      <c r="F6" s="4"/>
      <c r="G6" s="9"/>
      <c r="H6" s="239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x14ac:dyDescent="0.2">
      <c r="B7" s="55"/>
      <c r="C7" s="55"/>
      <c r="E7" s="54"/>
      <c r="F7" s="55"/>
      <c r="G7" s="55"/>
      <c r="H7" s="55"/>
      <c r="I7" s="55"/>
      <c r="M7" s="56"/>
    </row>
    <row r="8" spans="1:247" ht="39" customHeight="1" x14ac:dyDescent="0.2">
      <c r="A8" s="11" t="s">
        <v>114</v>
      </c>
      <c r="B8" s="63" t="str">
        <f>+N20</f>
        <v>Ingreso por Matrícula</v>
      </c>
      <c r="C8" s="64" t="str">
        <f>+O20</f>
        <v>Ingreso por Mensualidad</v>
      </c>
      <c r="D8" s="65" t="s">
        <v>124</v>
      </c>
      <c r="E8" s="66" t="s">
        <v>82</v>
      </c>
      <c r="F8" s="47" t="s">
        <v>79</v>
      </c>
      <c r="G8" s="48" t="s">
        <v>80</v>
      </c>
      <c r="H8" s="49" t="s">
        <v>107</v>
      </c>
      <c r="I8" s="12" t="s">
        <v>113</v>
      </c>
      <c r="L8" s="68" t="s">
        <v>112</v>
      </c>
      <c r="N8" s="103"/>
    </row>
    <row r="9" spans="1:247" x14ac:dyDescent="0.2">
      <c r="A9" s="62" t="str">
        <f>+'B) Reajuste Tarifas y Ocupación'!A12</f>
        <v>Jardín Infantil Tortuguita Marina</v>
      </c>
      <c r="B9" s="69">
        <f>N28</f>
        <v>2436000</v>
      </c>
      <c r="C9" s="77">
        <f>+O28</f>
        <v>24360000</v>
      </c>
      <c r="D9" s="79">
        <f>+P28</f>
        <v>0</v>
      </c>
      <c r="E9" s="71">
        <f>+B9+D9+C9</f>
        <v>26796000</v>
      </c>
      <c r="F9" s="50">
        <f>'C) Costos Directos'!H75</f>
        <v>38604648.349999994</v>
      </c>
      <c r="G9" s="51">
        <f>+'D) Costos Indirectos'!$AP$15*(F9/$F$13)</f>
        <v>4322320.9485457968</v>
      </c>
      <c r="H9" s="53">
        <f>+F9+G9</f>
        <v>42926969.298545793</v>
      </c>
      <c r="I9" s="78">
        <f>E9-H9</f>
        <v>-16130969.298545793</v>
      </c>
      <c r="L9" s="93">
        <f>+IFERROR(G9/$G$13,0)</f>
        <v>0.1290404842005195</v>
      </c>
      <c r="N9" s="104"/>
    </row>
    <row r="10" spans="1:247" x14ac:dyDescent="0.2">
      <c r="A10" s="62" t="str">
        <f>'B) Reajuste Tarifas y Ocupación'!A14</f>
        <v>Jardín Infantil Burbujitas de Mar</v>
      </c>
      <c r="B10" s="69">
        <f>+N35</f>
        <v>2515000</v>
      </c>
      <c r="C10" s="77">
        <f>+O35</f>
        <v>25150000</v>
      </c>
      <c r="D10" s="79">
        <f>+P35</f>
        <v>0</v>
      </c>
      <c r="E10" s="71">
        <f>+B10+D10+C10</f>
        <v>27665000</v>
      </c>
      <c r="F10" s="50">
        <f>'C) Costos Directos'!H139</f>
        <v>44743912.575445235</v>
      </c>
      <c r="G10" s="51">
        <f>+'D) Costos Indirectos'!$AP$15*(F10/$F$13)</f>
        <v>5009695.9540041685</v>
      </c>
      <c r="H10" s="53">
        <f>+F10+G10</f>
        <v>49753608.529449403</v>
      </c>
      <c r="I10" s="78">
        <f>E10-H10</f>
        <v>-22088608.529449403</v>
      </c>
      <c r="L10" s="93">
        <f>+IFERROR(G10/$G$13,0)</f>
        <v>0.14956168209109377</v>
      </c>
      <c r="N10" s="104"/>
    </row>
    <row r="11" spans="1:247" x14ac:dyDescent="0.2">
      <c r="A11" s="62" t="s">
        <v>211</v>
      </c>
      <c r="B11" s="70">
        <f>+N38+N44</f>
        <v>0</v>
      </c>
      <c r="C11" s="70">
        <f>+O38+O44</f>
        <v>187596000</v>
      </c>
      <c r="D11" s="343"/>
      <c r="E11" s="71">
        <f>+B11+D11+C11</f>
        <v>187596000</v>
      </c>
      <c r="F11" s="52">
        <f>'C) Costos Directos'!H205</f>
        <v>144313708.03433573</v>
      </c>
      <c r="G11" s="51">
        <f>+'D) Costos Indirectos'!$AP$15*(F11/$F$13)</f>
        <v>16157903.000277722</v>
      </c>
      <c r="H11" s="53">
        <f>+F11+G11</f>
        <v>160471611.03461346</v>
      </c>
      <c r="I11" s="78">
        <f t="shared" ref="I11:I12" si="0">E11-H11</f>
        <v>27124388.96538654</v>
      </c>
      <c r="L11" s="93">
        <f>+IFERROR(G11/$G$13,0)</f>
        <v>0.48238519342769998</v>
      </c>
      <c r="N11" s="94"/>
      <c r="O11" s="246"/>
    </row>
    <row r="12" spans="1:247" x14ac:dyDescent="0.2">
      <c r="A12" s="62" t="s">
        <v>212</v>
      </c>
      <c r="B12" s="101">
        <f>+N41</f>
        <v>0</v>
      </c>
      <c r="C12" s="101">
        <f t="shared" ref="C12" si="1">+O41</f>
        <v>94147200</v>
      </c>
      <c r="D12" s="344"/>
      <c r="E12" s="102">
        <f>+B12+D12+C12</f>
        <v>94147200</v>
      </c>
      <c r="F12" s="52">
        <f>'C) Costos Directos'!H271</f>
        <v>71504683.095445231</v>
      </c>
      <c r="G12" s="51">
        <f>+'D) Costos Indirectos'!$AP$15*(F12/$F$13)</f>
        <v>8005932.0022940068</v>
      </c>
      <c r="H12" s="53">
        <f t="shared" ref="H12" si="2">+F12+G12</f>
        <v>79510615.097739235</v>
      </c>
      <c r="I12" s="78">
        <f t="shared" si="0"/>
        <v>14636584.902260765</v>
      </c>
      <c r="L12" s="93">
        <f>+IFERROR(G12/$G$13,0)</f>
        <v>0.23901264028068672</v>
      </c>
      <c r="N12" s="94"/>
      <c r="O12" s="246"/>
    </row>
    <row r="13" spans="1:247" s="6" customFormat="1" ht="15" x14ac:dyDescent="0.2">
      <c r="A13" s="13" t="s">
        <v>1</v>
      </c>
      <c r="B13" s="81">
        <f t="shared" ref="B13:H13" si="3">SUM(B9:B12)</f>
        <v>4951000</v>
      </c>
      <c r="C13" s="81">
        <f t="shared" si="3"/>
        <v>331253200</v>
      </c>
      <c r="D13" s="81">
        <f t="shared" si="3"/>
        <v>0</v>
      </c>
      <c r="E13" s="82">
        <f>SUM(E9:E12)</f>
        <v>336204200</v>
      </c>
      <c r="F13" s="81">
        <f t="shared" si="3"/>
        <v>299166952.05522621</v>
      </c>
      <c r="G13" s="81">
        <f t="shared" si="3"/>
        <v>33495851.905121695</v>
      </c>
      <c r="H13" s="81">
        <f t="shared" si="3"/>
        <v>332662803.96034789</v>
      </c>
      <c r="I13" s="81">
        <f>SUM(I9:I12)</f>
        <v>3541396.0396521091</v>
      </c>
      <c r="L13" s="95">
        <f>SUM(L9:L12)</f>
        <v>1</v>
      </c>
      <c r="N13" s="56"/>
      <c r="O13" s="246"/>
      <c r="IB13" s="4"/>
      <c r="IC13" s="4"/>
      <c r="ID13" s="4"/>
      <c r="IE13" s="4"/>
      <c r="IF13" s="4"/>
      <c r="IG13" s="4"/>
      <c r="IH13" s="4"/>
    </row>
    <row r="14" spans="1:247" s="6" customFormat="1" ht="15.75" customHeight="1" x14ac:dyDescent="0.2">
      <c r="A14" s="14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IB14" s="4"/>
      <c r="IC14" s="4"/>
      <c r="ID14" s="4"/>
      <c r="IE14" s="4"/>
      <c r="IF14" s="4"/>
      <c r="IG14" s="4"/>
      <c r="IH14" s="4"/>
    </row>
    <row r="15" spans="1:247" s="6" customFormat="1" ht="15.75" customHeight="1" x14ac:dyDescent="0.2">
      <c r="A15" s="14"/>
      <c r="B15" s="14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247"/>
      <c r="IB15" s="4"/>
      <c r="IC15" s="4"/>
      <c r="ID15" s="4"/>
      <c r="IE15" s="4"/>
      <c r="IF15" s="4"/>
      <c r="IG15" s="4"/>
      <c r="IH15" s="4"/>
    </row>
    <row r="16" spans="1:247" s="6" customFormat="1" ht="15.75" customHeight="1" x14ac:dyDescent="0.2">
      <c r="A16" s="14"/>
      <c r="B16" s="14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IB16" s="4"/>
      <c r="IC16" s="4"/>
      <c r="ID16" s="4"/>
      <c r="IE16" s="4"/>
      <c r="IF16" s="4"/>
      <c r="IG16" s="4"/>
      <c r="IH16" s="4"/>
    </row>
    <row r="17" spans="1:247" s="6" customFormat="1" ht="15.75" customHeight="1" x14ac:dyDescent="0.2">
      <c r="A17" s="14"/>
      <c r="B17" s="14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IB17" s="4"/>
      <c r="IC17" s="4"/>
      <c r="ID17" s="4"/>
      <c r="IE17" s="4"/>
      <c r="IF17" s="4"/>
      <c r="IG17" s="4"/>
      <c r="IH17" s="4"/>
    </row>
    <row r="18" spans="1:247" s="6" customFormat="1" ht="15.75" customHeight="1" x14ac:dyDescent="0.2">
      <c r="A18" s="924" t="s">
        <v>146</v>
      </c>
      <c r="B18" s="924"/>
      <c r="C18" s="924"/>
      <c r="D18" s="924"/>
      <c r="E18" s="15"/>
      <c r="F18" s="15"/>
      <c r="G18" s="15"/>
      <c r="H18" s="15"/>
      <c r="I18" s="15"/>
      <c r="J18" s="15"/>
      <c r="K18" s="15"/>
      <c r="L18" s="15"/>
      <c r="M18" s="15"/>
      <c r="N18" s="15"/>
      <c r="IB18" s="4"/>
      <c r="IC18" s="4"/>
      <c r="ID18" s="4"/>
      <c r="IE18" s="4"/>
      <c r="IF18" s="4"/>
      <c r="IG18" s="4"/>
      <c r="IH18" s="4"/>
    </row>
    <row r="19" spans="1:247" s="17" customFormat="1" ht="13.5" thickBot="1" x14ac:dyDescent="0.25">
      <c r="B19" s="55"/>
      <c r="C19" s="55"/>
      <c r="D19" s="55"/>
      <c r="E19" s="55"/>
      <c r="F19" s="55"/>
      <c r="G19" s="55"/>
      <c r="H19" s="55"/>
      <c r="I19" s="16"/>
      <c r="J19" s="16"/>
      <c r="K19" s="16"/>
      <c r="L19" s="3"/>
      <c r="M19" s="3"/>
      <c r="O19" s="18"/>
      <c r="P19" s="18"/>
      <c r="IL19" s="10"/>
      <c r="IM19" s="10"/>
    </row>
    <row r="20" spans="1:247" s="19" customFormat="1" ht="15.75" customHeight="1" thickBot="1" x14ac:dyDescent="0.25">
      <c r="A20" s="925" t="s">
        <v>114</v>
      </c>
      <c r="B20" s="927" t="s">
        <v>5</v>
      </c>
      <c r="C20" s="918" t="s">
        <v>2</v>
      </c>
      <c r="D20" s="920" t="s">
        <v>263</v>
      </c>
      <c r="E20" s="921"/>
      <c r="F20" s="921"/>
      <c r="G20" s="921"/>
      <c r="H20" s="922"/>
      <c r="I20" s="932" t="s">
        <v>264</v>
      </c>
      <c r="J20" s="933"/>
      <c r="K20" s="933"/>
      <c r="L20" s="933"/>
      <c r="M20" s="934"/>
      <c r="N20" s="908" t="s">
        <v>89</v>
      </c>
      <c r="O20" s="910" t="s">
        <v>90</v>
      </c>
      <c r="P20" s="904" t="s">
        <v>124</v>
      </c>
      <c r="Q20" s="912" t="s">
        <v>106</v>
      </c>
    </row>
    <row r="21" spans="1:247" s="19" customFormat="1" ht="58.5" customHeight="1" thickBot="1" x14ac:dyDescent="0.25">
      <c r="A21" s="926"/>
      <c r="B21" s="928"/>
      <c r="C21" s="919"/>
      <c r="D21" s="681" t="s">
        <v>86</v>
      </c>
      <c r="E21" s="706" t="s">
        <v>134</v>
      </c>
      <c r="F21" s="706" t="s">
        <v>135</v>
      </c>
      <c r="G21" s="706" t="s">
        <v>87</v>
      </c>
      <c r="H21" s="682" t="s">
        <v>88</v>
      </c>
      <c r="I21" s="681" t="s">
        <v>86</v>
      </c>
      <c r="J21" s="706" t="s">
        <v>134</v>
      </c>
      <c r="K21" s="706" t="s">
        <v>135</v>
      </c>
      <c r="L21" s="706" t="s">
        <v>87</v>
      </c>
      <c r="M21" s="682" t="s">
        <v>88</v>
      </c>
      <c r="N21" s="909"/>
      <c r="O21" s="911"/>
      <c r="P21" s="905"/>
      <c r="Q21" s="913"/>
    </row>
    <row r="22" spans="1:247" ht="12.75" customHeight="1" x14ac:dyDescent="0.2">
      <c r="A22" s="937" t="str">
        <f>+'B) Reajuste Tarifas y Ocupación'!A12</f>
        <v>Jardín Infantil Tortuguita Marina</v>
      </c>
      <c r="B22" s="940" t="str">
        <f>+'B) Reajuste Tarifas y Ocupación'!B12</f>
        <v>Media jornada</v>
      </c>
      <c r="C22" s="712" t="s">
        <v>265</v>
      </c>
      <c r="D22" s="707">
        <f t="shared" ref="D22:F23" si="4">+I22</f>
        <v>71500</v>
      </c>
      <c r="E22" s="688">
        <f t="shared" si="4"/>
        <v>96500</v>
      </c>
      <c r="F22" s="688">
        <f t="shared" si="4"/>
        <v>100000</v>
      </c>
      <c r="G22" s="688">
        <f t="shared" ref="G22:H23" si="5">+L22</f>
        <v>97600</v>
      </c>
      <c r="H22" s="708">
        <f t="shared" si="5"/>
        <v>124100</v>
      </c>
      <c r="I22" s="707">
        <f>+'B) Reajuste Tarifas y Ocupación'!M12</f>
        <v>71500</v>
      </c>
      <c r="J22" s="688">
        <f>+'B) Reajuste Tarifas y Ocupación'!N12</f>
        <v>96500</v>
      </c>
      <c r="K22" s="688">
        <f>+'B) Reajuste Tarifas y Ocupación'!O12</f>
        <v>100000</v>
      </c>
      <c r="L22" s="688">
        <f>+'B) Reajuste Tarifas y Ocupación'!P12</f>
        <v>97600</v>
      </c>
      <c r="M22" s="708">
        <f>+'B) Reajuste Tarifas y Ocupación'!Q12</f>
        <v>124100</v>
      </c>
      <c r="N22" s="701"/>
      <c r="O22" s="689"/>
      <c r="P22" s="722">
        <f>+'B) Reajuste Tarifas y Ocupación'!C12</f>
        <v>61300</v>
      </c>
      <c r="Q22" s="907"/>
    </row>
    <row r="23" spans="1:247" x14ac:dyDescent="0.2">
      <c r="A23" s="938"/>
      <c r="B23" s="923"/>
      <c r="C23" s="713" t="s">
        <v>7</v>
      </c>
      <c r="D23" s="709">
        <f t="shared" si="4"/>
        <v>15</v>
      </c>
      <c r="E23" s="685">
        <f t="shared" si="4"/>
        <v>0</v>
      </c>
      <c r="F23" s="685">
        <f t="shared" si="4"/>
        <v>0</v>
      </c>
      <c r="G23" s="685">
        <f t="shared" si="5"/>
        <v>0</v>
      </c>
      <c r="H23" s="506">
        <f t="shared" si="5"/>
        <v>0</v>
      </c>
      <c r="I23" s="709">
        <f>+'B) Reajuste Tarifas y Ocupación'!C27</f>
        <v>15</v>
      </c>
      <c r="J23" s="685">
        <f>+'B) Reajuste Tarifas y Ocupación'!D27</f>
        <v>0</v>
      </c>
      <c r="K23" s="685">
        <f>+'B) Reajuste Tarifas y Ocupación'!E27</f>
        <v>0</v>
      </c>
      <c r="L23" s="685">
        <f>+'B) Reajuste Tarifas y Ocupación'!F27</f>
        <v>0</v>
      </c>
      <c r="M23" s="506">
        <f>+'B) Reajuste Tarifas y Ocupación'!G27</f>
        <v>0</v>
      </c>
      <c r="N23" s="702"/>
      <c r="O23" s="684"/>
      <c r="P23" s="723"/>
      <c r="Q23" s="906"/>
    </row>
    <row r="24" spans="1:247" x14ac:dyDescent="0.2">
      <c r="A24" s="938"/>
      <c r="B24" s="923"/>
      <c r="C24" s="714" t="s">
        <v>9</v>
      </c>
      <c r="D24" s="710">
        <f>D23*D22</f>
        <v>1072500</v>
      </c>
      <c r="E24" s="686">
        <f>E23*E22</f>
        <v>0</v>
      </c>
      <c r="F24" s="686">
        <f t="shared" ref="F24" si="6">F23*F22</f>
        <v>0</v>
      </c>
      <c r="G24" s="686">
        <f t="shared" ref="G24:H24" si="7">G23*G22</f>
        <v>0</v>
      </c>
      <c r="H24" s="507">
        <f t="shared" si="7"/>
        <v>0</v>
      </c>
      <c r="I24" s="710">
        <f>I23*I22*10</f>
        <v>10725000</v>
      </c>
      <c r="J24" s="686">
        <f t="shared" ref="J24:M24" si="8">J23*J22*10</f>
        <v>0</v>
      </c>
      <c r="K24" s="686">
        <f t="shared" ref="K24" si="9">K23*K22*10</f>
        <v>0</v>
      </c>
      <c r="L24" s="686">
        <f t="shared" si="8"/>
        <v>0</v>
      </c>
      <c r="M24" s="507">
        <f t="shared" si="8"/>
        <v>0</v>
      </c>
      <c r="N24" s="703">
        <f>SUM(D24:H24)</f>
        <v>1072500</v>
      </c>
      <c r="O24" s="687">
        <f>SUM(I24:M24)</f>
        <v>10725000</v>
      </c>
      <c r="P24" s="697">
        <f>P23*P22</f>
        <v>0</v>
      </c>
      <c r="Q24" s="728">
        <f>N24+O24+P24</f>
        <v>11797500</v>
      </c>
    </row>
    <row r="25" spans="1:247" x14ac:dyDescent="0.2">
      <c r="A25" s="938"/>
      <c r="B25" s="923" t="str">
        <f>+'B) Reajuste Tarifas y Ocupación'!B13</f>
        <v xml:space="preserve">Doble Jornada </v>
      </c>
      <c r="C25" s="715" t="s">
        <v>265</v>
      </c>
      <c r="D25" s="716">
        <f t="shared" ref="D25:F26" si="10">+I25</f>
        <v>90900</v>
      </c>
      <c r="E25" s="683">
        <f t="shared" si="10"/>
        <v>122700</v>
      </c>
      <c r="F25" s="683">
        <f t="shared" si="10"/>
        <v>127300</v>
      </c>
      <c r="G25" s="683">
        <f t="shared" ref="G25:H26" si="11">+L25</f>
        <v>136400</v>
      </c>
      <c r="H25" s="505">
        <f t="shared" si="11"/>
        <v>181700</v>
      </c>
      <c r="I25" s="496">
        <f>+'B) Reajuste Tarifas y Ocupación'!M13</f>
        <v>90900</v>
      </c>
      <c r="J25" s="625">
        <f>+'B) Reajuste Tarifas y Ocupación'!N13</f>
        <v>122700</v>
      </c>
      <c r="K25" s="625">
        <f>+'B) Reajuste Tarifas y Ocupación'!O13</f>
        <v>127300</v>
      </c>
      <c r="L25" s="625">
        <f>+'B) Reajuste Tarifas y Ocupación'!P13</f>
        <v>136400</v>
      </c>
      <c r="M25" s="510">
        <f>+'B) Reajuste Tarifas y Ocupación'!Q13</f>
        <v>181700</v>
      </c>
      <c r="N25" s="702"/>
      <c r="O25" s="684"/>
      <c r="P25" s="724">
        <f>+'B) Reajuste Tarifas y Ocupación'!C13</f>
        <v>78000</v>
      </c>
      <c r="Q25" s="906"/>
    </row>
    <row r="26" spans="1:247" x14ac:dyDescent="0.2">
      <c r="A26" s="938"/>
      <c r="B26" s="923"/>
      <c r="C26" s="713" t="s">
        <v>7</v>
      </c>
      <c r="D26" s="709">
        <f t="shared" si="10"/>
        <v>15</v>
      </c>
      <c r="E26" s="685">
        <f t="shared" si="10"/>
        <v>0</v>
      </c>
      <c r="F26" s="685">
        <f t="shared" si="10"/>
        <v>0</v>
      </c>
      <c r="G26" s="685">
        <f t="shared" si="11"/>
        <v>0</v>
      </c>
      <c r="H26" s="506">
        <f t="shared" si="11"/>
        <v>0</v>
      </c>
      <c r="I26" s="709">
        <f>+'B) Reajuste Tarifas y Ocupación'!C28</f>
        <v>15</v>
      </c>
      <c r="J26" s="685">
        <f>+'B) Reajuste Tarifas y Ocupación'!D28</f>
        <v>0</v>
      </c>
      <c r="K26" s="685">
        <f>+'B) Reajuste Tarifas y Ocupación'!E28</f>
        <v>0</v>
      </c>
      <c r="L26" s="685">
        <f>+'B) Reajuste Tarifas y Ocupación'!F28</f>
        <v>0</v>
      </c>
      <c r="M26" s="506">
        <f>+'B) Reajuste Tarifas y Ocupación'!G28</f>
        <v>0</v>
      </c>
      <c r="N26" s="702"/>
      <c r="O26" s="684"/>
      <c r="P26" s="723"/>
      <c r="Q26" s="906"/>
    </row>
    <row r="27" spans="1:247" x14ac:dyDescent="0.2">
      <c r="A27" s="938"/>
      <c r="B27" s="923"/>
      <c r="C27" s="714" t="s">
        <v>9</v>
      </c>
      <c r="D27" s="710">
        <f t="shared" ref="D27:H27" si="12">D26*D25</f>
        <v>1363500</v>
      </c>
      <c r="E27" s="686">
        <f t="shared" si="12"/>
        <v>0</v>
      </c>
      <c r="F27" s="686">
        <f t="shared" ref="F27" si="13">F26*F25</f>
        <v>0</v>
      </c>
      <c r="G27" s="686">
        <f t="shared" si="12"/>
        <v>0</v>
      </c>
      <c r="H27" s="507">
        <f t="shared" si="12"/>
        <v>0</v>
      </c>
      <c r="I27" s="710">
        <f t="shared" ref="I27:M27" si="14">I26*I25*10</f>
        <v>13635000</v>
      </c>
      <c r="J27" s="686">
        <f t="shared" si="14"/>
        <v>0</v>
      </c>
      <c r="K27" s="686">
        <f t="shared" ref="K27" si="15">K26*K25*10</f>
        <v>0</v>
      </c>
      <c r="L27" s="686">
        <f t="shared" si="14"/>
        <v>0</v>
      </c>
      <c r="M27" s="507">
        <f t="shared" si="14"/>
        <v>0</v>
      </c>
      <c r="N27" s="703">
        <f>SUM(D27:H27)</f>
        <v>1363500</v>
      </c>
      <c r="O27" s="687">
        <f>SUM(I27:M27)</f>
        <v>13635000</v>
      </c>
      <c r="P27" s="697">
        <f>P26*P25</f>
        <v>0</v>
      </c>
      <c r="Q27" s="728">
        <f>N27+O27+P27</f>
        <v>14998500</v>
      </c>
    </row>
    <row r="28" spans="1:247" s="10" customFormat="1" ht="15.75" thickBot="1" x14ac:dyDescent="0.25">
      <c r="A28" s="939"/>
      <c r="B28" s="935" t="s">
        <v>10</v>
      </c>
      <c r="C28" s="936"/>
      <c r="D28" s="711">
        <f>+D24+D27</f>
        <v>2436000</v>
      </c>
      <c r="E28" s="690">
        <f t="shared" ref="E28:G28" si="16">+E24+E27</f>
        <v>0</v>
      </c>
      <c r="F28" s="690">
        <f t="shared" si="16"/>
        <v>0</v>
      </c>
      <c r="G28" s="690">
        <f t="shared" si="16"/>
        <v>0</v>
      </c>
      <c r="H28" s="691">
        <f>+H24+H27</f>
        <v>0</v>
      </c>
      <c r="I28" s="711">
        <f t="shared" ref="I28:L28" si="17">+I24+I27</f>
        <v>24360000</v>
      </c>
      <c r="J28" s="690">
        <f t="shared" si="17"/>
        <v>0</v>
      </c>
      <c r="K28" s="690">
        <f t="shared" si="17"/>
        <v>0</v>
      </c>
      <c r="L28" s="690">
        <f t="shared" si="17"/>
        <v>0</v>
      </c>
      <c r="M28" s="691">
        <f>+M24+M27</f>
        <v>0</v>
      </c>
      <c r="N28" s="704">
        <f t="shared" ref="N28:Q28" si="18">+N24+N27</f>
        <v>2436000</v>
      </c>
      <c r="O28" s="690">
        <f t="shared" si="18"/>
        <v>24360000</v>
      </c>
      <c r="P28" s="698">
        <f>+P24+P27</f>
        <v>0</v>
      </c>
      <c r="Q28" s="729">
        <f t="shared" si="18"/>
        <v>26796000</v>
      </c>
    </row>
    <row r="29" spans="1:247" s="10" customFormat="1" x14ac:dyDescent="0.2">
      <c r="A29" s="941" t="str">
        <f>'B) Reajuste Tarifas y Ocupación'!A29:A30</f>
        <v>Jardín Infantil Burbujitas de Mar</v>
      </c>
      <c r="B29" s="940" t="str">
        <f>+'B) Reajuste Tarifas y Ocupación'!B21</f>
        <v>Media Jornada</v>
      </c>
      <c r="C29" s="712" t="s">
        <v>265</v>
      </c>
      <c r="D29" s="707">
        <f>'B) Reajuste Tarifas y Ocupación'!M14</f>
        <v>100600</v>
      </c>
      <c r="E29" s="688">
        <f>'B) Reajuste Tarifas y Ocupación'!N14</f>
        <v>135800</v>
      </c>
      <c r="F29" s="688">
        <f>'B) Reajuste Tarifas y Ocupación'!O14</f>
        <v>140800</v>
      </c>
      <c r="G29" s="688">
        <f>'B) Reajuste Tarifas y Ocupación'!P14</f>
        <v>125800</v>
      </c>
      <c r="H29" s="708">
        <f>'B) Reajuste Tarifas y Ocupación'!Q14</f>
        <v>150800</v>
      </c>
      <c r="I29" s="707">
        <f>D29</f>
        <v>100600</v>
      </c>
      <c r="J29" s="688">
        <f t="shared" ref="J29:M29" si="19">E29</f>
        <v>135800</v>
      </c>
      <c r="K29" s="688">
        <f t="shared" si="19"/>
        <v>140800</v>
      </c>
      <c r="L29" s="688">
        <f t="shared" si="19"/>
        <v>125800</v>
      </c>
      <c r="M29" s="708">
        <f t="shared" si="19"/>
        <v>150800</v>
      </c>
      <c r="N29" s="701"/>
      <c r="O29" s="689"/>
      <c r="P29" s="722">
        <f>+'B) Reajuste Tarifas y Ocupación'!C14</f>
        <v>86300</v>
      </c>
      <c r="Q29" s="907"/>
    </row>
    <row r="30" spans="1:247" s="10" customFormat="1" x14ac:dyDescent="0.2">
      <c r="A30" s="942"/>
      <c r="B30" s="923"/>
      <c r="C30" s="713" t="s">
        <v>7</v>
      </c>
      <c r="D30" s="709">
        <f t="shared" ref="D30" si="20">+I30</f>
        <v>25</v>
      </c>
      <c r="E30" s="685">
        <f t="shared" ref="E30" si="21">+J30</f>
        <v>0</v>
      </c>
      <c r="F30" s="685">
        <f t="shared" ref="F30" si="22">+K30</f>
        <v>0</v>
      </c>
      <c r="G30" s="685">
        <f t="shared" ref="G30" si="23">+L30</f>
        <v>0</v>
      </c>
      <c r="H30" s="506">
        <f t="shared" ref="H30" si="24">+M30</f>
        <v>0</v>
      </c>
      <c r="I30" s="709">
        <f>+'B) Reajuste Tarifas y Ocupación'!C29</f>
        <v>25</v>
      </c>
      <c r="J30" s="685">
        <f>+'B) Reajuste Tarifas y Ocupación'!D29</f>
        <v>0</v>
      </c>
      <c r="K30" s="685">
        <f>+'B) Reajuste Tarifas y Ocupación'!E29</f>
        <v>0</v>
      </c>
      <c r="L30" s="685">
        <f>+'B) Reajuste Tarifas y Ocupación'!F29</f>
        <v>0</v>
      </c>
      <c r="M30" s="506">
        <f>+'B) Reajuste Tarifas y Ocupación'!G29</f>
        <v>0</v>
      </c>
      <c r="N30" s="702"/>
      <c r="O30" s="684"/>
      <c r="P30" s="723"/>
      <c r="Q30" s="906"/>
    </row>
    <row r="31" spans="1:247" s="10" customFormat="1" x14ac:dyDescent="0.2">
      <c r="A31" s="942"/>
      <c r="B31" s="923"/>
      <c r="C31" s="714" t="s">
        <v>9</v>
      </c>
      <c r="D31" s="710">
        <f>D30*D29</f>
        <v>2515000</v>
      </c>
      <c r="E31" s="686">
        <f>E30*E29</f>
        <v>0</v>
      </c>
      <c r="F31" s="686">
        <f t="shared" ref="F31:H31" si="25">F30*F29</f>
        <v>0</v>
      </c>
      <c r="G31" s="686">
        <f t="shared" si="25"/>
        <v>0</v>
      </c>
      <c r="H31" s="507">
        <f t="shared" si="25"/>
        <v>0</v>
      </c>
      <c r="I31" s="710">
        <f>I30*I29*10</f>
        <v>25150000</v>
      </c>
      <c r="J31" s="686">
        <f t="shared" ref="J31:M31" si="26">J30*J29*10</f>
        <v>0</v>
      </c>
      <c r="K31" s="686">
        <f t="shared" si="26"/>
        <v>0</v>
      </c>
      <c r="L31" s="686">
        <f t="shared" si="26"/>
        <v>0</v>
      </c>
      <c r="M31" s="507">
        <f t="shared" si="26"/>
        <v>0</v>
      </c>
      <c r="N31" s="703">
        <f>SUM(D31:H31)</f>
        <v>2515000</v>
      </c>
      <c r="O31" s="687">
        <f>SUM(I31:M31)</f>
        <v>25150000</v>
      </c>
      <c r="P31" s="697">
        <f>P30*P29</f>
        <v>0</v>
      </c>
      <c r="Q31" s="728">
        <f>N31+O31+P31</f>
        <v>27665000</v>
      </c>
    </row>
    <row r="32" spans="1:247" s="10" customFormat="1" x14ac:dyDescent="0.2">
      <c r="A32" s="942"/>
      <c r="B32" s="923" t="str">
        <f>'B) Reajuste Tarifas y Ocupación'!B30</f>
        <v>Jornada  Completa</v>
      </c>
      <c r="C32" s="715" t="s">
        <v>265</v>
      </c>
      <c r="D32" s="716">
        <f>'B) Reajuste Tarifas y Ocupación'!M15</f>
        <v>159200</v>
      </c>
      <c r="E32" s="683">
        <f>'B) Reajuste Tarifas y Ocupación'!N15</f>
        <v>214900</v>
      </c>
      <c r="F32" s="683">
        <f>'B) Reajuste Tarifas y Ocupación'!O15</f>
        <v>222800</v>
      </c>
      <c r="G32" s="683">
        <f>'B) Reajuste Tarifas y Ocupación'!P15</f>
        <v>199000</v>
      </c>
      <c r="H32" s="505">
        <f>'B) Reajuste Tarifas y Ocupación'!Q15</f>
        <v>238800</v>
      </c>
      <c r="I32" s="496">
        <f>D32</f>
        <v>159200</v>
      </c>
      <c r="J32" s="625">
        <f t="shared" ref="J32:M32" si="27">E32</f>
        <v>214900</v>
      </c>
      <c r="K32" s="625">
        <f t="shared" si="27"/>
        <v>222800</v>
      </c>
      <c r="L32" s="625">
        <f t="shared" si="27"/>
        <v>199000</v>
      </c>
      <c r="M32" s="510">
        <f t="shared" si="27"/>
        <v>238800</v>
      </c>
      <c r="N32" s="702"/>
      <c r="O32" s="684"/>
      <c r="P32" s="724">
        <f>+'B) Reajuste Tarifas y Ocupación'!C15</f>
        <v>136600</v>
      </c>
      <c r="Q32" s="906"/>
    </row>
    <row r="33" spans="1:17" s="10" customFormat="1" x14ac:dyDescent="0.2">
      <c r="A33" s="942"/>
      <c r="B33" s="923"/>
      <c r="C33" s="713" t="s">
        <v>7</v>
      </c>
      <c r="D33" s="709">
        <f t="shared" ref="D33" si="28">+I33</f>
        <v>0</v>
      </c>
      <c r="E33" s="685">
        <f t="shared" ref="E33" si="29">+J33</f>
        <v>0</v>
      </c>
      <c r="F33" s="685">
        <f t="shared" ref="F33" si="30">+K33</f>
        <v>0</v>
      </c>
      <c r="G33" s="685">
        <f t="shared" ref="G33" si="31">+L33</f>
        <v>0</v>
      </c>
      <c r="H33" s="506">
        <f t="shared" ref="H33" si="32">+M33</f>
        <v>0</v>
      </c>
      <c r="I33" s="709">
        <f>+'B) Reajuste Tarifas y Ocupación'!C30</f>
        <v>0</v>
      </c>
      <c r="J33" s="685">
        <f>+'B) Reajuste Tarifas y Ocupación'!D30</f>
        <v>0</v>
      </c>
      <c r="K33" s="685">
        <f>+'B) Reajuste Tarifas y Ocupación'!E30</f>
        <v>0</v>
      </c>
      <c r="L33" s="685">
        <f>+'B) Reajuste Tarifas y Ocupación'!F30</f>
        <v>0</v>
      </c>
      <c r="M33" s="506">
        <f>+'B) Reajuste Tarifas y Ocupación'!G30</f>
        <v>0</v>
      </c>
      <c r="N33" s="702"/>
      <c r="O33" s="684"/>
      <c r="P33" s="723"/>
      <c r="Q33" s="906"/>
    </row>
    <row r="34" spans="1:17" s="10" customFormat="1" x14ac:dyDescent="0.2">
      <c r="A34" s="942"/>
      <c r="B34" s="923"/>
      <c r="C34" s="714" t="s">
        <v>9</v>
      </c>
      <c r="D34" s="710">
        <f t="shared" ref="D34:H34" si="33">D33*D32</f>
        <v>0</v>
      </c>
      <c r="E34" s="686">
        <f t="shared" si="33"/>
        <v>0</v>
      </c>
      <c r="F34" s="686">
        <f t="shared" si="33"/>
        <v>0</v>
      </c>
      <c r="G34" s="686">
        <f t="shared" si="33"/>
        <v>0</v>
      </c>
      <c r="H34" s="507">
        <f t="shared" si="33"/>
        <v>0</v>
      </c>
      <c r="I34" s="710">
        <f t="shared" ref="I34:M34" si="34">I33*I32*10</f>
        <v>0</v>
      </c>
      <c r="J34" s="686">
        <f t="shared" si="34"/>
        <v>0</v>
      </c>
      <c r="K34" s="686">
        <f t="shared" si="34"/>
        <v>0</v>
      </c>
      <c r="L34" s="686">
        <f t="shared" si="34"/>
        <v>0</v>
      </c>
      <c r="M34" s="507">
        <f t="shared" si="34"/>
        <v>0</v>
      </c>
      <c r="N34" s="703">
        <f>SUM(D34:H34)</f>
        <v>0</v>
      </c>
      <c r="O34" s="687">
        <f>SUM(I34:M34)</f>
        <v>0</v>
      </c>
      <c r="P34" s="697">
        <f>P33*P32</f>
        <v>0</v>
      </c>
      <c r="Q34" s="728">
        <f>N34+O34+P34</f>
        <v>0</v>
      </c>
    </row>
    <row r="35" spans="1:17" s="10" customFormat="1" ht="15.75" thickBot="1" x14ac:dyDescent="0.25">
      <c r="A35" s="943"/>
      <c r="B35" s="935" t="s">
        <v>10</v>
      </c>
      <c r="C35" s="936"/>
      <c r="D35" s="711">
        <f>+D31+D34</f>
        <v>2515000</v>
      </c>
      <c r="E35" s="690">
        <f t="shared" ref="E35:G35" si="35">+E31+E34</f>
        <v>0</v>
      </c>
      <c r="F35" s="690">
        <f t="shared" si="35"/>
        <v>0</v>
      </c>
      <c r="G35" s="690">
        <f t="shared" si="35"/>
        <v>0</v>
      </c>
      <c r="H35" s="691">
        <f>+H31+H34</f>
        <v>0</v>
      </c>
      <c r="I35" s="711">
        <f t="shared" ref="I35:L35" si="36">+I31+I34</f>
        <v>25150000</v>
      </c>
      <c r="J35" s="690">
        <f t="shared" si="36"/>
        <v>0</v>
      </c>
      <c r="K35" s="690">
        <f t="shared" si="36"/>
        <v>0</v>
      </c>
      <c r="L35" s="690">
        <f t="shared" si="36"/>
        <v>0</v>
      </c>
      <c r="M35" s="691">
        <f>+M31+M34</f>
        <v>0</v>
      </c>
      <c r="N35" s="704">
        <f>+N31+N34</f>
        <v>2515000</v>
      </c>
      <c r="O35" s="690">
        <f t="shared" ref="O35:Q35" si="37">+O31+O34</f>
        <v>25150000</v>
      </c>
      <c r="P35" s="698">
        <f>+P31+P34</f>
        <v>0</v>
      </c>
      <c r="Q35" s="729">
        <f t="shared" si="37"/>
        <v>27665000</v>
      </c>
    </row>
    <row r="36" spans="1:17" x14ac:dyDescent="0.2">
      <c r="A36" s="937" t="str">
        <f>+'B) Reajuste Tarifas y Ocupación'!A19</f>
        <v>Sala Cuna Burbujitas de Mar</v>
      </c>
      <c r="B36" s="940" t="str">
        <f>+'B) Reajuste Tarifas y Ocupación'!B19</f>
        <v>Jornada Completa Diurna</v>
      </c>
      <c r="C36" s="712" t="s">
        <v>265</v>
      </c>
      <c r="D36" s="717"/>
      <c r="E36" s="688">
        <f t="shared" ref="E36" si="38">+J36</f>
        <v>469000</v>
      </c>
      <c r="F36" s="688">
        <f t="shared" ref="F36" si="39">+K36</f>
        <v>486400</v>
      </c>
      <c r="G36" s="688">
        <f t="shared" ref="G36:H36" si="40">+L36</f>
        <v>434200</v>
      </c>
      <c r="H36" s="708">
        <f t="shared" si="40"/>
        <v>521100</v>
      </c>
      <c r="I36" s="626">
        <f>+'B) Reajuste Tarifas y Ocupación'!M19</f>
        <v>347400</v>
      </c>
      <c r="J36" s="472">
        <f>+'B) Reajuste Tarifas y Ocupación'!N19</f>
        <v>469000</v>
      </c>
      <c r="K36" s="472">
        <f>+'B) Reajuste Tarifas y Ocupación'!O19</f>
        <v>486400</v>
      </c>
      <c r="L36" s="472">
        <f>+'B) Reajuste Tarifas y Ocupación'!P19</f>
        <v>434200</v>
      </c>
      <c r="M36" s="494">
        <f>+'B) Reajuste Tarifas y Ocupación'!Q19</f>
        <v>521100</v>
      </c>
      <c r="N36" s="701"/>
      <c r="O36" s="689"/>
      <c r="P36" s="725"/>
      <c r="Q36" s="907"/>
    </row>
    <row r="37" spans="1:17" x14ac:dyDescent="0.2">
      <c r="A37" s="938"/>
      <c r="B37" s="923"/>
      <c r="C37" s="713" t="s">
        <v>7</v>
      </c>
      <c r="D37" s="718">
        <v>0</v>
      </c>
      <c r="E37" s="683">
        <f t="shared" ref="E37" si="41">+J37</f>
        <v>0</v>
      </c>
      <c r="F37" s="683">
        <f t="shared" ref="F37" si="42">+K37</f>
        <v>0</v>
      </c>
      <c r="G37" s="683">
        <f t="shared" ref="G37" si="43">+L37</f>
        <v>0</v>
      </c>
      <c r="H37" s="505">
        <f t="shared" ref="H37" si="44">+M37</f>
        <v>0</v>
      </c>
      <c r="I37" s="709">
        <f>+'B) Reajuste Tarifas y Ocupación'!C34</f>
        <v>45</v>
      </c>
      <c r="J37" s="685">
        <f>+'B) Reajuste Tarifas y Ocupación'!D34</f>
        <v>0</v>
      </c>
      <c r="K37" s="685">
        <f>+'B) Reajuste Tarifas y Ocupación'!E34</f>
        <v>0</v>
      </c>
      <c r="L37" s="685">
        <f>+'B) Reajuste Tarifas y Ocupación'!F34</f>
        <v>0</v>
      </c>
      <c r="M37" s="506">
        <f>+'B) Reajuste Tarifas y Ocupación'!G34</f>
        <v>0</v>
      </c>
      <c r="N37" s="702"/>
      <c r="O37" s="684"/>
      <c r="P37" s="726"/>
      <c r="Q37" s="906"/>
    </row>
    <row r="38" spans="1:17" x14ac:dyDescent="0.2">
      <c r="A38" s="938"/>
      <c r="B38" s="923"/>
      <c r="C38" s="714" t="s">
        <v>9</v>
      </c>
      <c r="D38" s="719">
        <f>D37*D36</f>
        <v>0</v>
      </c>
      <c r="E38" s="694">
        <f>E37*E36</f>
        <v>0</v>
      </c>
      <c r="F38" s="694">
        <f t="shared" ref="F38" si="45">F37*F36</f>
        <v>0</v>
      </c>
      <c r="G38" s="686">
        <f>G37*G36</f>
        <v>0</v>
      </c>
      <c r="H38" s="507">
        <f>H37*H36</f>
        <v>0</v>
      </c>
      <c r="I38" s="710">
        <f>I37*I36*12</f>
        <v>187596000</v>
      </c>
      <c r="J38" s="686">
        <f t="shared" ref="J38:M38" si="46">J37*J36*12</f>
        <v>0</v>
      </c>
      <c r="K38" s="686">
        <f t="shared" si="46"/>
        <v>0</v>
      </c>
      <c r="L38" s="686">
        <f t="shared" si="46"/>
        <v>0</v>
      </c>
      <c r="M38" s="507">
        <f t="shared" si="46"/>
        <v>0</v>
      </c>
      <c r="N38" s="703">
        <f>SUM(D38:H38)</f>
        <v>0</v>
      </c>
      <c r="O38" s="687">
        <f>SUM(I38:M38)</f>
        <v>187596000</v>
      </c>
      <c r="P38" s="699"/>
      <c r="Q38" s="728">
        <f>N38+O38+P38</f>
        <v>187596000</v>
      </c>
    </row>
    <row r="39" spans="1:17" x14ac:dyDescent="0.2">
      <c r="A39" s="938"/>
      <c r="B39" s="923" t="str">
        <f>+'B) Reajuste Tarifas y Ocupación'!B20</f>
        <v>Nocturna</v>
      </c>
      <c r="C39" s="715" t="s">
        <v>265</v>
      </c>
      <c r="D39" s="720"/>
      <c r="E39" s="692"/>
      <c r="F39" s="692"/>
      <c r="G39" s="692"/>
      <c r="H39" s="508"/>
      <c r="I39" s="496">
        <f>+'B) Reajuste Tarifas y Ocupación'!M20</f>
        <v>280200</v>
      </c>
      <c r="J39" s="692"/>
      <c r="K39" s="692"/>
      <c r="L39" s="692"/>
      <c r="M39" s="508"/>
      <c r="N39" s="702"/>
      <c r="O39" s="684"/>
      <c r="P39" s="727"/>
      <c r="Q39" s="906"/>
    </row>
    <row r="40" spans="1:17" x14ac:dyDescent="0.2">
      <c r="A40" s="938"/>
      <c r="B40" s="923"/>
      <c r="C40" s="713" t="s">
        <v>7</v>
      </c>
      <c r="D40" s="718"/>
      <c r="E40" s="693"/>
      <c r="F40" s="693"/>
      <c r="G40" s="693"/>
      <c r="H40" s="509"/>
      <c r="I40" s="709">
        <f>+'B) Reajuste Tarifas y Ocupación'!C35</f>
        <v>28</v>
      </c>
      <c r="J40" s="693"/>
      <c r="K40" s="693"/>
      <c r="L40" s="693"/>
      <c r="M40" s="509"/>
      <c r="N40" s="702"/>
      <c r="O40" s="684"/>
      <c r="P40" s="726"/>
      <c r="Q40" s="906"/>
    </row>
    <row r="41" spans="1:17" x14ac:dyDescent="0.2">
      <c r="A41" s="938"/>
      <c r="B41" s="923"/>
      <c r="C41" s="714" t="s">
        <v>9</v>
      </c>
      <c r="D41" s="719">
        <f>D40*D39</f>
        <v>0</v>
      </c>
      <c r="E41" s="694">
        <f>E40*E39</f>
        <v>0</v>
      </c>
      <c r="F41" s="694">
        <f t="shared" ref="F41" si="47">F40*F39</f>
        <v>0</v>
      </c>
      <c r="G41" s="694">
        <f>G40*G39</f>
        <v>0</v>
      </c>
      <c r="H41" s="721">
        <f>H40*H39</f>
        <v>0</v>
      </c>
      <c r="I41" s="710">
        <f>I40*I39*12</f>
        <v>94147200</v>
      </c>
      <c r="J41" s="686">
        <f t="shared" ref="J41:M41" si="48">J40*J39*12</f>
        <v>0</v>
      </c>
      <c r="K41" s="686">
        <f t="shared" si="48"/>
        <v>0</v>
      </c>
      <c r="L41" s="686">
        <f t="shared" si="48"/>
        <v>0</v>
      </c>
      <c r="M41" s="507">
        <f t="shared" si="48"/>
        <v>0</v>
      </c>
      <c r="N41" s="703">
        <f>SUM(D41:H41)</f>
        <v>0</v>
      </c>
      <c r="O41" s="687">
        <f>SUM(I41:M41)</f>
        <v>94147200</v>
      </c>
      <c r="P41" s="699"/>
      <c r="Q41" s="728">
        <f>N41+O41+P41</f>
        <v>94147200</v>
      </c>
    </row>
    <row r="42" spans="1:17" x14ac:dyDescent="0.2">
      <c r="A42" s="938"/>
      <c r="B42" s="923" t="str">
        <f>+'B) Reajuste Tarifas y Ocupación'!B21</f>
        <v>Media Jornada</v>
      </c>
      <c r="C42" s="715" t="s">
        <v>265</v>
      </c>
      <c r="D42" s="720"/>
      <c r="E42" s="683">
        <f>J42</f>
        <v>281500</v>
      </c>
      <c r="F42" s="683">
        <f t="shared" ref="F42:H42" si="49">K42</f>
        <v>292000</v>
      </c>
      <c r="G42" s="683">
        <f t="shared" si="49"/>
        <v>312700</v>
      </c>
      <c r="H42" s="505">
        <f t="shared" si="49"/>
        <v>416900</v>
      </c>
      <c r="I42" s="496">
        <f>+'B) Reajuste Tarifas y Ocupación'!M21</f>
        <v>208600</v>
      </c>
      <c r="J42" s="625">
        <f>+'B) Reajuste Tarifas y Ocupación'!N21</f>
        <v>281500</v>
      </c>
      <c r="K42" s="625">
        <f>+'B) Reajuste Tarifas y Ocupación'!O21</f>
        <v>292000</v>
      </c>
      <c r="L42" s="625">
        <f>+'B) Reajuste Tarifas y Ocupación'!P21</f>
        <v>312700</v>
      </c>
      <c r="M42" s="510">
        <f>+'B) Reajuste Tarifas y Ocupación'!Q21</f>
        <v>416900</v>
      </c>
      <c r="N42" s="702"/>
      <c r="O42" s="684"/>
      <c r="P42" s="727"/>
      <c r="Q42" s="906"/>
    </row>
    <row r="43" spans="1:17" x14ac:dyDescent="0.2">
      <c r="A43" s="938"/>
      <c r="B43" s="923"/>
      <c r="C43" s="713" t="s">
        <v>7</v>
      </c>
      <c r="D43" s="718"/>
      <c r="E43" s="683">
        <f t="shared" ref="E43" si="50">+J43</f>
        <v>0</v>
      </c>
      <c r="F43" s="683">
        <f t="shared" ref="F43" si="51">+K43</f>
        <v>0</v>
      </c>
      <c r="G43" s="683">
        <f t="shared" ref="G43" si="52">+L43</f>
        <v>0</v>
      </c>
      <c r="H43" s="505">
        <f t="shared" ref="H43" si="53">+M43</f>
        <v>0</v>
      </c>
      <c r="I43" s="709">
        <f>+'B) Reajuste Tarifas y Ocupación'!C36</f>
        <v>0</v>
      </c>
      <c r="J43" s="685">
        <f>+'B) Reajuste Tarifas y Ocupación'!D36</f>
        <v>0</v>
      </c>
      <c r="K43" s="685">
        <f>+'B) Reajuste Tarifas y Ocupación'!E36</f>
        <v>0</v>
      </c>
      <c r="L43" s="685">
        <f>+'B) Reajuste Tarifas y Ocupación'!F36</f>
        <v>0</v>
      </c>
      <c r="M43" s="506">
        <f>+'B) Reajuste Tarifas y Ocupación'!G36</f>
        <v>0</v>
      </c>
      <c r="N43" s="702"/>
      <c r="O43" s="684"/>
      <c r="P43" s="726"/>
      <c r="Q43" s="906"/>
    </row>
    <row r="44" spans="1:17" x14ac:dyDescent="0.2">
      <c r="A44" s="938"/>
      <c r="B44" s="923"/>
      <c r="C44" s="714" t="s">
        <v>9</v>
      </c>
      <c r="D44" s="719">
        <f t="shared" ref="D44:H44" si="54">D43*D42</f>
        <v>0</v>
      </c>
      <c r="E44" s="694">
        <f>E43*E42</f>
        <v>0</v>
      </c>
      <c r="F44" s="694"/>
      <c r="G44" s="694">
        <f t="shared" si="54"/>
        <v>0</v>
      </c>
      <c r="H44" s="721">
        <f t="shared" si="54"/>
        <v>0</v>
      </c>
      <c r="I44" s="710">
        <f>I43*I42*12</f>
        <v>0</v>
      </c>
      <c r="J44" s="686">
        <f>J43*J42*12</f>
        <v>0</v>
      </c>
      <c r="K44" s="686">
        <f t="shared" ref="K44:M44" si="55">K43*K42*12</f>
        <v>0</v>
      </c>
      <c r="L44" s="686">
        <f t="shared" si="55"/>
        <v>0</v>
      </c>
      <c r="M44" s="507">
        <f t="shared" si="55"/>
        <v>0</v>
      </c>
      <c r="N44" s="703">
        <f>SUM(D44:H44)</f>
        <v>0</v>
      </c>
      <c r="O44" s="687">
        <f>SUM(I44:M44)</f>
        <v>0</v>
      </c>
      <c r="P44" s="699"/>
      <c r="Q44" s="728">
        <f>N44+O44+P44</f>
        <v>0</v>
      </c>
    </row>
    <row r="45" spans="1:17" ht="15.75" thickBot="1" x14ac:dyDescent="0.25">
      <c r="A45" s="939"/>
      <c r="B45" s="935" t="s">
        <v>10</v>
      </c>
      <c r="C45" s="936"/>
      <c r="D45" s="711">
        <f>SUM(D38,D41,D44)</f>
        <v>0</v>
      </c>
      <c r="E45" s="690">
        <f>SUM(E38,E41,E44)</f>
        <v>0</v>
      </c>
      <c r="F45" s="690">
        <f t="shared" ref="F45:Q45" si="56">SUM(F38,F41,F44)</f>
        <v>0</v>
      </c>
      <c r="G45" s="690">
        <f t="shared" si="56"/>
        <v>0</v>
      </c>
      <c r="H45" s="691">
        <f t="shared" si="56"/>
        <v>0</v>
      </c>
      <c r="I45" s="711">
        <f t="shared" si="56"/>
        <v>281743200</v>
      </c>
      <c r="J45" s="690">
        <f t="shared" si="56"/>
        <v>0</v>
      </c>
      <c r="K45" s="690">
        <f t="shared" si="56"/>
        <v>0</v>
      </c>
      <c r="L45" s="690">
        <f t="shared" si="56"/>
        <v>0</v>
      </c>
      <c r="M45" s="691">
        <f t="shared" si="56"/>
        <v>0</v>
      </c>
      <c r="N45" s="704">
        <f>SUM(N38,N41,N44)</f>
        <v>0</v>
      </c>
      <c r="O45" s="690">
        <f>SUM(O38,O41,O44)</f>
        <v>281743200</v>
      </c>
      <c r="P45" s="698">
        <f>SUM(P38,P41,P44)</f>
        <v>0</v>
      </c>
      <c r="Q45" s="729">
        <f t="shared" si="56"/>
        <v>281743200</v>
      </c>
    </row>
    <row r="46" spans="1:17" ht="15" customHeight="1" thickBot="1" x14ac:dyDescent="0.25">
      <c r="A46" s="929" t="s">
        <v>8</v>
      </c>
      <c r="B46" s="930"/>
      <c r="C46" s="931"/>
      <c r="D46" s="278">
        <f>+D28+D45+D35</f>
        <v>4951000</v>
      </c>
      <c r="E46" s="695">
        <f t="shared" ref="E46:I46" si="57">+E28+E45+E35</f>
        <v>0</v>
      </c>
      <c r="F46" s="695">
        <f t="shared" si="57"/>
        <v>0</v>
      </c>
      <c r="G46" s="695">
        <f t="shared" si="57"/>
        <v>0</v>
      </c>
      <c r="H46" s="696">
        <f t="shared" si="57"/>
        <v>0</v>
      </c>
      <c r="I46" s="278">
        <f t="shared" si="57"/>
        <v>331253200</v>
      </c>
      <c r="J46" s="695">
        <f t="shared" ref="J46" si="58">+J28+J45+J35</f>
        <v>0</v>
      </c>
      <c r="K46" s="695">
        <f t="shared" ref="K46" si="59">+K28+K45+K35</f>
        <v>0</v>
      </c>
      <c r="L46" s="695">
        <f t="shared" ref="L46" si="60">+L28+L45+L35</f>
        <v>0</v>
      </c>
      <c r="M46" s="696">
        <f t="shared" ref="M46:N46" si="61">+M28+M45+M35</f>
        <v>0</v>
      </c>
      <c r="N46" s="705">
        <f t="shared" si="61"/>
        <v>4951000</v>
      </c>
      <c r="O46" s="695">
        <f t="shared" ref="O46" si="62">+O28+O45+O35</f>
        <v>331253200</v>
      </c>
      <c r="P46" s="700">
        <f>+P28+P45+P35</f>
        <v>0</v>
      </c>
      <c r="Q46" s="730">
        <f t="shared" ref="Q46" si="63">+Q28+Q45+Q35</f>
        <v>336204200</v>
      </c>
    </row>
  </sheetData>
  <sheetProtection algorithmName="SHA-512" hashValue="Iuuhww6sWsZp+wNKMOi+cTCxHy7jbpeIZJD77ieDKGIy+hMCugqEGHLjvubd0Rrq95LTG6Skd+EVDU6JDTGLNw==" saltValue="ksykoNvp8W+wFgl2y2DbnQ==" spinCount="100000" sheet="1" objects="1" scenarios="1"/>
  <mergeCells count="34">
    <mergeCell ref="A46:C46"/>
    <mergeCell ref="I20:M20"/>
    <mergeCell ref="B28:C28"/>
    <mergeCell ref="A22:A28"/>
    <mergeCell ref="B22:B24"/>
    <mergeCell ref="A36:A45"/>
    <mergeCell ref="B45:C45"/>
    <mergeCell ref="B39:B41"/>
    <mergeCell ref="B42:B44"/>
    <mergeCell ref="B36:B38"/>
    <mergeCell ref="A29:A35"/>
    <mergeCell ref="B29:B31"/>
    <mergeCell ref="B32:B34"/>
    <mergeCell ref="B35:C35"/>
    <mergeCell ref="C4:D4"/>
    <mergeCell ref="E4:G4"/>
    <mergeCell ref="C20:C21"/>
    <mergeCell ref="D20:H20"/>
    <mergeCell ref="B25:B27"/>
    <mergeCell ref="A6:D6"/>
    <mergeCell ref="A18:D18"/>
    <mergeCell ref="A20:A21"/>
    <mergeCell ref="B20:B21"/>
    <mergeCell ref="P20:P21"/>
    <mergeCell ref="Q42:Q43"/>
    <mergeCell ref="Q36:Q37"/>
    <mergeCell ref="Q39:Q40"/>
    <mergeCell ref="N20:N21"/>
    <mergeCell ref="O20:O21"/>
    <mergeCell ref="Q20:Q21"/>
    <mergeCell ref="Q22:Q23"/>
    <mergeCell ref="Q25:Q26"/>
    <mergeCell ref="Q29:Q30"/>
    <mergeCell ref="Q32:Q33"/>
  </mergeCells>
  <phoneticPr fontId="35" type="noConversion"/>
  <conditionalFormatting sqref="C14:N14 B9:I13 D15:N17 E18:N18">
    <cfRule type="cellIs" dxfId="2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D.B.S.A.ORDINARIA&amp;R02-BS/0307/02Pag &amp;P de &amp;N</oddHeader>
  </headerFooter>
  <ignoredErrors>
    <ignoredError sqref="D23:H23 D22:H22 J22 D25:Q25 I24:Q24 J23:O23 Q38 I42:J42 I40 D45 N43:O43 G36:J36 L22:Q22 N39:O39 N37:O37 L42:O42 N41:O41 N40:O40 L45:M45 L36:O36 D44 N44:O44 I39 Q23 D27:Q27 D26:O26 Q26 I43 F44:H44 F45:J45 Q45 D28:O28 Q28 Q41 Q44 Q40 Q43 Q39 Q37 Q42 Q36" unlockedFormula="1"/>
    <ignoredError sqref="F24:H24 F38" formula="1" unlockedFormula="1"/>
    <ignoredError sqref="D24:E2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00B050"/>
    <pageSetUpPr autoPageBreaks="0"/>
  </sheetPr>
  <dimension ref="A1:IV36"/>
  <sheetViews>
    <sheetView showGridLines="0" topLeftCell="A5" zoomScale="80" zoomScaleNormal="80" workbookViewId="0">
      <selection activeCell="O28" sqref="O28"/>
    </sheetView>
  </sheetViews>
  <sheetFormatPr baseColWidth="10" defaultColWidth="11.42578125" defaultRowHeight="12.75" x14ac:dyDescent="0.2"/>
  <cols>
    <col min="1" max="1" width="56.5703125" style="45" customWidth="1"/>
    <col min="2" max="2" width="33.85546875" style="32" customWidth="1"/>
    <col min="3" max="3" width="12.28515625" style="45" customWidth="1"/>
    <col min="4" max="4" width="13.7109375" style="45" bestFit="1" customWidth="1"/>
    <col min="5" max="5" width="15.5703125" style="45" bestFit="1" customWidth="1"/>
    <col min="6" max="6" width="14.5703125" style="45" customWidth="1"/>
    <col min="7" max="7" width="14.85546875" style="45" customWidth="1"/>
    <col min="8" max="8" width="11.85546875" style="45" bestFit="1" customWidth="1"/>
    <col min="9" max="9" width="14.5703125" style="45" bestFit="1" customWidth="1"/>
    <col min="10" max="10" width="14.5703125" style="45" customWidth="1"/>
    <col min="11" max="12" width="11.85546875" style="45" customWidth="1"/>
    <col min="13" max="13" width="14" style="45" customWidth="1"/>
    <col min="14" max="15" width="14.5703125" style="45" customWidth="1"/>
    <col min="16" max="17" width="11.85546875" style="45" customWidth="1"/>
    <col min="18" max="18" width="11.85546875" style="32" customWidth="1"/>
    <col min="19" max="19" width="32.7109375" style="45" customWidth="1"/>
    <col min="20" max="20" width="33" style="32" bestFit="1" customWidth="1"/>
    <col min="21" max="21" width="13.85546875" style="45" customWidth="1"/>
    <col min="22" max="22" width="14.5703125" style="45" bestFit="1" customWidth="1"/>
    <col min="23" max="23" width="14.5703125" style="45" customWidth="1"/>
    <col min="24" max="24" width="12.85546875" style="45" bestFit="1" customWidth="1"/>
    <col min="25" max="16384" width="11.42578125" style="45"/>
  </cols>
  <sheetData>
    <row r="1" spans="1:256" s="6" customFormat="1" x14ac:dyDescent="0.2">
      <c r="A1" s="5"/>
      <c r="C1" s="7"/>
      <c r="D1" s="7"/>
      <c r="E1" s="7"/>
      <c r="F1" s="44" t="s">
        <v>201</v>
      </c>
      <c r="G1" s="7"/>
      <c r="R1" s="17"/>
      <c r="S1" s="5"/>
      <c r="IU1" s="4"/>
      <c r="IV1" s="4"/>
    </row>
    <row r="2" spans="1:256" s="6" customFormat="1" x14ac:dyDescent="0.2">
      <c r="A2" s="8"/>
      <c r="C2" s="7"/>
      <c r="D2" s="7"/>
      <c r="E2" s="7"/>
      <c r="F2" s="44" t="s">
        <v>194</v>
      </c>
      <c r="G2" s="7"/>
      <c r="R2" s="17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7"/>
      <c r="S3" s="4"/>
      <c r="IU3" s="4"/>
      <c r="IV3" s="4"/>
    </row>
    <row r="4" spans="1:256" s="6" customFormat="1" ht="13.5" thickBot="1" x14ac:dyDescent="0.25">
      <c r="A4" s="25"/>
      <c r="B4" s="2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55"/>
      <c r="S4" s="25"/>
      <c r="T4" s="26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5"/>
      <c r="B5" s="26"/>
      <c r="C5" s="914" t="s">
        <v>0</v>
      </c>
      <c r="D5" s="971"/>
      <c r="E5" s="106"/>
      <c r="F5" s="984" t="s">
        <v>121</v>
      </c>
      <c r="G5" s="985"/>
      <c r="R5" s="17"/>
      <c r="S5" s="25"/>
      <c r="T5" s="26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5"/>
      <c r="B6" s="26"/>
      <c r="C6" s="106"/>
      <c r="D6" s="106"/>
      <c r="E6" s="106"/>
      <c r="F6" s="109"/>
      <c r="G6" s="109"/>
      <c r="R6" s="17"/>
      <c r="S6" s="25"/>
      <c r="T6" s="26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5"/>
      <c r="B7" s="26"/>
      <c r="C7" s="106"/>
      <c r="D7" s="106"/>
      <c r="E7" s="106"/>
      <c r="F7" s="109"/>
      <c r="G7" s="109"/>
      <c r="R7" s="17"/>
      <c r="S7" s="25"/>
      <c r="T7" s="26"/>
      <c r="V7" s="59"/>
      <c r="W7" s="59"/>
      <c r="IL7" s="4"/>
      <c r="IM7" s="4"/>
      <c r="IN7" s="4"/>
      <c r="IO7" s="4"/>
      <c r="IP7" s="4"/>
      <c r="IQ7" s="4"/>
    </row>
    <row r="8" spans="1:256" s="17" customFormat="1" ht="15.75" x14ac:dyDescent="0.2">
      <c r="A8" s="947" t="s">
        <v>147</v>
      </c>
      <c r="B8" s="947"/>
      <c r="C8" s="947"/>
      <c r="D8" s="947"/>
      <c r="E8" s="107"/>
      <c r="F8" s="109"/>
      <c r="G8" s="109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x14ac:dyDescent="0.2">
      <c r="A10" s="978" t="s">
        <v>132</v>
      </c>
      <c r="B10" s="973" t="s">
        <v>5</v>
      </c>
      <c r="C10" s="975" t="s">
        <v>228</v>
      </c>
      <c r="D10" s="976"/>
      <c r="E10" s="976"/>
      <c r="F10" s="976"/>
      <c r="G10" s="977"/>
      <c r="H10" s="948" t="s">
        <v>108</v>
      </c>
      <c r="I10" s="949"/>
      <c r="J10" s="949"/>
      <c r="K10" s="949"/>
      <c r="L10" s="950"/>
      <c r="M10" s="944" t="s">
        <v>266</v>
      </c>
      <c r="N10" s="945"/>
      <c r="O10" s="945"/>
      <c r="P10" s="945"/>
      <c r="Q10" s="946"/>
      <c r="R10" s="20"/>
    </row>
    <row r="11" spans="1:256" ht="69" customHeight="1" thickBot="1" x14ac:dyDescent="0.25">
      <c r="A11" s="957"/>
      <c r="B11" s="974"/>
      <c r="C11" s="345" t="s">
        <v>86</v>
      </c>
      <c r="D11" s="346" t="s">
        <v>134</v>
      </c>
      <c r="E11" s="346" t="s">
        <v>135</v>
      </c>
      <c r="F11" s="346" t="s">
        <v>87</v>
      </c>
      <c r="G11" s="570" t="s">
        <v>88</v>
      </c>
      <c r="H11" s="572" t="s">
        <v>86</v>
      </c>
      <c r="I11" s="573" t="s">
        <v>134</v>
      </c>
      <c r="J11" s="573" t="s">
        <v>135</v>
      </c>
      <c r="K11" s="574" t="s">
        <v>87</v>
      </c>
      <c r="L11" s="575" t="s">
        <v>88</v>
      </c>
      <c r="M11" s="571" t="s">
        <v>86</v>
      </c>
      <c r="N11" s="346" t="s">
        <v>134</v>
      </c>
      <c r="O11" s="346" t="s">
        <v>135</v>
      </c>
      <c r="P11" s="346" t="s">
        <v>87</v>
      </c>
      <c r="Q11" s="347" t="s">
        <v>88</v>
      </c>
      <c r="R11" s="20"/>
    </row>
    <row r="12" spans="1:256" ht="19.5" customHeight="1" x14ac:dyDescent="0.2">
      <c r="A12" s="963" t="s">
        <v>207</v>
      </c>
      <c r="B12" s="552" t="s">
        <v>125</v>
      </c>
      <c r="C12" s="553">
        <v>61300</v>
      </c>
      <c r="D12" s="554">
        <v>73500</v>
      </c>
      <c r="E12" s="554">
        <v>73500</v>
      </c>
      <c r="F12" s="554">
        <v>83700</v>
      </c>
      <c r="G12" s="512">
        <v>106500</v>
      </c>
      <c r="H12" s="576">
        <v>0.16500000000000001</v>
      </c>
      <c r="I12" s="555">
        <f>+H12</f>
        <v>0.16500000000000001</v>
      </c>
      <c r="J12" s="555">
        <f>+H12</f>
        <v>0.16500000000000001</v>
      </c>
      <c r="K12" s="555">
        <f>+H12</f>
        <v>0.16500000000000001</v>
      </c>
      <c r="L12" s="891">
        <f>+H12</f>
        <v>0.16500000000000001</v>
      </c>
      <c r="M12" s="894">
        <f>CEILING(C12*(1+H12),100)</f>
        <v>71500</v>
      </c>
      <c r="N12" s="556">
        <f>+CEILING(C12*(1.35)*(1+I12),100)</f>
        <v>96500</v>
      </c>
      <c r="O12" s="556">
        <f>+CEILING(C12*(1.4)*(1+J12),100)</f>
        <v>100000</v>
      </c>
      <c r="P12" s="556">
        <f>+CEILING(F12*(1+K12),100)</f>
        <v>97600</v>
      </c>
      <c r="Q12" s="557">
        <f>+CEILING(G12*(1+L12),100)</f>
        <v>124100</v>
      </c>
      <c r="R12" s="86"/>
    </row>
    <row r="13" spans="1:256" ht="19.5" customHeight="1" thickBot="1" x14ac:dyDescent="0.25">
      <c r="A13" s="964"/>
      <c r="B13" s="558" t="s">
        <v>208</v>
      </c>
      <c r="C13" s="559">
        <v>78000</v>
      </c>
      <c r="D13" s="562">
        <v>93500</v>
      </c>
      <c r="E13" s="562">
        <v>93500</v>
      </c>
      <c r="F13" s="562">
        <v>117000</v>
      </c>
      <c r="G13" s="563">
        <v>155900</v>
      </c>
      <c r="H13" s="578">
        <v>0.16500000000000001</v>
      </c>
      <c r="I13" s="564">
        <f>+H13</f>
        <v>0.16500000000000001</v>
      </c>
      <c r="J13" s="564">
        <f>+H13</f>
        <v>0.16500000000000001</v>
      </c>
      <c r="K13" s="564">
        <f>+H13</f>
        <v>0.16500000000000001</v>
      </c>
      <c r="L13" s="892">
        <f>+H13</f>
        <v>0.16500000000000001</v>
      </c>
      <c r="M13" s="895">
        <f>CEILING(C13*(1+H13),100)</f>
        <v>90900</v>
      </c>
      <c r="N13" s="565">
        <f t="shared" ref="N13:N15" si="0">+CEILING(C13*(1.35)*(1+I13),100)</f>
        <v>122700</v>
      </c>
      <c r="O13" s="565">
        <f t="shared" ref="O13:O15" si="1">+CEILING(C13*(1.4)*(1+J13),100)</f>
        <v>127300</v>
      </c>
      <c r="P13" s="565">
        <f>+CEILING(F13*(1+K13),100)</f>
        <v>136400</v>
      </c>
      <c r="Q13" s="566">
        <f>+CEILING(G13*(1+L13),100)</f>
        <v>181700</v>
      </c>
    </row>
    <row r="14" spans="1:256" ht="19.5" customHeight="1" x14ac:dyDescent="0.2">
      <c r="A14" s="963" t="s">
        <v>214</v>
      </c>
      <c r="B14" s="514" t="s">
        <v>125</v>
      </c>
      <c r="C14" s="560">
        <v>86300</v>
      </c>
      <c r="D14" s="554">
        <v>103600</v>
      </c>
      <c r="E14" s="554">
        <v>103600</v>
      </c>
      <c r="F14" s="554">
        <v>107900</v>
      </c>
      <c r="G14" s="512">
        <v>129400</v>
      </c>
      <c r="H14" s="596">
        <v>0.16500000000000001</v>
      </c>
      <c r="I14" s="550">
        <f t="shared" ref="I14:I15" si="2">+H14</f>
        <v>0.16500000000000001</v>
      </c>
      <c r="J14" s="550">
        <f t="shared" ref="J14:J15" si="3">+H14</f>
        <v>0.16500000000000001</v>
      </c>
      <c r="K14" s="550">
        <f t="shared" ref="K14:K15" si="4">+H14</f>
        <v>0.16500000000000001</v>
      </c>
      <c r="L14" s="893">
        <f t="shared" ref="L14:L15" si="5">+H14</f>
        <v>0.16500000000000001</v>
      </c>
      <c r="M14" s="896">
        <f t="shared" ref="M14" si="6">CEILING(C14*(1+H14),100)</f>
        <v>100600</v>
      </c>
      <c r="N14" s="551">
        <f t="shared" si="0"/>
        <v>135800</v>
      </c>
      <c r="O14" s="551">
        <f t="shared" si="1"/>
        <v>140800</v>
      </c>
      <c r="P14" s="551">
        <f t="shared" ref="P14" si="7">+CEILING(F14*(1+K14),100)</f>
        <v>125800</v>
      </c>
      <c r="Q14" s="595">
        <f t="shared" ref="Q14" si="8">+CEILING(G14*(1+L14),100)</f>
        <v>150800</v>
      </c>
    </row>
    <row r="15" spans="1:256" ht="19.5" customHeight="1" thickBot="1" x14ac:dyDescent="0.25">
      <c r="A15" s="964"/>
      <c r="B15" s="515" t="s">
        <v>215</v>
      </c>
      <c r="C15" s="561">
        <v>136600</v>
      </c>
      <c r="D15" s="562">
        <v>163900</v>
      </c>
      <c r="E15" s="562">
        <v>163900</v>
      </c>
      <c r="F15" s="562">
        <v>170800</v>
      </c>
      <c r="G15" s="563">
        <v>204900</v>
      </c>
      <c r="H15" s="596">
        <v>0.16500000000000001</v>
      </c>
      <c r="I15" s="564">
        <f t="shared" si="2"/>
        <v>0.16500000000000001</v>
      </c>
      <c r="J15" s="564">
        <f t="shared" si="3"/>
        <v>0.16500000000000001</v>
      </c>
      <c r="K15" s="564">
        <f t="shared" si="4"/>
        <v>0.16500000000000001</v>
      </c>
      <c r="L15" s="892">
        <f t="shared" si="5"/>
        <v>0.16500000000000001</v>
      </c>
      <c r="M15" s="895">
        <f>CEILING(C15*(1+H15),100)</f>
        <v>159200</v>
      </c>
      <c r="N15" s="565">
        <f t="shared" si="0"/>
        <v>214900</v>
      </c>
      <c r="O15" s="565">
        <f t="shared" si="1"/>
        <v>222800</v>
      </c>
      <c r="P15" s="565">
        <f>+CEILING(F15*(1+K15),100)</f>
        <v>199000</v>
      </c>
      <c r="Q15" s="566">
        <f>+CEILING(G15*(1+L15),100)</f>
        <v>238800</v>
      </c>
    </row>
    <row r="16" spans="1:256" ht="12.75" customHeight="1" thickBot="1" x14ac:dyDescent="0.25">
      <c r="B16" s="45"/>
      <c r="R16" s="45"/>
    </row>
    <row r="17" spans="1:18" ht="15.75" customHeight="1" x14ac:dyDescent="0.2">
      <c r="A17" s="956" t="s">
        <v>133</v>
      </c>
      <c r="B17" s="958" t="s">
        <v>5</v>
      </c>
      <c r="C17" s="959" t="s">
        <v>228</v>
      </c>
      <c r="D17" s="945"/>
      <c r="E17" s="945"/>
      <c r="F17" s="945"/>
      <c r="G17" s="946"/>
      <c r="H17" s="948" t="s">
        <v>108</v>
      </c>
      <c r="I17" s="949"/>
      <c r="J17" s="949"/>
      <c r="K17" s="949"/>
      <c r="L17" s="950"/>
      <c r="M17" s="960" t="s">
        <v>266</v>
      </c>
      <c r="N17" s="961"/>
      <c r="O17" s="961"/>
      <c r="P17" s="961"/>
      <c r="Q17" s="962"/>
      <c r="R17" s="20"/>
    </row>
    <row r="18" spans="1:18" ht="72.75" customHeight="1" thickBot="1" x14ac:dyDescent="0.25">
      <c r="A18" s="957"/>
      <c r="B18" s="952"/>
      <c r="C18" s="587" t="s">
        <v>86</v>
      </c>
      <c r="D18" s="498" t="s">
        <v>134</v>
      </c>
      <c r="E18" s="498" t="s">
        <v>135</v>
      </c>
      <c r="F18" s="498" t="s">
        <v>87</v>
      </c>
      <c r="G18" s="588" t="s">
        <v>88</v>
      </c>
      <c r="H18" s="583" t="s">
        <v>86</v>
      </c>
      <c r="I18" s="480" t="s">
        <v>134</v>
      </c>
      <c r="J18" s="480" t="s">
        <v>135</v>
      </c>
      <c r="K18" s="584" t="s">
        <v>87</v>
      </c>
      <c r="L18" s="575" t="s">
        <v>88</v>
      </c>
      <c r="M18" s="580" t="s">
        <v>86</v>
      </c>
      <c r="N18" s="498" t="s">
        <v>134</v>
      </c>
      <c r="O18" s="498" t="s">
        <v>135</v>
      </c>
      <c r="P18" s="479" t="s">
        <v>87</v>
      </c>
      <c r="Q18" s="486" t="s">
        <v>88</v>
      </c>
      <c r="R18" s="20"/>
    </row>
    <row r="19" spans="1:18" ht="19.5" customHeight="1" x14ac:dyDescent="0.2">
      <c r="A19" s="963" t="s">
        <v>209</v>
      </c>
      <c r="B19" s="552" t="s">
        <v>210</v>
      </c>
      <c r="C19" s="589">
        <v>327700</v>
      </c>
      <c r="D19" s="568">
        <v>393300</v>
      </c>
      <c r="E19" s="568">
        <v>393300</v>
      </c>
      <c r="F19" s="568">
        <v>409600</v>
      </c>
      <c r="G19" s="590">
        <v>491600</v>
      </c>
      <c r="H19" s="576">
        <v>0.06</v>
      </c>
      <c r="I19" s="555">
        <f>+H19</f>
        <v>0.06</v>
      </c>
      <c r="J19" s="555">
        <f>+H19</f>
        <v>0.06</v>
      </c>
      <c r="K19" s="555">
        <f>+H19</f>
        <v>0.06</v>
      </c>
      <c r="L19" s="577">
        <f>+H19</f>
        <v>0.06</v>
      </c>
      <c r="M19" s="513">
        <f>CEILING(C19*(1+H19),100)</f>
        <v>347400</v>
      </c>
      <c r="N19" s="556">
        <f>+CEILING(C19*(1.35)*(1+I19),100)</f>
        <v>469000</v>
      </c>
      <c r="O19" s="556">
        <f>+CEILING(C19*(1.4)*(1+J19),100)</f>
        <v>486400</v>
      </c>
      <c r="P19" s="556">
        <f>+CEILING(F19*(1+K19),100)</f>
        <v>434200</v>
      </c>
      <c r="Q19" s="557">
        <f>+CEILING(G19*(1+L19),100)</f>
        <v>521100</v>
      </c>
      <c r="R19" s="87"/>
    </row>
    <row r="20" spans="1:18" ht="19.5" customHeight="1" x14ac:dyDescent="0.2">
      <c r="A20" s="986"/>
      <c r="B20" s="586" t="s">
        <v>137</v>
      </c>
      <c r="C20" s="591">
        <v>264300</v>
      </c>
      <c r="D20" s="567"/>
      <c r="E20" s="567"/>
      <c r="F20" s="567"/>
      <c r="G20" s="569"/>
      <c r="H20" s="585">
        <v>0.06</v>
      </c>
      <c r="I20" s="567"/>
      <c r="J20" s="567"/>
      <c r="K20" s="567"/>
      <c r="L20" s="569"/>
      <c r="M20" s="581">
        <f t="shared" ref="M20:M21" si="9">CEILING(C20*(1+H20),100)</f>
        <v>280200</v>
      </c>
      <c r="N20" s="567"/>
      <c r="O20" s="567"/>
      <c r="P20" s="567"/>
      <c r="Q20" s="569"/>
      <c r="R20" s="87"/>
    </row>
    <row r="21" spans="1:18" ht="19.5" customHeight="1" thickBot="1" x14ac:dyDescent="0.25">
      <c r="A21" s="964"/>
      <c r="B21" s="558" t="s">
        <v>131</v>
      </c>
      <c r="C21" s="592">
        <v>196700</v>
      </c>
      <c r="D21" s="593">
        <v>236000</v>
      </c>
      <c r="E21" s="593">
        <v>236000</v>
      </c>
      <c r="F21" s="593">
        <v>295000</v>
      </c>
      <c r="G21" s="594">
        <v>393300</v>
      </c>
      <c r="H21" s="578">
        <v>0.06</v>
      </c>
      <c r="I21" s="564">
        <f t="shared" ref="I21" si="10">+H21</f>
        <v>0.06</v>
      </c>
      <c r="J21" s="564">
        <f t="shared" ref="J21" si="11">+H21</f>
        <v>0.06</v>
      </c>
      <c r="K21" s="564">
        <f t="shared" ref="K21" si="12">+H21</f>
        <v>0.06</v>
      </c>
      <c r="L21" s="579">
        <f t="shared" ref="L21" si="13">+H21</f>
        <v>0.06</v>
      </c>
      <c r="M21" s="582">
        <f t="shared" si="9"/>
        <v>208600</v>
      </c>
      <c r="N21" s="565">
        <f>+CEILING(C21*(1.35)*(1+I21),100)</f>
        <v>281500</v>
      </c>
      <c r="O21" s="565">
        <f>+CEILING(C21*(1.4)*(1+J21),100)</f>
        <v>292000</v>
      </c>
      <c r="P21" s="565">
        <f>+CEILING(F21*(1+K21),100)</f>
        <v>312700</v>
      </c>
      <c r="Q21" s="566">
        <f>+CEILING(G21*(1+L21),100)</f>
        <v>416900</v>
      </c>
      <c r="R21" s="87"/>
    </row>
    <row r="22" spans="1:18" x14ac:dyDescent="0.2">
      <c r="D22" s="164"/>
    </row>
    <row r="23" spans="1:18" ht="15.75" x14ac:dyDescent="0.2">
      <c r="A23" s="947" t="s">
        <v>148</v>
      </c>
      <c r="B23" s="947"/>
      <c r="C23" s="947"/>
      <c r="D23" s="947"/>
      <c r="E23" s="947"/>
      <c r="F23" s="947"/>
      <c r="G23" s="17"/>
      <c r="H23" s="17"/>
    </row>
    <row r="24" spans="1:18" ht="13.5" thickBot="1" x14ac:dyDescent="0.25"/>
    <row r="25" spans="1:18" ht="16.5" thickBot="1" x14ac:dyDescent="0.25">
      <c r="A25" s="981" t="s">
        <v>132</v>
      </c>
      <c r="B25" s="979" t="s">
        <v>5</v>
      </c>
      <c r="C25" s="954" t="s">
        <v>267</v>
      </c>
      <c r="D25" s="954"/>
      <c r="E25" s="954"/>
      <c r="F25" s="954"/>
      <c r="G25" s="954"/>
      <c r="H25" s="972"/>
      <c r="M25" s="732"/>
    </row>
    <row r="26" spans="1:18" ht="64.5" thickBot="1" x14ac:dyDescent="0.25">
      <c r="A26" s="982"/>
      <c r="B26" s="980"/>
      <c r="C26" s="538" t="s">
        <v>86</v>
      </c>
      <c r="D26" s="99" t="s">
        <v>134</v>
      </c>
      <c r="E26" s="99" t="s">
        <v>135</v>
      </c>
      <c r="F26" s="99" t="s">
        <v>87</v>
      </c>
      <c r="G26" s="534" t="s">
        <v>88</v>
      </c>
      <c r="H26" s="521" t="s">
        <v>130</v>
      </c>
      <c r="M26" s="731"/>
    </row>
    <row r="27" spans="1:18" ht="19.5" customHeight="1" thickBot="1" x14ac:dyDescent="0.25">
      <c r="A27" s="967" t="str">
        <f>+A12</f>
        <v>Jardín Infantil Tortuguita Marina</v>
      </c>
      <c r="B27" s="542" t="str">
        <f>+B12</f>
        <v>Media jornada</v>
      </c>
      <c r="C27" s="870">
        <v>15</v>
      </c>
      <c r="D27" s="282">
        <v>0</v>
      </c>
      <c r="E27" s="282">
        <v>0</v>
      </c>
      <c r="F27" s="282">
        <v>0</v>
      </c>
      <c r="G27" s="535">
        <v>0</v>
      </c>
      <c r="H27" s="545">
        <f>SUM(C27:G27)</f>
        <v>15</v>
      </c>
      <c r="M27" s="733"/>
    </row>
    <row r="28" spans="1:18" ht="19.5" customHeight="1" thickBot="1" x14ac:dyDescent="0.25">
      <c r="A28" s="983"/>
      <c r="B28" s="543" t="str">
        <f>+B13</f>
        <v xml:space="preserve">Doble Jornada </v>
      </c>
      <c r="C28" s="540">
        <v>15</v>
      </c>
      <c r="D28" s="340">
        <v>0</v>
      </c>
      <c r="E28" s="340">
        <v>0</v>
      </c>
      <c r="F28" s="340">
        <v>0</v>
      </c>
      <c r="G28" s="536">
        <v>0</v>
      </c>
      <c r="H28" s="546">
        <f t="shared" ref="H28:H35" si="14">SUM(C28:G28)</f>
        <v>15</v>
      </c>
      <c r="I28" s="871">
        <f>SUM(H27:H28)</f>
        <v>30</v>
      </c>
      <c r="M28" s="733"/>
    </row>
    <row r="29" spans="1:18" ht="19.5" customHeight="1" thickBot="1" x14ac:dyDescent="0.25">
      <c r="A29" s="967" t="str">
        <f>+A14</f>
        <v>Jardín Infantil Burbujitas de Mar</v>
      </c>
      <c r="B29" s="542" t="str">
        <f>+B14</f>
        <v>Media jornada</v>
      </c>
      <c r="C29" s="539">
        <v>25</v>
      </c>
      <c r="D29" s="282">
        <v>0</v>
      </c>
      <c r="E29" s="282">
        <v>0</v>
      </c>
      <c r="F29" s="282">
        <v>0</v>
      </c>
      <c r="G29" s="535">
        <v>0</v>
      </c>
      <c r="H29" s="545">
        <f>SUM(C29:G29)</f>
        <v>25</v>
      </c>
      <c r="I29" s="549"/>
    </row>
    <row r="30" spans="1:18" ht="19.5" customHeight="1" thickBot="1" x14ac:dyDescent="0.25">
      <c r="A30" s="968"/>
      <c r="B30" s="544" t="str">
        <f>+B15</f>
        <v>Jornada  Completa</v>
      </c>
      <c r="C30" s="541">
        <v>0</v>
      </c>
      <c r="D30" s="341">
        <v>0</v>
      </c>
      <c r="E30" s="341">
        <v>0</v>
      </c>
      <c r="F30" s="341">
        <v>0</v>
      </c>
      <c r="G30" s="537">
        <v>0</v>
      </c>
      <c r="H30" s="547">
        <f>SUM(C30:G30)</f>
        <v>0</v>
      </c>
      <c r="I30" s="548">
        <f>SUM(H29:H30)</f>
        <v>25</v>
      </c>
      <c r="K30" s="733"/>
      <c r="L30" s="733"/>
      <c r="M30" s="733"/>
    </row>
    <row r="31" spans="1:18" ht="13.5" thickBot="1" x14ac:dyDescent="0.25">
      <c r="B31" s="45"/>
      <c r="K31" s="733"/>
      <c r="L31" s="733"/>
      <c r="M31" s="733"/>
    </row>
    <row r="32" spans="1:18" ht="16.5" thickBot="1" x14ac:dyDescent="0.25">
      <c r="A32" s="965" t="s">
        <v>133</v>
      </c>
      <c r="B32" s="951" t="s">
        <v>5</v>
      </c>
      <c r="C32" s="953" t="s">
        <v>267</v>
      </c>
      <c r="D32" s="954"/>
      <c r="E32" s="954"/>
      <c r="F32" s="954"/>
      <c r="G32" s="954"/>
      <c r="H32" s="955"/>
    </row>
    <row r="33" spans="1:9" ht="64.5" thickBot="1" x14ac:dyDescent="0.25">
      <c r="A33" s="966"/>
      <c r="B33" s="952"/>
      <c r="C33" s="279" t="s">
        <v>86</v>
      </c>
      <c r="D33" s="99" t="s">
        <v>134</v>
      </c>
      <c r="E33" s="99" t="s">
        <v>135</v>
      </c>
      <c r="F33" s="99" t="s">
        <v>87</v>
      </c>
      <c r="G33" s="100" t="s">
        <v>88</v>
      </c>
      <c r="H33" s="280" t="s">
        <v>130</v>
      </c>
    </row>
    <row r="34" spans="1:9" ht="19.5" customHeight="1" x14ac:dyDescent="0.2">
      <c r="A34" s="969" t="str">
        <f>+A19</f>
        <v>Sala Cuna Burbujitas de Mar</v>
      </c>
      <c r="B34" s="284" t="str">
        <f>+B19</f>
        <v>Jornada Completa Diurna</v>
      </c>
      <c r="C34" s="281">
        <v>45</v>
      </c>
      <c r="D34" s="282">
        <v>0</v>
      </c>
      <c r="E34" s="282">
        <v>0</v>
      </c>
      <c r="F34" s="282">
        <v>0</v>
      </c>
      <c r="G34" s="282">
        <v>0</v>
      </c>
      <c r="H34" s="348">
        <f t="shared" si="14"/>
        <v>45</v>
      </c>
    </row>
    <row r="35" spans="1:9" ht="19.5" customHeight="1" thickBot="1" x14ac:dyDescent="0.25">
      <c r="A35" s="970"/>
      <c r="B35" s="285" t="str">
        <f>+B20</f>
        <v>Nocturna</v>
      </c>
      <c r="C35" s="287">
        <v>28</v>
      </c>
      <c r="D35" s="342"/>
      <c r="E35" s="342"/>
      <c r="F35" s="342"/>
      <c r="G35" s="342"/>
      <c r="H35" s="349">
        <f t="shared" si="14"/>
        <v>28</v>
      </c>
    </row>
    <row r="36" spans="1:9" ht="19.5" customHeight="1" thickBot="1" x14ac:dyDescent="0.25">
      <c r="A36" s="968"/>
      <c r="B36" s="286" t="str">
        <f>+B21</f>
        <v>Media Jornada</v>
      </c>
      <c r="C36" s="283">
        <v>0</v>
      </c>
      <c r="D36" s="163">
        <v>0</v>
      </c>
      <c r="E36" s="163">
        <v>0</v>
      </c>
      <c r="F36" s="163">
        <v>0</v>
      </c>
      <c r="G36" s="163">
        <v>0</v>
      </c>
      <c r="H36" s="350">
        <f t="shared" ref="H36" si="15">SUM(C36:G36)</f>
        <v>0</v>
      </c>
      <c r="I36" s="548">
        <f>H36+H34</f>
        <v>45</v>
      </c>
    </row>
  </sheetData>
  <sheetProtection algorithmName="SHA-512" hashValue="926UdZ+XdUy7tXlCZUTqgwYHP2f/DX+shZ4aOzaImVqOqa01ZaFuO7nSQHVXQNVe03z2Mn8F6RJ6elPLM6v3mw==" saltValue="960YghekbPtuiYykWgI9Lg==" spinCount="100000" sheet="1" objects="1" scenarios="1"/>
  <mergeCells count="26">
    <mergeCell ref="A34:A36"/>
    <mergeCell ref="C5:D5"/>
    <mergeCell ref="C25:H25"/>
    <mergeCell ref="B10:B11"/>
    <mergeCell ref="C10:G10"/>
    <mergeCell ref="A8:D8"/>
    <mergeCell ref="A10:A11"/>
    <mergeCell ref="B25:B26"/>
    <mergeCell ref="A25:A26"/>
    <mergeCell ref="A27:A28"/>
    <mergeCell ref="F5:G5"/>
    <mergeCell ref="A19:A21"/>
    <mergeCell ref="M10:Q10"/>
    <mergeCell ref="A23:F23"/>
    <mergeCell ref="H10:L10"/>
    <mergeCell ref="B32:B33"/>
    <mergeCell ref="C32:H32"/>
    <mergeCell ref="A17:A18"/>
    <mergeCell ref="B17:B18"/>
    <mergeCell ref="C17:G17"/>
    <mergeCell ref="H17:L17"/>
    <mergeCell ref="M17:Q17"/>
    <mergeCell ref="A12:A13"/>
    <mergeCell ref="A32:A33"/>
    <mergeCell ref="A14:A15"/>
    <mergeCell ref="A29:A30"/>
  </mergeCells>
  <pageMargins left="0.7" right="0.7" top="0.75" bottom="0.75" header="0.3" footer="0.3"/>
  <pageSetup paperSize="9" orientation="portrait" r:id="rId1"/>
  <ignoredErrors>
    <ignoredError sqref="K12:L12 I19:L19 I21:L21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C00000"/>
    <pageSetUpPr fitToPage="1"/>
  </sheetPr>
  <dimension ref="A1:P272"/>
  <sheetViews>
    <sheetView showGridLines="0" zoomScale="80" zoomScaleNormal="80" workbookViewId="0">
      <selection activeCell="I149" sqref="I149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7" customWidth="1"/>
    <col min="7" max="7" width="14.28515625" style="6" customWidth="1"/>
    <col min="8" max="8" width="23" style="6" customWidth="1"/>
    <col min="9" max="9" width="9.5703125" style="4" customWidth="1"/>
    <col min="10" max="10" width="17.7109375" style="4" customWidth="1"/>
    <col min="11" max="11" width="11.42578125" style="4"/>
    <col min="12" max="12" width="46.7109375" style="4" customWidth="1"/>
    <col min="13" max="13" width="12" style="4" bestFit="1" customWidth="1"/>
    <col min="14" max="14" width="12.28515625" style="4" customWidth="1"/>
    <col min="15" max="15" width="14.28515625" style="4" customWidth="1"/>
    <col min="16" max="16" width="14.140625" style="4" customWidth="1"/>
    <col min="17" max="16384" width="11.42578125" style="4"/>
  </cols>
  <sheetData>
    <row r="1" spans="1:10" x14ac:dyDescent="0.2">
      <c r="C1" s="44"/>
      <c r="D1" s="44" t="s">
        <v>202</v>
      </c>
      <c r="E1" s="44"/>
      <c r="F1" s="44"/>
      <c r="G1" s="44"/>
      <c r="H1" s="44"/>
    </row>
    <row r="2" spans="1:10" x14ac:dyDescent="0.2">
      <c r="C2" s="44"/>
      <c r="D2" s="44" t="s">
        <v>213</v>
      </c>
      <c r="E2" s="44"/>
      <c r="F2" s="44"/>
      <c r="G2" s="44"/>
      <c r="H2" s="44"/>
      <c r="I2" s="44"/>
    </row>
    <row r="3" spans="1:10" x14ac:dyDescent="0.2">
      <c r="C3" s="44"/>
      <c r="E3" s="44"/>
      <c r="F3" s="44"/>
      <c r="G3" s="44"/>
      <c r="H3" s="44"/>
      <c r="I3" s="44"/>
    </row>
    <row r="4" spans="1:10" ht="19.5" customHeight="1" x14ac:dyDescent="0.2">
      <c r="C4" s="239" t="s">
        <v>0</v>
      </c>
      <c r="D4" s="996" t="s">
        <v>149</v>
      </c>
      <c r="E4" s="997"/>
      <c r="F4" s="44"/>
      <c r="G4" s="44"/>
      <c r="H4" s="44"/>
      <c r="I4" s="44"/>
    </row>
    <row r="5" spans="1:10" x14ac:dyDescent="0.2">
      <c r="B5" s="44"/>
      <c r="C5" s="240"/>
      <c r="D5" s="44"/>
      <c r="E5" s="44"/>
      <c r="F5" s="44"/>
      <c r="G5" s="44"/>
      <c r="H5" s="44"/>
      <c r="I5" s="44"/>
    </row>
    <row r="6" spans="1:10" x14ac:dyDescent="0.2">
      <c r="B6" s="44"/>
      <c r="C6" s="240"/>
      <c r="D6" s="44"/>
      <c r="E6" s="44"/>
      <c r="F6" s="44"/>
      <c r="G6" s="44"/>
      <c r="H6" s="44"/>
      <c r="I6" s="44"/>
    </row>
    <row r="7" spans="1:10" x14ac:dyDescent="0.2">
      <c r="C7" s="6"/>
      <c r="I7" s="44"/>
    </row>
    <row r="8" spans="1:10" ht="15.75" x14ac:dyDescent="0.2">
      <c r="A8" s="947" t="s">
        <v>150</v>
      </c>
      <c r="B8" s="947"/>
      <c r="C8" s="947"/>
      <c r="D8" s="240"/>
      <c r="G8" s="4"/>
      <c r="I8" s="1"/>
    </row>
    <row r="9" spans="1:10" ht="13.5" thickBot="1" x14ac:dyDescent="0.25">
      <c r="I9" s="44"/>
    </row>
    <row r="10" spans="1:10" ht="12.75" customHeight="1" x14ac:dyDescent="0.2">
      <c r="A10" s="1007" t="s">
        <v>114</v>
      </c>
      <c r="B10" s="1005" t="s">
        <v>75</v>
      </c>
      <c r="C10" s="993" t="s">
        <v>76</v>
      </c>
      <c r="D10" s="1010" t="s">
        <v>77</v>
      </c>
      <c r="E10" s="1009" t="s">
        <v>78</v>
      </c>
      <c r="F10" s="1009"/>
      <c r="G10" s="1009"/>
      <c r="H10" s="991" t="s">
        <v>272</v>
      </c>
      <c r="I10" s="995"/>
      <c r="J10" s="995"/>
    </row>
    <row r="11" spans="1:10" ht="57" customHeight="1" thickBot="1" x14ac:dyDescent="0.25">
      <c r="A11" s="1008"/>
      <c r="B11" s="1006"/>
      <c r="C11" s="994"/>
      <c r="D11" s="1011"/>
      <c r="E11" s="431" t="s">
        <v>67</v>
      </c>
      <c r="F11" s="432" t="s">
        <v>68</v>
      </c>
      <c r="G11" s="433" t="s">
        <v>6</v>
      </c>
      <c r="H11" s="992"/>
      <c r="I11" s="995"/>
      <c r="J11" s="995"/>
    </row>
    <row r="12" spans="1:10" ht="12.75" customHeight="1" x14ac:dyDescent="0.2">
      <c r="A12" s="1002" t="str">
        <f>'B) Reajuste Tarifas y Ocupación'!A12:A13</f>
        <v>Jardín Infantil Tortuguita Marina</v>
      </c>
      <c r="B12" s="367"/>
      <c r="C12" s="368" t="s">
        <v>11</v>
      </c>
      <c r="D12" s="369">
        <f>SUM(D13,D18)</f>
        <v>31263215.759999998</v>
      </c>
      <c r="E12" s="393"/>
      <c r="F12" s="393"/>
      <c r="G12" s="371">
        <f>SUM(G13,G18)</f>
        <v>1812000</v>
      </c>
      <c r="H12" s="372">
        <f>SUM(H13,H18)</f>
        <v>33075215.759999998</v>
      </c>
      <c r="I12" s="354"/>
      <c r="J12" s="354"/>
    </row>
    <row r="13" spans="1:10" ht="12.75" customHeight="1" x14ac:dyDescent="0.2">
      <c r="A13" s="1003"/>
      <c r="B13" s="314"/>
      <c r="C13" s="394" t="s">
        <v>12</v>
      </c>
      <c r="D13" s="395">
        <f>SUM(D14:D17)</f>
        <v>31263215.759999998</v>
      </c>
      <c r="E13" s="396"/>
      <c r="F13" s="396"/>
      <c r="G13" s="397">
        <f>SUM(G14:G17)</f>
        <v>0</v>
      </c>
      <c r="H13" s="374">
        <f>SUM(H14:H17)</f>
        <v>31263215.759999998</v>
      </c>
      <c r="I13" s="354"/>
      <c r="J13" s="354"/>
    </row>
    <row r="14" spans="1:10" ht="12.75" customHeight="1" x14ac:dyDescent="0.2">
      <c r="A14" s="1003"/>
      <c r="B14" s="315">
        <v>53103040100000</v>
      </c>
      <c r="C14" s="398" t="s">
        <v>95</v>
      </c>
      <c r="D14" s="399">
        <f>+'F) Remuneraciones'!L11</f>
        <v>31263215.759999998</v>
      </c>
      <c r="E14" s="400">
        <v>0</v>
      </c>
      <c r="F14" s="401">
        <v>0</v>
      </c>
      <c r="G14" s="402">
        <f>E14*F14</f>
        <v>0</v>
      </c>
      <c r="H14" s="403">
        <f>D14+G14</f>
        <v>31263215.759999998</v>
      </c>
      <c r="I14" s="354"/>
      <c r="J14" s="354"/>
    </row>
    <row r="15" spans="1:10" ht="12.75" customHeight="1" x14ac:dyDescent="0.2">
      <c r="A15" s="1003"/>
      <c r="B15" s="315">
        <v>53103050000000</v>
      </c>
      <c r="C15" s="398" t="s">
        <v>169</v>
      </c>
      <c r="D15" s="404">
        <v>0</v>
      </c>
      <c r="E15" s="405">
        <v>0</v>
      </c>
      <c r="F15" s="406">
        <v>0</v>
      </c>
      <c r="G15" s="402">
        <f>E15*F15</f>
        <v>0</v>
      </c>
      <c r="H15" s="403">
        <f>D15+G15</f>
        <v>0</v>
      </c>
      <c r="I15" s="354"/>
      <c r="J15" s="354"/>
    </row>
    <row r="16" spans="1:10" ht="12.75" customHeight="1" x14ac:dyDescent="0.2">
      <c r="A16" s="1003"/>
      <c r="B16" s="316">
        <v>53103040400000</v>
      </c>
      <c r="C16" s="317" t="s">
        <v>170</v>
      </c>
      <c r="D16" s="404">
        <v>0</v>
      </c>
      <c r="E16" s="405">
        <v>0</v>
      </c>
      <c r="F16" s="406">
        <v>0</v>
      </c>
      <c r="G16" s="402">
        <f>E16*F16</f>
        <v>0</v>
      </c>
      <c r="H16" s="403">
        <f>D16+G16</f>
        <v>0</v>
      </c>
      <c r="I16" s="354"/>
      <c r="J16" s="354"/>
    </row>
    <row r="17" spans="1:10" ht="12.75" customHeight="1" x14ac:dyDescent="0.2">
      <c r="A17" s="1003"/>
      <c r="B17" s="315">
        <v>53103080010000</v>
      </c>
      <c r="C17" s="398" t="s">
        <v>171</v>
      </c>
      <c r="D17" s="404">
        <v>0</v>
      </c>
      <c r="E17" s="405">
        <v>0</v>
      </c>
      <c r="F17" s="406">
        <v>0</v>
      </c>
      <c r="G17" s="402">
        <f>E17*F17</f>
        <v>0</v>
      </c>
      <c r="H17" s="403">
        <f>D17+G17</f>
        <v>0</v>
      </c>
      <c r="I17" s="354"/>
      <c r="J17" s="354"/>
    </row>
    <row r="18" spans="1:10" ht="12.75" customHeight="1" x14ac:dyDescent="0.2">
      <c r="A18" s="1003"/>
      <c r="B18" s="314"/>
      <c r="C18" s="394" t="s">
        <v>16</v>
      </c>
      <c r="D18" s="407">
        <f>SUM(D19:D38)</f>
        <v>0</v>
      </c>
      <c r="E18" s="408"/>
      <c r="F18" s="408">
        <v>0</v>
      </c>
      <c r="G18" s="395">
        <f>SUM(G19:G38)</f>
        <v>1812000</v>
      </c>
      <c r="H18" s="374">
        <f>SUM(H19:H38)</f>
        <v>1812000</v>
      </c>
      <c r="I18" s="354"/>
      <c r="J18" s="354"/>
    </row>
    <row r="19" spans="1:10" ht="12.75" customHeight="1" x14ac:dyDescent="0.2">
      <c r="A19" s="1003"/>
      <c r="B19" s="315">
        <v>53201010100000</v>
      </c>
      <c r="C19" s="409" t="s">
        <v>172</v>
      </c>
      <c r="D19" s="410">
        <v>0</v>
      </c>
      <c r="E19" s="405">
        <v>0</v>
      </c>
      <c r="F19" s="406">
        <v>0</v>
      </c>
      <c r="G19" s="402">
        <f t="shared" ref="G19:G38" si="0">E19*F19</f>
        <v>0</v>
      </c>
      <c r="H19" s="403">
        <f t="shared" ref="H19:H38" si="1">D19+G19</f>
        <v>0</v>
      </c>
      <c r="I19" s="354"/>
      <c r="J19" s="354"/>
    </row>
    <row r="20" spans="1:10" ht="12.75" customHeight="1" x14ac:dyDescent="0.2">
      <c r="A20" s="1003"/>
      <c r="B20" s="315">
        <v>53201010100000</v>
      </c>
      <c r="C20" s="409" t="s">
        <v>173</v>
      </c>
      <c r="D20" s="410">
        <v>0</v>
      </c>
      <c r="E20" s="405">
        <v>0</v>
      </c>
      <c r="F20" s="406">
        <v>0</v>
      </c>
      <c r="G20" s="402">
        <f t="shared" si="0"/>
        <v>0</v>
      </c>
      <c r="H20" s="403">
        <f t="shared" si="1"/>
        <v>0</v>
      </c>
      <c r="I20" s="354"/>
      <c r="J20" s="354"/>
    </row>
    <row r="21" spans="1:10" ht="12.75" customHeight="1" x14ac:dyDescent="0.2">
      <c r="A21" s="1003"/>
      <c r="B21" s="315">
        <v>53201010100000</v>
      </c>
      <c r="C21" s="409" t="s">
        <v>174</v>
      </c>
      <c r="D21" s="410">
        <v>0</v>
      </c>
      <c r="E21" s="405">
        <v>0</v>
      </c>
      <c r="F21" s="411">
        <v>0</v>
      </c>
      <c r="G21" s="402">
        <f t="shared" si="0"/>
        <v>0</v>
      </c>
      <c r="H21" s="403">
        <f t="shared" si="1"/>
        <v>0</v>
      </c>
      <c r="I21" s="354"/>
      <c r="J21" s="354"/>
    </row>
    <row r="22" spans="1:10" ht="12.75" customHeight="1" x14ac:dyDescent="0.2">
      <c r="A22" s="1003"/>
      <c r="B22" s="315">
        <v>53202010100000</v>
      </c>
      <c r="C22" s="398" t="s">
        <v>175</v>
      </c>
      <c r="D22" s="412">
        <v>0</v>
      </c>
      <c r="E22" s="412">
        <v>0</v>
      </c>
      <c r="F22" s="413">
        <v>0</v>
      </c>
      <c r="G22" s="402">
        <f t="shared" si="0"/>
        <v>0</v>
      </c>
      <c r="H22" s="403">
        <f t="shared" si="1"/>
        <v>0</v>
      </c>
      <c r="I22" s="354"/>
      <c r="J22" s="354"/>
    </row>
    <row r="23" spans="1:10" ht="12.75" customHeight="1" x14ac:dyDescent="0.2">
      <c r="A23" s="1003"/>
      <c r="B23" s="315">
        <v>53203010100000</v>
      </c>
      <c r="C23" s="398" t="s">
        <v>19</v>
      </c>
      <c r="D23" s="414">
        <v>0</v>
      </c>
      <c r="E23" s="414">
        <v>0</v>
      </c>
      <c r="F23" s="415">
        <v>0</v>
      </c>
      <c r="G23" s="402">
        <f t="shared" si="0"/>
        <v>0</v>
      </c>
      <c r="H23" s="403">
        <f t="shared" si="1"/>
        <v>0</v>
      </c>
      <c r="I23" s="354"/>
      <c r="J23" s="354"/>
    </row>
    <row r="24" spans="1:10" ht="12.75" customHeight="1" x14ac:dyDescent="0.2">
      <c r="A24" s="1003"/>
      <c r="B24" s="315">
        <v>53203030000000</v>
      </c>
      <c r="C24" s="398" t="s">
        <v>176</v>
      </c>
      <c r="D24" s="414">
        <v>0</v>
      </c>
      <c r="E24" s="414">
        <v>0</v>
      </c>
      <c r="F24" s="415">
        <v>0</v>
      </c>
      <c r="G24" s="402">
        <f t="shared" si="0"/>
        <v>0</v>
      </c>
      <c r="H24" s="403">
        <f t="shared" si="1"/>
        <v>0</v>
      </c>
      <c r="I24" s="354"/>
      <c r="J24" s="354"/>
    </row>
    <row r="25" spans="1:10" ht="12.75" customHeight="1" x14ac:dyDescent="0.2">
      <c r="A25" s="1003"/>
      <c r="B25" s="315">
        <v>53204030000000</v>
      </c>
      <c r="C25" s="398" t="s">
        <v>218</v>
      </c>
      <c r="D25" s="414">
        <v>0</v>
      </c>
      <c r="E25" s="414">
        <v>15000</v>
      </c>
      <c r="F25" s="415">
        <v>4</v>
      </c>
      <c r="G25" s="402">
        <f t="shared" si="0"/>
        <v>60000</v>
      </c>
      <c r="H25" s="403">
        <f>D25+G25</f>
        <v>60000</v>
      </c>
      <c r="I25" s="354"/>
      <c r="J25" s="354"/>
    </row>
    <row r="26" spans="1:10" ht="12.75" customHeight="1" x14ac:dyDescent="0.2">
      <c r="A26" s="1003"/>
      <c r="B26" s="315">
        <v>53204100100001</v>
      </c>
      <c r="C26" s="398" t="s">
        <v>22</v>
      </c>
      <c r="D26" s="414">
        <v>0</v>
      </c>
      <c r="E26" s="414">
        <v>0</v>
      </c>
      <c r="F26" s="415">
        <v>0</v>
      </c>
      <c r="G26" s="402">
        <f t="shared" si="0"/>
        <v>0</v>
      </c>
      <c r="H26" s="403">
        <f t="shared" si="1"/>
        <v>0</v>
      </c>
      <c r="I26" s="354"/>
      <c r="J26" s="354"/>
    </row>
    <row r="27" spans="1:10" ht="12.75" customHeight="1" x14ac:dyDescent="0.2">
      <c r="A27" s="1003"/>
      <c r="B27" s="315">
        <v>53204130100000</v>
      </c>
      <c r="C27" s="398" t="s">
        <v>178</v>
      </c>
      <c r="D27" s="414">
        <v>0</v>
      </c>
      <c r="E27" s="414">
        <v>0</v>
      </c>
      <c r="F27" s="415">
        <v>0</v>
      </c>
      <c r="G27" s="402">
        <f t="shared" si="0"/>
        <v>0</v>
      </c>
      <c r="H27" s="403">
        <f t="shared" si="1"/>
        <v>0</v>
      </c>
      <c r="I27" s="354"/>
      <c r="J27" s="354"/>
    </row>
    <row r="28" spans="1:10" ht="12.75" customHeight="1" x14ac:dyDescent="0.2">
      <c r="A28" s="1003"/>
      <c r="B28" s="315">
        <v>53205010100000</v>
      </c>
      <c r="C28" s="398" t="s">
        <v>24</v>
      </c>
      <c r="D28" s="414">
        <v>0</v>
      </c>
      <c r="E28" s="414">
        <v>0</v>
      </c>
      <c r="F28" s="415">
        <v>0</v>
      </c>
      <c r="G28" s="402">
        <f t="shared" si="0"/>
        <v>0</v>
      </c>
      <c r="H28" s="403">
        <f t="shared" si="1"/>
        <v>0</v>
      </c>
      <c r="I28" s="354"/>
      <c r="J28" s="354"/>
    </row>
    <row r="29" spans="1:10" ht="12.75" customHeight="1" x14ac:dyDescent="0.2">
      <c r="A29" s="1003"/>
      <c r="B29" s="315">
        <v>53205020100000</v>
      </c>
      <c r="C29" s="398" t="s">
        <v>25</v>
      </c>
      <c r="D29" s="414">
        <v>0</v>
      </c>
      <c r="E29" s="414">
        <v>3000</v>
      </c>
      <c r="F29" s="415">
        <v>40</v>
      </c>
      <c r="G29" s="402">
        <f t="shared" si="0"/>
        <v>120000</v>
      </c>
      <c r="H29" s="403">
        <f t="shared" si="1"/>
        <v>120000</v>
      </c>
      <c r="I29" s="354"/>
      <c r="J29" s="354"/>
    </row>
    <row r="30" spans="1:10" ht="12.75" customHeight="1" x14ac:dyDescent="0.2">
      <c r="A30" s="1003"/>
      <c r="B30" s="315">
        <v>53205030100000</v>
      </c>
      <c r="C30" s="398" t="s">
        <v>26</v>
      </c>
      <c r="D30" s="414">
        <v>0</v>
      </c>
      <c r="E30" s="414">
        <v>51000</v>
      </c>
      <c r="F30" s="415">
        <v>32</v>
      </c>
      <c r="G30" s="402">
        <f t="shared" si="0"/>
        <v>1632000</v>
      </c>
      <c r="H30" s="403">
        <f t="shared" si="1"/>
        <v>1632000</v>
      </c>
      <c r="I30" s="354"/>
      <c r="J30" s="354"/>
    </row>
    <row r="31" spans="1:10" ht="12.75" customHeight="1" x14ac:dyDescent="0.2">
      <c r="A31" s="1003"/>
      <c r="B31" s="315">
        <v>53205050100000</v>
      </c>
      <c r="C31" s="398" t="s">
        <v>27</v>
      </c>
      <c r="D31" s="414">
        <v>0</v>
      </c>
      <c r="E31" s="414">
        <v>0</v>
      </c>
      <c r="F31" s="415">
        <v>0</v>
      </c>
      <c r="G31" s="402">
        <f t="shared" si="0"/>
        <v>0</v>
      </c>
      <c r="H31" s="403">
        <f t="shared" si="1"/>
        <v>0</v>
      </c>
      <c r="I31" s="354"/>
      <c r="J31" s="354"/>
    </row>
    <row r="32" spans="1:10" ht="12.75" customHeight="1" x14ac:dyDescent="0.2">
      <c r="A32" s="1003"/>
      <c r="B32" s="315">
        <v>53205070100000</v>
      </c>
      <c r="C32" s="398" t="s">
        <v>29</v>
      </c>
      <c r="D32" s="414">
        <v>0</v>
      </c>
      <c r="E32" s="414">
        <v>0</v>
      </c>
      <c r="F32" s="415">
        <v>12</v>
      </c>
      <c r="G32" s="402">
        <f t="shared" si="0"/>
        <v>0</v>
      </c>
      <c r="H32" s="403">
        <f t="shared" si="1"/>
        <v>0</v>
      </c>
      <c r="I32" s="354"/>
      <c r="J32" s="354"/>
    </row>
    <row r="33" spans="1:10" ht="12.75" customHeight="1" x14ac:dyDescent="0.2">
      <c r="A33" s="1003"/>
      <c r="B33" s="315">
        <v>53208010100000</v>
      </c>
      <c r="C33" s="398" t="s">
        <v>30</v>
      </c>
      <c r="D33" s="414">
        <v>0</v>
      </c>
      <c r="E33" s="414">
        <v>0</v>
      </c>
      <c r="F33" s="415">
        <v>0</v>
      </c>
      <c r="G33" s="402">
        <f t="shared" si="0"/>
        <v>0</v>
      </c>
      <c r="H33" s="403">
        <f t="shared" si="1"/>
        <v>0</v>
      </c>
      <c r="I33" s="354"/>
      <c r="J33" s="354"/>
    </row>
    <row r="34" spans="1:10" ht="12.75" customHeight="1" x14ac:dyDescent="0.2">
      <c r="A34" s="1003"/>
      <c r="B34" s="315">
        <v>53208070100001</v>
      </c>
      <c r="C34" s="398" t="s">
        <v>31</v>
      </c>
      <c r="D34" s="416">
        <v>0</v>
      </c>
      <c r="E34" s="416">
        <v>0</v>
      </c>
      <c r="F34" s="413">
        <v>0</v>
      </c>
      <c r="G34" s="402">
        <f t="shared" si="0"/>
        <v>0</v>
      </c>
      <c r="H34" s="403">
        <f t="shared" si="1"/>
        <v>0</v>
      </c>
      <c r="I34" s="354"/>
      <c r="J34" s="354"/>
    </row>
    <row r="35" spans="1:10" ht="12.75" customHeight="1" x14ac:dyDescent="0.2">
      <c r="A35" s="1003"/>
      <c r="B35" s="315">
        <v>53208100100001</v>
      </c>
      <c r="C35" s="398" t="s">
        <v>179</v>
      </c>
      <c r="D35" s="414">
        <v>0</v>
      </c>
      <c r="E35" s="414">
        <v>0</v>
      </c>
      <c r="F35" s="415">
        <v>0</v>
      </c>
      <c r="G35" s="402">
        <f t="shared" si="0"/>
        <v>0</v>
      </c>
      <c r="H35" s="403">
        <f t="shared" si="1"/>
        <v>0</v>
      </c>
      <c r="I35" s="354"/>
      <c r="J35" s="354"/>
    </row>
    <row r="36" spans="1:10" ht="12.75" customHeight="1" x14ac:dyDescent="0.2">
      <c r="A36" s="1003"/>
      <c r="B36" s="315">
        <v>53211030000000</v>
      </c>
      <c r="C36" s="398" t="s">
        <v>32</v>
      </c>
      <c r="D36" s="414">
        <v>0</v>
      </c>
      <c r="E36" s="414">
        <v>0</v>
      </c>
      <c r="F36" s="415">
        <v>0</v>
      </c>
      <c r="G36" s="402">
        <f t="shared" si="0"/>
        <v>0</v>
      </c>
      <c r="H36" s="403">
        <f t="shared" si="1"/>
        <v>0</v>
      </c>
      <c r="I36" s="354"/>
      <c r="J36" s="354"/>
    </row>
    <row r="37" spans="1:10" ht="12.75" customHeight="1" x14ac:dyDescent="0.2">
      <c r="A37" s="1003"/>
      <c r="B37" s="315">
        <v>53212020100000</v>
      </c>
      <c r="C37" s="398" t="s">
        <v>180</v>
      </c>
      <c r="D37" s="414">
        <v>0</v>
      </c>
      <c r="E37" s="414">
        <v>0</v>
      </c>
      <c r="F37" s="415">
        <v>0</v>
      </c>
      <c r="G37" s="402">
        <f t="shared" si="0"/>
        <v>0</v>
      </c>
      <c r="H37" s="403">
        <f t="shared" si="1"/>
        <v>0</v>
      </c>
      <c r="I37" s="354"/>
      <c r="J37" s="354"/>
    </row>
    <row r="38" spans="1:10" ht="12.75" customHeight="1" x14ac:dyDescent="0.2">
      <c r="A38" s="1003"/>
      <c r="B38" s="315">
        <v>53214020000000</v>
      </c>
      <c r="C38" s="398" t="s">
        <v>181</v>
      </c>
      <c r="D38" s="416">
        <v>0</v>
      </c>
      <c r="E38" s="416">
        <v>0</v>
      </c>
      <c r="F38" s="413">
        <v>0</v>
      </c>
      <c r="G38" s="402">
        <f t="shared" si="0"/>
        <v>0</v>
      </c>
      <c r="H38" s="403">
        <f t="shared" si="1"/>
        <v>0</v>
      </c>
      <c r="I38" s="354"/>
      <c r="J38" s="354"/>
    </row>
    <row r="39" spans="1:10" ht="12.75" customHeight="1" x14ac:dyDescent="0.2">
      <c r="A39" s="1003"/>
      <c r="B39" s="417"/>
      <c r="C39" s="418" t="s">
        <v>34</v>
      </c>
      <c r="D39" s="419">
        <f>+D40+D45+D47+D56+D65+D73</f>
        <v>4046432.59</v>
      </c>
      <c r="E39" s="420"/>
      <c r="F39" s="420"/>
      <c r="G39" s="419">
        <f>+G40+G45+G47+G56+G65+G73</f>
        <v>1482999.9999999998</v>
      </c>
      <c r="H39" s="421">
        <f>+H40+H45+H47+H56+H65+H73</f>
        <v>5529432.5899999999</v>
      </c>
      <c r="I39" s="354"/>
      <c r="J39" s="354"/>
    </row>
    <row r="40" spans="1:10" ht="12.75" customHeight="1" x14ac:dyDescent="0.2">
      <c r="A40" s="1003"/>
      <c r="B40" s="314"/>
      <c r="C40" s="394" t="s">
        <v>35</v>
      </c>
      <c r="D40" s="407">
        <f>SUM(D41:D44)</f>
        <v>0</v>
      </c>
      <c r="E40" s="422"/>
      <c r="F40" s="422"/>
      <c r="G40" s="423">
        <f>SUM(G41:G44)</f>
        <v>220000</v>
      </c>
      <c r="H40" s="424">
        <f>SUM(H41:H44)</f>
        <v>220000</v>
      </c>
      <c r="I40" s="354"/>
      <c r="J40" s="354"/>
    </row>
    <row r="41" spans="1:10" ht="12.75" customHeight="1" x14ac:dyDescent="0.2">
      <c r="A41" s="1003"/>
      <c r="B41" s="315">
        <v>53202020100000</v>
      </c>
      <c r="C41" s="398" t="s">
        <v>182</v>
      </c>
      <c r="D41" s="404">
        <v>0</v>
      </c>
      <c r="E41" s="405">
        <v>35000</v>
      </c>
      <c r="F41" s="411">
        <v>5</v>
      </c>
      <c r="G41" s="402">
        <f>E41*F41</f>
        <v>175000</v>
      </c>
      <c r="H41" s="403">
        <f t="shared" ref="H41:H74" si="2">D41+G41</f>
        <v>175000</v>
      </c>
      <c r="I41" s="354"/>
      <c r="J41" s="354"/>
    </row>
    <row r="42" spans="1:10" ht="12.75" customHeight="1" x14ac:dyDescent="0.2">
      <c r="A42" s="1003"/>
      <c r="B42" s="315">
        <v>53202030000000</v>
      </c>
      <c r="C42" s="398" t="s">
        <v>183</v>
      </c>
      <c r="D42" s="404">
        <v>0</v>
      </c>
      <c r="E42" s="405">
        <v>45000</v>
      </c>
      <c r="F42" s="411">
        <v>1</v>
      </c>
      <c r="G42" s="402">
        <f t="shared" ref="G42:G74" si="3">E42*F42</f>
        <v>45000</v>
      </c>
      <c r="H42" s="403">
        <f t="shared" si="2"/>
        <v>45000</v>
      </c>
      <c r="I42" s="354"/>
      <c r="J42" s="354"/>
    </row>
    <row r="43" spans="1:10" ht="12.75" customHeight="1" x14ac:dyDescent="0.2">
      <c r="A43" s="1003"/>
      <c r="B43" s="315">
        <v>53211020000000</v>
      </c>
      <c r="C43" s="398" t="s">
        <v>41</v>
      </c>
      <c r="D43" s="414">
        <v>0</v>
      </c>
      <c r="E43" s="414">
        <v>0</v>
      </c>
      <c r="F43" s="415">
        <v>0</v>
      </c>
      <c r="G43" s="402">
        <f t="shared" si="3"/>
        <v>0</v>
      </c>
      <c r="H43" s="403">
        <f t="shared" si="2"/>
        <v>0</v>
      </c>
      <c r="I43" s="354"/>
      <c r="J43" s="354"/>
    </row>
    <row r="44" spans="1:10" ht="12.75" customHeight="1" x14ac:dyDescent="0.2">
      <c r="A44" s="1003"/>
      <c r="B44" s="315">
        <v>53101040600000</v>
      </c>
      <c r="C44" s="398" t="s">
        <v>184</v>
      </c>
      <c r="D44" s="414">
        <v>0</v>
      </c>
      <c r="E44" s="414">
        <v>0</v>
      </c>
      <c r="F44" s="415">
        <v>0</v>
      </c>
      <c r="G44" s="402">
        <f t="shared" si="3"/>
        <v>0</v>
      </c>
      <c r="H44" s="403">
        <f t="shared" si="2"/>
        <v>0</v>
      </c>
      <c r="I44" s="354"/>
      <c r="J44" s="354"/>
    </row>
    <row r="45" spans="1:10" ht="12.75" customHeight="1" x14ac:dyDescent="0.2">
      <c r="A45" s="1003"/>
      <c r="B45" s="314"/>
      <c r="C45" s="394" t="s">
        <v>42</v>
      </c>
      <c r="D45" s="407">
        <f>SUM(D46)</f>
        <v>0</v>
      </c>
      <c r="E45" s="422"/>
      <c r="F45" s="425"/>
      <c r="G45" s="423">
        <f>SUM(G46:G46)</f>
        <v>0</v>
      </c>
      <c r="H45" s="424">
        <f>SUM(H46:H46)</f>
        <v>0</v>
      </c>
      <c r="I45" s="354"/>
      <c r="J45" s="354"/>
    </row>
    <row r="46" spans="1:10" ht="12.75" customHeight="1" x14ac:dyDescent="0.2">
      <c r="A46" s="1003"/>
      <c r="B46" s="318">
        <v>53205990000000</v>
      </c>
      <c r="C46" s="398" t="s">
        <v>44</v>
      </c>
      <c r="D46" s="414">
        <v>0</v>
      </c>
      <c r="E46" s="414">
        <v>0</v>
      </c>
      <c r="F46" s="415">
        <v>0</v>
      </c>
      <c r="G46" s="402">
        <f t="shared" si="3"/>
        <v>0</v>
      </c>
      <c r="H46" s="403">
        <f t="shared" si="2"/>
        <v>0</v>
      </c>
      <c r="I46" s="354"/>
      <c r="J46" s="354"/>
    </row>
    <row r="47" spans="1:10" ht="12.75" customHeight="1" x14ac:dyDescent="0.2">
      <c r="A47" s="1003"/>
      <c r="B47" s="314"/>
      <c r="C47" s="394" t="s">
        <v>45</v>
      </c>
      <c r="D47" s="407">
        <f>SUM(D48:D55)</f>
        <v>1765400</v>
      </c>
      <c r="E47" s="422"/>
      <c r="F47" s="425"/>
      <c r="G47" s="395">
        <f>SUM(G48:G55)</f>
        <v>0</v>
      </c>
      <c r="H47" s="374">
        <f>SUM(H48:H55)</f>
        <v>1765400</v>
      </c>
      <c r="I47" s="354"/>
      <c r="J47" s="354"/>
    </row>
    <row r="48" spans="1:10" ht="12.75" customHeight="1" x14ac:dyDescent="0.2">
      <c r="A48" s="1003"/>
      <c r="B48" s="315">
        <v>53204010000000</v>
      </c>
      <c r="C48" s="398" t="s">
        <v>47</v>
      </c>
      <c r="D48" s="414">
        <v>0</v>
      </c>
      <c r="E48" s="414">
        <v>0</v>
      </c>
      <c r="F48" s="415">
        <v>0</v>
      </c>
      <c r="G48" s="402">
        <f t="shared" si="3"/>
        <v>0</v>
      </c>
      <c r="H48" s="403">
        <f t="shared" si="2"/>
        <v>0</v>
      </c>
      <c r="I48" s="354"/>
      <c r="J48" s="354"/>
    </row>
    <row r="49" spans="1:10" ht="12.75" customHeight="1" x14ac:dyDescent="0.2">
      <c r="A49" s="1003"/>
      <c r="B49" s="318">
        <v>53204040200000</v>
      </c>
      <c r="C49" s="398" t="s">
        <v>219</v>
      </c>
      <c r="D49" s="414">
        <v>500000</v>
      </c>
      <c r="E49" s="414">
        <v>0</v>
      </c>
      <c r="F49" s="415">
        <v>0</v>
      </c>
      <c r="G49" s="402">
        <f t="shared" si="3"/>
        <v>0</v>
      </c>
      <c r="H49" s="403">
        <f t="shared" si="2"/>
        <v>500000</v>
      </c>
      <c r="I49" s="354"/>
      <c r="J49" s="354"/>
    </row>
    <row r="50" spans="1:10" ht="12.75" customHeight="1" x14ac:dyDescent="0.2">
      <c r="A50" s="1003"/>
      <c r="B50" s="315">
        <v>53204060000000</v>
      </c>
      <c r="C50" s="398" t="s">
        <v>49</v>
      </c>
      <c r="D50" s="414">
        <v>0</v>
      </c>
      <c r="E50" s="414">
        <v>0</v>
      </c>
      <c r="F50" s="415">
        <v>0</v>
      </c>
      <c r="G50" s="402">
        <f t="shared" si="3"/>
        <v>0</v>
      </c>
      <c r="H50" s="403">
        <f t="shared" si="2"/>
        <v>0</v>
      </c>
      <c r="I50" s="354"/>
      <c r="J50" s="354"/>
    </row>
    <row r="51" spans="1:10" ht="12.75" customHeight="1" x14ac:dyDescent="0.2">
      <c r="A51" s="1003"/>
      <c r="B51" s="315">
        <v>53204070000000</v>
      </c>
      <c r="C51" s="398" t="s">
        <v>50</v>
      </c>
      <c r="D51" s="414">
        <v>265400</v>
      </c>
      <c r="E51" s="414">
        <v>0</v>
      </c>
      <c r="F51" s="415">
        <v>0</v>
      </c>
      <c r="G51" s="402">
        <f t="shared" si="3"/>
        <v>0</v>
      </c>
      <c r="H51" s="403">
        <f t="shared" si="2"/>
        <v>265400</v>
      </c>
      <c r="I51" s="354"/>
      <c r="J51" s="354"/>
    </row>
    <row r="52" spans="1:10" ht="12.75" customHeight="1" x14ac:dyDescent="0.2">
      <c r="A52" s="1003"/>
      <c r="B52" s="315">
        <v>53204080000000</v>
      </c>
      <c r="C52" s="398" t="s">
        <v>51</v>
      </c>
      <c r="D52" s="414">
        <v>0</v>
      </c>
      <c r="E52" s="414">
        <v>0</v>
      </c>
      <c r="F52" s="415">
        <v>0</v>
      </c>
      <c r="G52" s="402">
        <f t="shared" si="3"/>
        <v>0</v>
      </c>
      <c r="H52" s="403">
        <f t="shared" si="2"/>
        <v>0</v>
      </c>
      <c r="I52" s="354"/>
      <c r="J52" s="354"/>
    </row>
    <row r="53" spans="1:10" ht="12.75" customHeight="1" x14ac:dyDescent="0.2">
      <c r="A53" s="1003"/>
      <c r="B53" s="315">
        <v>53214010000000</v>
      </c>
      <c r="C53" s="398" t="s">
        <v>52</v>
      </c>
      <c r="D53" s="416">
        <v>0</v>
      </c>
      <c r="E53" s="416">
        <v>0</v>
      </c>
      <c r="F53" s="413">
        <v>0</v>
      </c>
      <c r="G53" s="402">
        <f t="shared" si="3"/>
        <v>0</v>
      </c>
      <c r="H53" s="403">
        <f t="shared" si="2"/>
        <v>0</v>
      </c>
      <c r="I53" s="354"/>
      <c r="J53" s="354"/>
    </row>
    <row r="54" spans="1:10" ht="12.75" customHeight="1" x14ac:dyDescent="0.2">
      <c r="A54" s="1003"/>
      <c r="B54" s="315">
        <v>53214040000000</v>
      </c>
      <c r="C54" s="398" t="s">
        <v>185</v>
      </c>
      <c r="D54" s="416">
        <v>0</v>
      </c>
      <c r="E54" s="416">
        <v>0</v>
      </c>
      <c r="F54" s="413">
        <v>0</v>
      </c>
      <c r="G54" s="402">
        <f t="shared" si="3"/>
        <v>0</v>
      </c>
      <c r="H54" s="403">
        <f t="shared" si="2"/>
        <v>0</v>
      </c>
      <c r="I54" s="354"/>
      <c r="J54" s="354"/>
    </row>
    <row r="55" spans="1:10" ht="12.75" customHeight="1" x14ac:dyDescent="0.2">
      <c r="A55" s="1003"/>
      <c r="B55" s="316">
        <v>53204020100000</v>
      </c>
      <c r="C55" s="398" t="s">
        <v>177</v>
      </c>
      <c r="D55" s="414">
        <v>1000000</v>
      </c>
      <c r="E55" s="414">
        <v>0</v>
      </c>
      <c r="F55" s="415">
        <v>0</v>
      </c>
      <c r="G55" s="402">
        <f t="shared" si="3"/>
        <v>0</v>
      </c>
      <c r="H55" s="403">
        <f t="shared" si="2"/>
        <v>1000000</v>
      </c>
      <c r="I55" s="354"/>
      <c r="J55" s="354"/>
    </row>
    <row r="56" spans="1:10" ht="12.75" customHeight="1" x14ac:dyDescent="0.2">
      <c r="A56" s="1003"/>
      <c r="B56" s="314"/>
      <c r="C56" s="394" t="s">
        <v>55</v>
      </c>
      <c r="D56" s="407">
        <f>SUM(D57:D64)</f>
        <v>820993.59</v>
      </c>
      <c r="E56" s="422"/>
      <c r="F56" s="425"/>
      <c r="G56" s="395">
        <f>SUM(G57:G64)</f>
        <v>1262999.9999999998</v>
      </c>
      <c r="H56" s="374">
        <f>SUM(H57:H64)</f>
        <v>2083993.5899999999</v>
      </c>
      <c r="I56" s="354"/>
      <c r="J56" s="354"/>
    </row>
    <row r="57" spans="1:10" ht="12.75" customHeight="1" x14ac:dyDescent="0.2">
      <c r="A57" s="1003"/>
      <c r="B57" s="315">
        <v>53207010000000</v>
      </c>
      <c r="C57" s="398" t="s">
        <v>56</v>
      </c>
      <c r="D57" s="414">
        <v>0</v>
      </c>
      <c r="E57" s="414">
        <v>0</v>
      </c>
      <c r="F57" s="415">
        <v>0</v>
      </c>
      <c r="G57" s="402">
        <f t="shared" si="3"/>
        <v>0</v>
      </c>
      <c r="H57" s="403">
        <f t="shared" si="2"/>
        <v>0</v>
      </c>
      <c r="I57" s="354"/>
      <c r="J57" s="354"/>
    </row>
    <row r="58" spans="1:10" ht="12.75" customHeight="1" x14ac:dyDescent="0.2">
      <c r="A58" s="1003"/>
      <c r="B58" s="315">
        <v>53207020000000</v>
      </c>
      <c r="C58" s="398" t="s">
        <v>57</v>
      </c>
      <c r="D58" s="414">
        <v>0</v>
      </c>
      <c r="E58" s="414">
        <v>0</v>
      </c>
      <c r="F58" s="415">
        <v>0</v>
      </c>
      <c r="G58" s="402">
        <f t="shared" si="3"/>
        <v>0</v>
      </c>
      <c r="H58" s="403">
        <f t="shared" si="2"/>
        <v>0</v>
      </c>
      <c r="I58" s="354"/>
      <c r="J58" s="354"/>
    </row>
    <row r="59" spans="1:10" ht="12.75" customHeight="1" x14ac:dyDescent="0.2">
      <c r="A59" s="1003"/>
      <c r="B59" s="315">
        <v>53208020000000</v>
      </c>
      <c r="C59" s="398" t="s">
        <v>168</v>
      </c>
      <c r="D59" s="414">
        <v>0</v>
      </c>
      <c r="E59" s="414">
        <v>0</v>
      </c>
      <c r="F59" s="415">
        <v>0</v>
      </c>
      <c r="G59" s="402">
        <f t="shared" si="3"/>
        <v>0</v>
      </c>
      <c r="H59" s="403">
        <f t="shared" si="2"/>
        <v>0</v>
      </c>
      <c r="I59" s="354"/>
      <c r="J59" s="354"/>
    </row>
    <row r="60" spans="1:10" ht="12.75" customHeight="1" x14ac:dyDescent="0.2">
      <c r="A60" s="1003"/>
      <c r="B60" s="315">
        <v>53208990000000</v>
      </c>
      <c r="C60" s="398" t="s">
        <v>186</v>
      </c>
      <c r="D60" s="414">
        <v>0</v>
      </c>
      <c r="E60" s="414">
        <f>75000*1.13</f>
        <v>84749.999999999985</v>
      </c>
      <c r="F60" s="415">
        <v>12</v>
      </c>
      <c r="G60" s="402">
        <f t="shared" si="3"/>
        <v>1016999.9999999998</v>
      </c>
      <c r="H60" s="403">
        <f t="shared" si="2"/>
        <v>1016999.9999999998</v>
      </c>
      <c r="I60" s="354"/>
      <c r="J60" s="354"/>
    </row>
    <row r="61" spans="1:10" ht="12.75" customHeight="1" x14ac:dyDescent="0.2">
      <c r="A61" s="1003"/>
      <c r="B61" s="316">
        <v>53210020300000</v>
      </c>
      <c r="C61" s="398" t="s">
        <v>188</v>
      </c>
      <c r="D61" s="601">
        <v>0</v>
      </c>
      <c r="E61" s="601">
        <v>8200</v>
      </c>
      <c r="F61" s="602">
        <f>+'B) Reajuste Tarifas y Ocupación'!I28</f>
        <v>30</v>
      </c>
      <c r="G61" s="402">
        <f t="shared" si="3"/>
        <v>246000</v>
      </c>
      <c r="H61" s="403">
        <f t="shared" si="2"/>
        <v>246000</v>
      </c>
      <c r="I61" s="354"/>
      <c r="J61" s="354"/>
    </row>
    <row r="62" spans="1:10" ht="12.75" customHeight="1" x14ac:dyDescent="0.2">
      <c r="A62" s="1003"/>
      <c r="B62" s="315">
        <v>53208990000000</v>
      </c>
      <c r="C62" s="398" t="s">
        <v>189</v>
      </c>
      <c r="D62" s="414">
        <v>0</v>
      </c>
      <c r="E62" s="414">
        <v>0</v>
      </c>
      <c r="F62" s="415">
        <v>0</v>
      </c>
      <c r="G62" s="402">
        <f t="shared" si="3"/>
        <v>0</v>
      </c>
      <c r="H62" s="403">
        <f t="shared" si="2"/>
        <v>0</v>
      </c>
      <c r="I62" s="354"/>
      <c r="J62" s="354"/>
    </row>
    <row r="63" spans="1:10" ht="12.75" customHeight="1" x14ac:dyDescent="0.2">
      <c r="A63" s="1003"/>
      <c r="B63" s="315">
        <v>53209990000000</v>
      </c>
      <c r="C63" s="398" t="s">
        <v>187</v>
      </c>
      <c r="D63" s="414">
        <v>0</v>
      </c>
      <c r="E63" s="414">
        <v>0</v>
      </c>
      <c r="F63" s="415">
        <v>0</v>
      </c>
      <c r="G63" s="402">
        <f t="shared" si="3"/>
        <v>0</v>
      </c>
      <c r="H63" s="403">
        <f t="shared" si="2"/>
        <v>0</v>
      </c>
      <c r="I63" s="354"/>
      <c r="J63" s="354"/>
    </row>
    <row r="64" spans="1:10" ht="12.75" customHeight="1" x14ac:dyDescent="0.2">
      <c r="A64" s="1003"/>
      <c r="B64" s="315">
        <v>53210020100000</v>
      </c>
      <c r="C64" s="398" t="s">
        <v>64</v>
      </c>
      <c r="D64" s="414">
        <f>726543*1.13</f>
        <v>820993.59</v>
      </c>
      <c r="E64" s="414">
        <v>0</v>
      </c>
      <c r="F64" s="415">
        <v>0</v>
      </c>
      <c r="G64" s="402">
        <f t="shared" si="3"/>
        <v>0</v>
      </c>
      <c r="H64" s="403">
        <f t="shared" si="2"/>
        <v>820993.59</v>
      </c>
      <c r="I64" s="354"/>
      <c r="J64" s="354"/>
    </row>
    <row r="65" spans="1:16" ht="12.75" customHeight="1" x14ac:dyDescent="0.2">
      <c r="A65" s="1003"/>
      <c r="B65" s="314"/>
      <c r="C65" s="394" t="s">
        <v>65</v>
      </c>
      <c r="D65" s="407">
        <f>SUM(D66:D72)</f>
        <v>1460039</v>
      </c>
      <c r="E65" s="422"/>
      <c r="F65" s="425"/>
      <c r="G65" s="395">
        <f>SUM(G66:G72)</f>
        <v>0</v>
      </c>
      <c r="H65" s="374">
        <f>SUM(H66:H72)</f>
        <v>1460039</v>
      </c>
      <c r="I65" s="354"/>
      <c r="J65" s="354"/>
    </row>
    <row r="66" spans="1:16" ht="12.75" customHeight="1" x14ac:dyDescent="0.2">
      <c r="A66" s="1003"/>
      <c r="B66" s="315">
        <v>53206030000000</v>
      </c>
      <c r="C66" s="398" t="s">
        <v>99</v>
      </c>
      <c r="D66" s="414">
        <v>0</v>
      </c>
      <c r="E66" s="414">
        <v>0</v>
      </c>
      <c r="F66" s="415">
        <v>0</v>
      </c>
      <c r="G66" s="402">
        <f t="shared" si="3"/>
        <v>0</v>
      </c>
      <c r="H66" s="403">
        <f t="shared" si="2"/>
        <v>0</v>
      </c>
      <c r="I66" s="354"/>
      <c r="J66" s="354"/>
    </row>
    <row r="67" spans="1:16" ht="12.75" customHeight="1" x14ac:dyDescent="0.2">
      <c r="A67" s="1003"/>
      <c r="B67" s="315">
        <v>53206040000000</v>
      </c>
      <c r="C67" s="398" t="s">
        <v>100</v>
      </c>
      <c r="D67" s="414">
        <v>0</v>
      </c>
      <c r="E67" s="414">
        <v>0</v>
      </c>
      <c r="F67" s="415">
        <v>0</v>
      </c>
      <c r="G67" s="402">
        <f t="shared" si="3"/>
        <v>0</v>
      </c>
      <c r="H67" s="403">
        <f t="shared" si="2"/>
        <v>0</v>
      </c>
      <c r="I67" s="354"/>
      <c r="J67" s="354"/>
    </row>
    <row r="68" spans="1:16" ht="12.75" customHeight="1" x14ac:dyDescent="0.2">
      <c r="A68" s="1003"/>
      <c r="B68" s="315">
        <v>53206060000000</v>
      </c>
      <c r="C68" s="398" t="s">
        <v>190</v>
      </c>
      <c r="D68" s="414">
        <v>0</v>
      </c>
      <c r="E68" s="414">
        <v>0</v>
      </c>
      <c r="F68" s="415">
        <v>0</v>
      </c>
      <c r="G68" s="402">
        <f t="shared" si="3"/>
        <v>0</v>
      </c>
      <c r="H68" s="403">
        <f t="shared" si="2"/>
        <v>0</v>
      </c>
      <c r="I68" s="354"/>
      <c r="J68" s="354"/>
    </row>
    <row r="69" spans="1:16" ht="12.75" customHeight="1" x14ac:dyDescent="0.2">
      <c r="A69" s="1003"/>
      <c r="B69" s="315">
        <v>53206070000000</v>
      </c>
      <c r="C69" s="398" t="s">
        <v>102</v>
      </c>
      <c r="D69" s="414">
        <v>0</v>
      </c>
      <c r="E69" s="414">
        <v>0</v>
      </c>
      <c r="F69" s="415">
        <v>0</v>
      </c>
      <c r="G69" s="402">
        <f t="shared" si="3"/>
        <v>0</v>
      </c>
      <c r="H69" s="403">
        <f t="shared" si="2"/>
        <v>0</v>
      </c>
      <c r="I69" s="354"/>
      <c r="J69" s="354"/>
    </row>
    <row r="70" spans="1:16" ht="12.75" customHeight="1" x14ac:dyDescent="0.2">
      <c r="A70" s="1003"/>
      <c r="B70" s="315">
        <v>53206990000000</v>
      </c>
      <c r="C70" s="398" t="s">
        <v>191</v>
      </c>
      <c r="D70" s="414">
        <v>1460039</v>
      </c>
      <c r="E70" s="414">
        <v>0</v>
      </c>
      <c r="F70" s="415">
        <v>0</v>
      </c>
      <c r="G70" s="402">
        <f t="shared" si="3"/>
        <v>0</v>
      </c>
      <c r="H70" s="403">
        <f t="shared" si="2"/>
        <v>1460039</v>
      </c>
      <c r="I70" s="354"/>
      <c r="J70" s="354"/>
    </row>
    <row r="71" spans="1:16" ht="12.75" customHeight="1" x14ac:dyDescent="0.2">
      <c r="A71" s="1003"/>
      <c r="B71" s="315">
        <v>53208030000000</v>
      </c>
      <c r="C71" s="398" t="s">
        <v>104</v>
      </c>
      <c r="D71" s="414">
        <v>0</v>
      </c>
      <c r="E71" s="414">
        <v>0</v>
      </c>
      <c r="F71" s="415">
        <v>0</v>
      </c>
      <c r="G71" s="402">
        <f t="shared" si="3"/>
        <v>0</v>
      </c>
      <c r="H71" s="403">
        <f t="shared" si="2"/>
        <v>0</v>
      </c>
      <c r="I71" s="354"/>
      <c r="J71" s="354"/>
    </row>
    <row r="72" spans="1:16" ht="12.75" customHeight="1" x14ac:dyDescent="0.2">
      <c r="A72" s="1003"/>
      <c r="B72" s="315">
        <v>53206990000000</v>
      </c>
      <c r="C72" s="398" t="s">
        <v>220</v>
      </c>
      <c r="D72" s="414">
        <v>0</v>
      </c>
      <c r="E72" s="414">
        <v>0</v>
      </c>
      <c r="F72" s="415">
        <v>0</v>
      </c>
      <c r="G72" s="402">
        <f t="shared" si="3"/>
        <v>0</v>
      </c>
      <c r="H72" s="403">
        <f t="shared" si="2"/>
        <v>0</v>
      </c>
      <c r="I72" s="354"/>
      <c r="J72" s="354"/>
    </row>
    <row r="73" spans="1:16" ht="12.75" customHeight="1" x14ac:dyDescent="0.2">
      <c r="A73" s="1003"/>
      <c r="B73" s="314"/>
      <c r="C73" s="394" t="s">
        <v>66</v>
      </c>
      <c r="D73" s="407">
        <f>SUM(D74)</f>
        <v>0</v>
      </c>
      <c r="E73" s="422"/>
      <c r="F73" s="422"/>
      <c r="G73" s="395">
        <f>SUM(G74:G74)</f>
        <v>0</v>
      </c>
      <c r="H73" s="374">
        <f>SUM(H74:H74)</f>
        <v>0</v>
      </c>
      <c r="I73" s="354"/>
      <c r="J73" s="354"/>
    </row>
    <row r="74" spans="1:16" ht="12.75" customHeight="1" x14ac:dyDescent="0.2">
      <c r="A74" s="1003"/>
      <c r="B74" s="319"/>
      <c r="C74" s="426" t="s">
        <v>221</v>
      </c>
      <c r="D74" s="404">
        <v>0</v>
      </c>
      <c r="E74" s="404">
        <v>0</v>
      </c>
      <c r="F74" s="406">
        <v>0</v>
      </c>
      <c r="G74" s="402">
        <f t="shared" si="3"/>
        <v>0</v>
      </c>
      <c r="H74" s="427">
        <f t="shared" si="2"/>
        <v>0</v>
      </c>
      <c r="I74" s="391" t="s">
        <v>224</v>
      </c>
      <c r="J74" s="519">
        <f>+H72+H71+H70+H69+H68+H67+H66+H64+H63+H62+H61+H60+H59+H58+H57+H55+H52+H51+H50+H49+H48+H46+H44+H43+H37+H36+H35+H33+H32+H31+H30+H29+H28+H27+H26+H25+H24+H23</f>
        <v>7121432.5899999999</v>
      </c>
    </row>
    <row r="75" spans="1:16" ht="12.75" customHeight="1" thickBot="1" x14ac:dyDescent="0.25">
      <c r="A75" s="1004"/>
      <c r="B75" s="428"/>
      <c r="C75" s="429" t="s">
        <v>105</v>
      </c>
      <c r="D75" s="388">
        <f>SUM(D12,D39)</f>
        <v>35309648.349999994</v>
      </c>
      <c r="E75" s="389"/>
      <c r="F75" s="389"/>
      <c r="G75" s="388">
        <f>SUM(G12,G39)</f>
        <v>3295000</v>
      </c>
      <c r="H75" s="430">
        <f>SUM(H12,H39)</f>
        <v>38604648.349999994</v>
      </c>
      <c r="I75" s="392" t="s">
        <v>225</v>
      </c>
      <c r="J75" s="516">
        <f>+H75-J74</f>
        <v>31483215.759999994</v>
      </c>
    </row>
    <row r="76" spans="1:16" ht="18" customHeight="1" x14ac:dyDescent="0.2">
      <c r="A76" s="1002" t="str">
        <f>'B) Reajuste Tarifas y Ocupación'!A14</f>
        <v>Jardín Infantil Burbujitas de Mar</v>
      </c>
      <c r="B76" s="367"/>
      <c r="C76" s="368" t="s">
        <v>11</v>
      </c>
      <c r="D76" s="369">
        <f>+D77+D82</f>
        <v>39568628.224245235</v>
      </c>
      <c r="E76" s="370"/>
      <c r="F76" s="370"/>
      <c r="G76" s="371">
        <f>SUM(G77,G82)</f>
        <v>1991040</v>
      </c>
      <c r="H76" s="372">
        <f>SUM(H77,H82)</f>
        <v>41559668.224245235</v>
      </c>
      <c r="I76" s="10"/>
      <c r="J76" s="10"/>
      <c r="L76" s="989" t="s">
        <v>223</v>
      </c>
      <c r="M76" s="998" t="s">
        <v>192</v>
      </c>
      <c r="N76" s="987" t="s">
        <v>227</v>
      </c>
      <c r="O76" s="987" t="s">
        <v>217</v>
      </c>
      <c r="P76" s="987" t="s">
        <v>226</v>
      </c>
    </row>
    <row r="77" spans="1:16" x14ac:dyDescent="0.2">
      <c r="A77" s="1003"/>
      <c r="B77" s="314"/>
      <c r="C77" s="355" t="s">
        <v>12</v>
      </c>
      <c r="D77" s="356">
        <f>SUM(D78:D81)</f>
        <v>36622435.119999997</v>
      </c>
      <c r="E77" s="373"/>
      <c r="F77" s="373"/>
      <c r="G77" s="357">
        <f>SUM(G78:G81)</f>
        <v>0</v>
      </c>
      <c r="H77" s="374">
        <f>SUM(H78:H81)</f>
        <v>36622435.119999997</v>
      </c>
      <c r="L77" s="990"/>
      <c r="M77" s="999"/>
      <c r="N77" s="988"/>
      <c r="O77" s="988"/>
      <c r="P77" s="988"/>
    </row>
    <row r="78" spans="1:16" x14ac:dyDescent="0.2">
      <c r="A78" s="1003"/>
      <c r="B78" s="315">
        <v>53103040100000</v>
      </c>
      <c r="C78" s="358" t="s">
        <v>95</v>
      </c>
      <c r="D78" s="359">
        <f>+'F) Remuneraciones'!L19</f>
        <v>36622435.119999997</v>
      </c>
      <c r="E78" s="360">
        <v>0</v>
      </c>
      <c r="F78" s="375">
        <v>0</v>
      </c>
      <c r="G78" s="360">
        <f>E78*F78</f>
        <v>0</v>
      </c>
      <c r="H78" s="376">
        <f>D78+G78</f>
        <v>36622435.119999997</v>
      </c>
      <c r="L78" s="320" t="s">
        <v>11</v>
      </c>
      <c r="M78" s="321"/>
      <c r="N78" s="321"/>
      <c r="O78" s="321"/>
      <c r="P78" s="322"/>
    </row>
    <row r="79" spans="1:16" x14ac:dyDescent="0.2">
      <c r="A79" s="1003"/>
      <c r="B79" s="315">
        <v>53103050000000</v>
      </c>
      <c r="C79" s="358" t="s">
        <v>169</v>
      </c>
      <c r="D79" s="361">
        <v>0</v>
      </c>
      <c r="E79" s="362">
        <v>0</v>
      </c>
      <c r="F79" s="363">
        <v>0</v>
      </c>
      <c r="G79" s="360">
        <f>E79*F79</f>
        <v>0</v>
      </c>
      <c r="H79" s="376">
        <f>D79+G79</f>
        <v>0</v>
      </c>
      <c r="L79" s="330" t="s">
        <v>16</v>
      </c>
      <c r="M79" s="323"/>
      <c r="N79" s="324"/>
      <c r="O79" s="324"/>
      <c r="P79" s="325"/>
    </row>
    <row r="80" spans="1:16" x14ac:dyDescent="0.2">
      <c r="A80" s="1003"/>
      <c r="B80" s="316">
        <v>53103040400000</v>
      </c>
      <c r="C80" s="317" t="s">
        <v>170</v>
      </c>
      <c r="D80" s="361">
        <v>0</v>
      </c>
      <c r="E80" s="362">
        <v>0</v>
      </c>
      <c r="F80" s="363">
        <v>0</v>
      </c>
      <c r="G80" s="360">
        <f>E80*F80</f>
        <v>0</v>
      </c>
      <c r="H80" s="376">
        <f>D80+G80</f>
        <v>0</v>
      </c>
      <c r="I80" s="878"/>
      <c r="L80" s="332" t="s">
        <v>175</v>
      </c>
      <c r="M80" s="326">
        <v>0</v>
      </c>
      <c r="N80" s="327">
        <f>+M80*0.6</f>
        <v>0</v>
      </c>
      <c r="O80" s="327">
        <f>+M80*0.2</f>
        <v>0</v>
      </c>
      <c r="P80" s="328">
        <f>+M80*0.2</f>
        <v>0</v>
      </c>
    </row>
    <row r="81" spans="1:16" x14ac:dyDescent="0.2">
      <c r="A81" s="1003"/>
      <c r="B81" s="315">
        <v>53103080010000</v>
      </c>
      <c r="C81" s="358" t="s">
        <v>171</v>
      </c>
      <c r="D81" s="361">
        <v>0</v>
      </c>
      <c r="E81" s="362">
        <v>0</v>
      </c>
      <c r="F81" s="363">
        <v>0</v>
      </c>
      <c r="G81" s="360">
        <f>E81*F81</f>
        <v>0</v>
      </c>
      <c r="H81" s="376">
        <f>D81+G81</f>
        <v>0</v>
      </c>
      <c r="L81" s="332" t="s">
        <v>19</v>
      </c>
      <c r="M81" s="329">
        <v>1086667.4057142856</v>
      </c>
      <c r="N81" s="327">
        <f t="shared" ref="N81:N96" si="4">+M81*0.6</f>
        <v>652000.44342857134</v>
      </c>
      <c r="O81" s="327">
        <f t="shared" ref="O81:O96" si="5">+M81*0.2</f>
        <v>217333.48114285711</v>
      </c>
      <c r="P81" s="328">
        <f t="shared" ref="P81:P96" si="6">+M81*0.2</f>
        <v>217333.48114285711</v>
      </c>
    </row>
    <row r="82" spans="1:16" x14ac:dyDescent="0.2">
      <c r="A82" s="1003"/>
      <c r="B82" s="314"/>
      <c r="C82" s="355" t="s">
        <v>16</v>
      </c>
      <c r="D82" s="356">
        <f>SUM(D83:D102)</f>
        <v>2946193.1042452375</v>
      </c>
      <c r="E82" s="373"/>
      <c r="F82" s="373"/>
      <c r="G82" s="356">
        <f>SUM(G83:G102)</f>
        <v>1991040</v>
      </c>
      <c r="H82" s="374">
        <f>SUM(H83:H102)</f>
        <v>4937233.104245238</v>
      </c>
      <c r="L82" s="332" t="s">
        <v>176</v>
      </c>
      <c r="M82" s="329">
        <v>0</v>
      </c>
      <c r="N82" s="327">
        <f t="shared" si="4"/>
        <v>0</v>
      </c>
      <c r="O82" s="327">
        <f t="shared" si="5"/>
        <v>0</v>
      </c>
      <c r="P82" s="328">
        <f t="shared" si="6"/>
        <v>0</v>
      </c>
    </row>
    <row r="83" spans="1:16" x14ac:dyDescent="0.2">
      <c r="A83" s="1003"/>
      <c r="B83" s="315">
        <v>53201010100000</v>
      </c>
      <c r="C83" s="364" t="s">
        <v>172</v>
      </c>
      <c r="D83" s="361">
        <v>0</v>
      </c>
      <c r="E83" s="362">
        <v>2074</v>
      </c>
      <c r="F83" s="363">
        <v>960</v>
      </c>
      <c r="G83" s="360">
        <f t="shared" ref="G83:G102" si="7">E83*F83</f>
        <v>1991040</v>
      </c>
      <c r="H83" s="376">
        <f t="shared" ref="H83:H88" si="8">D83+G83</f>
        <v>1991040</v>
      </c>
      <c r="L83" s="332" t="s">
        <v>218</v>
      </c>
      <c r="M83" s="329">
        <v>0</v>
      </c>
      <c r="N83" s="327">
        <f t="shared" si="4"/>
        <v>0</v>
      </c>
      <c r="O83" s="327">
        <f t="shared" si="5"/>
        <v>0</v>
      </c>
      <c r="P83" s="328">
        <f t="shared" si="6"/>
        <v>0</v>
      </c>
    </row>
    <row r="84" spans="1:16" x14ac:dyDescent="0.2">
      <c r="A84" s="1003"/>
      <c r="B84" s="315">
        <v>53201010100000</v>
      </c>
      <c r="C84" s="364" t="s">
        <v>173</v>
      </c>
      <c r="D84" s="361">
        <v>0</v>
      </c>
      <c r="E84" s="362"/>
      <c r="F84" s="363"/>
      <c r="G84" s="360">
        <f t="shared" si="7"/>
        <v>0</v>
      </c>
      <c r="H84" s="376">
        <f t="shared" si="8"/>
        <v>0</v>
      </c>
      <c r="L84" s="332" t="s">
        <v>22</v>
      </c>
      <c r="M84" s="329">
        <v>579176.75399999996</v>
      </c>
      <c r="N84" s="327">
        <f t="shared" si="4"/>
        <v>347506.05239999999</v>
      </c>
      <c r="O84" s="327">
        <f t="shared" si="5"/>
        <v>115835.3508</v>
      </c>
      <c r="P84" s="328">
        <f t="shared" si="6"/>
        <v>115835.3508</v>
      </c>
    </row>
    <row r="85" spans="1:16" x14ac:dyDescent="0.2">
      <c r="A85" s="1003"/>
      <c r="B85" s="315">
        <v>53201010100000</v>
      </c>
      <c r="C85" s="364" t="s">
        <v>174</v>
      </c>
      <c r="D85" s="361">
        <v>0</v>
      </c>
      <c r="E85" s="362">
        <v>0</v>
      </c>
      <c r="F85" s="363">
        <v>0</v>
      </c>
      <c r="G85" s="360">
        <f t="shared" si="7"/>
        <v>0</v>
      </c>
      <c r="H85" s="376">
        <f t="shared" si="8"/>
        <v>0</v>
      </c>
      <c r="L85" s="332" t="s">
        <v>178</v>
      </c>
      <c r="M85" s="329">
        <v>0</v>
      </c>
      <c r="N85" s="327">
        <f t="shared" si="4"/>
        <v>0</v>
      </c>
      <c r="O85" s="327">
        <f t="shared" si="5"/>
        <v>0</v>
      </c>
      <c r="P85" s="328">
        <f t="shared" si="6"/>
        <v>0</v>
      </c>
    </row>
    <row r="86" spans="1:16" x14ac:dyDescent="0.2">
      <c r="A86" s="1003"/>
      <c r="B86" s="315">
        <v>53202010100000</v>
      </c>
      <c r="C86" s="358" t="s">
        <v>175</v>
      </c>
      <c r="D86" s="360">
        <f>+P80</f>
        <v>0</v>
      </c>
      <c r="E86" s="360">
        <v>0</v>
      </c>
      <c r="F86" s="434">
        <v>0</v>
      </c>
      <c r="G86" s="360">
        <f t="shared" si="7"/>
        <v>0</v>
      </c>
      <c r="H86" s="376">
        <f t="shared" si="8"/>
        <v>0</v>
      </c>
      <c r="L86" s="332" t="s">
        <v>24</v>
      </c>
      <c r="M86" s="329">
        <v>2751044.8899999997</v>
      </c>
      <c r="N86" s="327">
        <f t="shared" si="4"/>
        <v>1650626.9339999997</v>
      </c>
      <c r="O86" s="327">
        <f t="shared" si="5"/>
        <v>550208.978</v>
      </c>
      <c r="P86" s="328">
        <f t="shared" si="6"/>
        <v>550208.978</v>
      </c>
    </row>
    <row r="87" spans="1:16" x14ac:dyDescent="0.2">
      <c r="A87" s="1003"/>
      <c r="B87" s="315">
        <v>53203010100000</v>
      </c>
      <c r="C87" s="358" t="s">
        <v>19</v>
      </c>
      <c r="D87" s="360">
        <f t="shared" ref="D87:D102" si="9">+P81</f>
        <v>217333.48114285711</v>
      </c>
      <c r="E87" s="360">
        <v>0</v>
      </c>
      <c r="F87" s="434">
        <v>0</v>
      </c>
      <c r="G87" s="360">
        <f t="shared" si="7"/>
        <v>0</v>
      </c>
      <c r="H87" s="376">
        <f t="shared" si="8"/>
        <v>217333.48114285711</v>
      </c>
      <c r="L87" s="332" t="s">
        <v>25</v>
      </c>
      <c r="M87" s="329">
        <v>578430.05000000005</v>
      </c>
      <c r="N87" s="327">
        <f t="shared" si="4"/>
        <v>347058.03</v>
      </c>
      <c r="O87" s="327">
        <f t="shared" si="5"/>
        <v>115686.01000000001</v>
      </c>
      <c r="P87" s="328">
        <f t="shared" si="6"/>
        <v>115686.01000000001</v>
      </c>
    </row>
    <row r="88" spans="1:16" x14ac:dyDescent="0.2">
      <c r="A88" s="1003"/>
      <c r="B88" s="315">
        <v>53203030000000</v>
      </c>
      <c r="C88" s="358" t="s">
        <v>176</v>
      </c>
      <c r="D88" s="360">
        <f t="shared" si="9"/>
        <v>0</v>
      </c>
      <c r="E88" s="360">
        <v>0</v>
      </c>
      <c r="F88" s="434">
        <v>0</v>
      </c>
      <c r="G88" s="360">
        <f t="shared" si="7"/>
        <v>0</v>
      </c>
      <c r="H88" s="376">
        <f t="shared" si="8"/>
        <v>0</v>
      </c>
      <c r="L88" s="332" t="s">
        <v>26</v>
      </c>
      <c r="M88" s="329">
        <v>2915382.552083333</v>
      </c>
      <c r="N88" s="327">
        <f t="shared" si="4"/>
        <v>1749229.5312499998</v>
      </c>
      <c r="O88" s="327">
        <f t="shared" si="5"/>
        <v>583076.51041666663</v>
      </c>
      <c r="P88" s="328">
        <f t="shared" si="6"/>
        <v>583076.51041666663</v>
      </c>
    </row>
    <row r="89" spans="1:16" x14ac:dyDescent="0.2">
      <c r="A89" s="1003"/>
      <c r="B89" s="315">
        <v>53204030000000</v>
      </c>
      <c r="C89" s="358" t="s">
        <v>218</v>
      </c>
      <c r="D89" s="360">
        <f t="shared" si="9"/>
        <v>0</v>
      </c>
      <c r="E89" s="360">
        <v>0</v>
      </c>
      <c r="F89" s="434">
        <v>0</v>
      </c>
      <c r="G89" s="360">
        <f t="shared" si="7"/>
        <v>0</v>
      </c>
      <c r="H89" s="376">
        <f>D89+G89</f>
        <v>0</v>
      </c>
      <c r="L89" s="332" t="s">
        <v>27</v>
      </c>
      <c r="M89" s="329">
        <v>110559.42599999999</v>
      </c>
      <c r="N89" s="327">
        <f t="shared" si="4"/>
        <v>66335.655599999998</v>
      </c>
      <c r="O89" s="327">
        <f t="shared" si="5"/>
        <v>22111.885200000001</v>
      </c>
      <c r="P89" s="328">
        <f t="shared" si="6"/>
        <v>22111.885200000001</v>
      </c>
    </row>
    <row r="90" spans="1:16" x14ac:dyDescent="0.2">
      <c r="A90" s="1003"/>
      <c r="B90" s="315">
        <v>53204100100001</v>
      </c>
      <c r="C90" s="358" t="s">
        <v>22</v>
      </c>
      <c r="D90" s="360">
        <f t="shared" si="9"/>
        <v>115835.3508</v>
      </c>
      <c r="E90" s="360">
        <v>0</v>
      </c>
      <c r="F90" s="434">
        <v>0</v>
      </c>
      <c r="G90" s="360">
        <f t="shared" si="7"/>
        <v>0</v>
      </c>
      <c r="H90" s="376">
        <f t="shared" ref="H90:H102" si="10">D90+G90</f>
        <v>115835.3508</v>
      </c>
      <c r="L90" s="332" t="s">
        <v>29</v>
      </c>
      <c r="M90" s="329">
        <v>353305.8</v>
      </c>
      <c r="N90" s="327">
        <f t="shared" si="4"/>
        <v>211983.47999999998</v>
      </c>
      <c r="O90" s="327">
        <f t="shared" si="5"/>
        <v>70661.16</v>
      </c>
      <c r="P90" s="328">
        <f t="shared" si="6"/>
        <v>70661.16</v>
      </c>
    </row>
    <row r="91" spans="1:16" x14ac:dyDescent="0.2">
      <c r="A91" s="1003"/>
      <c r="B91" s="315">
        <v>53204130100000</v>
      </c>
      <c r="C91" s="358" t="s">
        <v>178</v>
      </c>
      <c r="D91" s="360">
        <f t="shared" si="9"/>
        <v>0</v>
      </c>
      <c r="E91" s="360">
        <v>0</v>
      </c>
      <c r="F91" s="434">
        <v>0</v>
      </c>
      <c r="G91" s="360">
        <f t="shared" si="7"/>
        <v>0</v>
      </c>
      <c r="H91" s="376">
        <f t="shared" si="10"/>
        <v>0</v>
      </c>
      <c r="L91" s="332" t="s">
        <v>30</v>
      </c>
      <c r="M91" s="329">
        <v>0</v>
      </c>
      <c r="N91" s="327">
        <f t="shared" si="4"/>
        <v>0</v>
      </c>
      <c r="O91" s="327">
        <f t="shared" si="5"/>
        <v>0</v>
      </c>
      <c r="P91" s="328">
        <f t="shared" si="6"/>
        <v>0</v>
      </c>
    </row>
    <row r="92" spans="1:16" x14ac:dyDescent="0.2">
      <c r="A92" s="1003"/>
      <c r="B92" s="315">
        <v>53205010100000</v>
      </c>
      <c r="C92" s="358" t="s">
        <v>24</v>
      </c>
      <c r="D92" s="360">
        <f t="shared" si="9"/>
        <v>550208.978</v>
      </c>
      <c r="E92" s="360">
        <v>0</v>
      </c>
      <c r="F92" s="434">
        <v>0</v>
      </c>
      <c r="G92" s="360">
        <f t="shared" si="7"/>
        <v>0</v>
      </c>
      <c r="H92" s="376">
        <f t="shared" si="10"/>
        <v>550208.978</v>
      </c>
      <c r="L92" s="332" t="s">
        <v>31</v>
      </c>
      <c r="M92" s="326">
        <v>4932198.1714285705</v>
      </c>
      <c r="N92" s="327">
        <f t="shared" si="4"/>
        <v>2959318.902857142</v>
      </c>
      <c r="O92" s="327">
        <f t="shared" si="5"/>
        <v>986439.63428571413</v>
      </c>
      <c r="P92" s="328">
        <f t="shared" si="6"/>
        <v>986439.63428571413</v>
      </c>
    </row>
    <row r="93" spans="1:16" x14ac:dyDescent="0.2">
      <c r="A93" s="1003"/>
      <c r="B93" s="315">
        <v>53205020100000</v>
      </c>
      <c r="C93" s="358" t="s">
        <v>25</v>
      </c>
      <c r="D93" s="360">
        <f t="shared" si="9"/>
        <v>115686.01000000001</v>
      </c>
      <c r="E93" s="360">
        <v>0</v>
      </c>
      <c r="F93" s="434">
        <v>0</v>
      </c>
      <c r="G93" s="360">
        <f t="shared" si="7"/>
        <v>0</v>
      </c>
      <c r="H93" s="376">
        <f t="shared" si="10"/>
        <v>115686.01000000001</v>
      </c>
      <c r="L93" s="332" t="s">
        <v>179</v>
      </c>
      <c r="M93" s="329">
        <v>0</v>
      </c>
      <c r="N93" s="327">
        <f t="shared" si="4"/>
        <v>0</v>
      </c>
      <c r="O93" s="327">
        <f t="shared" si="5"/>
        <v>0</v>
      </c>
      <c r="P93" s="328">
        <f t="shared" si="6"/>
        <v>0</v>
      </c>
    </row>
    <row r="94" spans="1:16" x14ac:dyDescent="0.2">
      <c r="A94" s="1003"/>
      <c r="B94" s="315">
        <v>53205030100000</v>
      </c>
      <c r="C94" s="358" t="s">
        <v>26</v>
      </c>
      <c r="D94" s="360">
        <f t="shared" si="9"/>
        <v>583076.51041666663</v>
      </c>
      <c r="E94" s="360">
        <v>0</v>
      </c>
      <c r="F94" s="434">
        <v>0</v>
      </c>
      <c r="G94" s="360">
        <f t="shared" si="7"/>
        <v>0</v>
      </c>
      <c r="H94" s="376">
        <f t="shared" si="10"/>
        <v>583076.51041666663</v>
      </c>
      <c r="L94" s="332" t="s">
        <v>32</v>
      </c>
      <c r="M94" s="329">
        <v>0</v>
      </c>
      <c r="N94" s="327">
        <f t="shared" si="4"/>
        <v>0</v>
      </c>
      <c r="O94" s="327">
        <f t="shared" si="5"/>
        <v>0</v>
      </c>
      <c r="P94" s="328">
        <f t="shared" si="6"/>
        <v>0</v>
      </c>
    </row>
    <row r="95" spans="1:16" x14ac:dyDescent="0.2">
      <c r="A95" s="1003"/>
      <c r="B95" s="315">
        <v>53205050100000</v>
      </c>
      <c r="C95" s="358" t="s">
        <v>27</v>
      </c>
      <c r="D95" s="360">
        <f t="shared" si="9"/>
        <v>22111.885200000001</v>
      </c>
      <c r="E95" s="360">
        <v>0</v>
      </c>
      <c r="F95" s="434">
        <v>0</v>
      </c>
      <c r="G95" s="360">
        <f t="shared" si="7"/>
        <v>0</v>
      </c>
      <c r="H95" s="376">
        <f t="shared" si="10"/>
        <v>22111.885200000001</v>
      </c>
      <c r="L95" s="332" t="s">
        <v>180</v>
      </c>
      <c r="M95" s="329">
        <v>1424200.4719999998</v>
      </c>
      <c r="N95" s="327">
        <f t="shared" si="4"/>
        <v>854520.28319999983</v>
      </c>
      <c r="O95" s="327">
        <f t="shared" si="5"/>
        <v>284840.0944</v>
      </c>
      <c r="P95" s="328">
        <f t="shared" si="6"/>
        <v>284840.0944</v>
      </c>
    </row>
    <row r="96" spans="1:16" x14ac:dyDescent="0.2">
      <c r="A96" s="1003"/>
      <c r="B96" s="315">
        <v>53205070100000</v>
      </c>
      <c r="C96" s="358" t="s">
        <v>29</v>
      </c>
      <c r="D96" s="360">
        <f t="shared" si="9"/>
        <v>70661.16</v>
      </c>
      <c r="E96" s="360">
        <v>0</v>
      </c>
      <c r="F96" s="434">
        <v>0</v>
      </c>
      <c r="G96" s="360">
        <f t="shared" si="7"/>
        <v>0</v>
      </c>
      <c r="H96" s="376">
        <f t="shared" si="10"/>
        <v>70661.16</v>
      </c>
      <c r="L96" s="332" t="s">
        <v>181</v>
      </c>
      <c r="M96" s="326">
        <v>0</v>
      </c>
      <c r="N96" s="327">
        <f t="shared" si="4"/>
        <v>0</v>
      </c>
      <c r="O96" s="327">
        <f t="shared" si="5"/>
        <v>0</v>
      </c>
      <c r="P96" s="328">
        <f t="shared" si="6"/>
        <v>0</v>
      </c>
    </row>
    <row r="97" spans="1:16" x14ac:dyDescent="0.2">
      <c r="A97" s="1003"/>
      <c r="B97" s="315">
        <v>53208010100000</v>
      </c>
      <c r="C97" s="358" t="s">
        <v>30</v>
      </c>
      <c r="D97" s="360">
        <f t="shared" si="9"/>
        <v>0</v>
      </c>
      <c r="E97" s="360">
        <v>0</v>
      </c>
      <c r="F97" s="434">
        <v>0</v>
      </c>
      <c r="G97" s="360">
        <f t="shared" si="7"/>
        <v>0</v>
      </c>
      <c r="H97" s="376">
        <f t="shared" si="10"/>
        <v>0</v>
      </c>
      <c r="L97" s="320" t="s">
        <v>34</v>
      </c>
      <c r="M97" s="1024"/>
      <c r="N97" s="1024"/>
      <c r="O97" s="1024"/>
      <c r="P97" s="1025"/>
    </row>
    <row r="98" spans="1:16" x14ac:dyDescent="0.2">
      <c r="A98" s="1003"/>
      <c r="B98" s="315">
        <v>53208070100001</v>
      </c>
      <c r="C98" s="358" t="s">
        <v>31</v>
      </c>
      <c r="D98" s="360">
        <f t="shared" si="9"/>
        <v>986439.63428571413</v>
      </c>
      <c r="E98" s="360">
        <v>0</v>
      </c>
      <c r="F98" s="434">
        <v>0</v>
      </c>
      <c r="G98" s="360">
        <f t="shared" si="7"/>
        <v>0</v>
      </c>
      <c r="H98" s="376">
        <f t="shared" si="10"/>
        <v>986439.63428571413</v>
      </c>
      <c r="L98" s="330" t="s">
        <v>35</v>
      </c>
      <c r="M98" s="1026"/>
      <c r="N98" s="1027"/>
      <c r="O98" s="1027"/>
      <c r="P98" s="1028"/>
    </row>
    <row r="99" spans="1:16" x14ac:dyDescent="0.2">
      <c r="A99" s="1003"/>
      <c r="B99" s="315">
        <v>53208100100001</v>
      </c>
      <c r="C99" s="358" t="s">
        <v>179</v>
      </c>
      <c r="D99" s="360">
        <f t="shared" si="9"/>
        <v>0</v>
      </c>
      <c r="E99" s="360">
        <v>0</v>
      </c>
      <c r="F99" s="434">
        <v>0</v>
      </c>
      <c r="G99" s="360">
        <f t="shared" si="7"/>
        <v>0</v>
      </c>
      <c r="H99" s="376">
        <f t="shared" si="10"/>
        <v>0</v>
      </c>
      <c r="L99" s="332" t="s">
        <v>41</v>
      </c>
      <c r="M99" s="329">
        <v>800000</v>
      </c>
      <c r="N99" s="327">
        <f>+M99*0.6</f>
        <v>480000</v>
      </c>
      <c r="O99" s="327">
        <f>+M99*0.2</f>
        <v>160000</v>
      </c>
      <c r="P99" s="328">
        <f>+M99*0.2</f>
        <v>160000</v>
      </c>
    </row>
    <row r="100" spans="1:16" x14ac:dyDescent="0.2">
      <c r="A100" s="1003"/>
      <c r="B100" s="315">
        <v>53211030000000</v>
      </c>
      <c r="C100" s="358" t="s">
        <v>32</v>
      </c>
      <c r="D100" s="360">
        <f t="shared" si="9"/>
        <v>0</v>
      </c>
      <c r="E100" s="360">
        <v>0</v>
      </c>
      <c r="F100" s="434">
        <v>0</v>
      </c>
      <c r="G100" s="360">
        <f t="shared" si="7"/>
        <v>0</v>
      </c>
      <c r="H100" s="376">
        <f t="shared" si="10"/>
        <v>0</v>
      </c>
      <c r="L100" s="332" t="s">
        <v>184</v>
      </c>
      <c r="M100" s="329">
        <v>0</v>
      </c>
      <c r="N100" s="327">
        <f>+M100*0.6</f>
        <v>0</v>
      </c>
      <c r="O100" s="327">
        <f>+M100*0.2</f>
        <v>0</v>
      </c>
      <c r="P100" s="328">
        <f>+M100*0.2</f>
        <v>0</v>
      </c>
    </row>
    <row r="101" spans="1:16" x14ac:dyDescent="0.2">
      <c r="A101" s="1003"/>
      <c r="B101" s="315">
        <v>53212020100000</v>
      </c>
      <c r="C101" s="358" t="s">
        <v>180</v>
      </c>
      <c r="D101" s="360">
        <f t="shared" si="9"/>
        <v>284840.0944</v>
      </c>
      <c r="E101" s="360">
        <v>0</v>
      </c>
      <c r="F101" s="434">
        <v>0</v>
      </c>
      <c r="G101" s="360">
        <f t="shared" si="7"/>
        <v>0</v>
      </c>
      <c r="H101" s="376">
        <f t="shared" si="10"/>
        <v>284840.0944</v>
      </c>
      <c r="L101" s="330" t="s">
        <v>42</v>
      </c>
      <c r="M101" s="1026"/>
      <c r="N101" s="1027"/>
      <c r="O101" s="1027"/>
      <c r="P101" s="1028"/>
    </row>
    <row r="102" spans="1:16" x14ac:dyDescent="0.2">
      <c r="A102" s="1003"/>
      <c r="B102" s="315">
        <v>53214020000000</v>
      </c>
      <c r="C102" s="358" t="s">
        <v>181</v>
      </c>
      <c r="D102" s="360">
        <f t="shared" si="9"/>
        <v>0</v>
      </c>
      <c r="E102" s="360">
        <v>0</v>
      </c>
      <c r="F102" s="434">
        <v>0</v>
      </c>
      <c r="G102" s="360">
        <f t="shared" si="7"/>
        <v>0</v>
      </c>
      <c r="H102" s="376">
        <f t="shared" si="10"/>
        <v>0</v>
      </c>
      <c r="L102" s="332" t="s">
        <v>44</v>
      </c>
      <c r="M102" s="329">
        <v>0</v>
      </c>
      <c r="N102" s="327">
        <f>+M102*0.6</f>
        <v>0</v>
      </c>
      <c r="O102" s="327">
        <f>+M102*0.2</f>
        <v>0</v>
      </c>
      <c r="P102" s="328">
        <f>+M102*0.2</f>
        <v>0</v>
      </c>
    </row>
    <row r="103" spans="1:16" x14ac:dyDescent="0.2">
      <c r="A103" s="1003"/>
      <c r="B103" s="351"/>
      <c r="C103" s="352" t="s">
        <v>34</v>
      </c>
      <c r="D103" s="353">
        <f>SUM(D104,D109,D111,D120,D129,D137)</f>
        <v>2759244.3512000004</v>
      </c>
      <c r="E103" s="378"/>
      <c r="F103" s="378"/>
      <c r="G103" s="353">
        <f>SUM(G104,G109,G111,G120,G129,G137)</f>
        <v>425000</v>
      </c>
      <c r="H103" s="379">
        <f>SUM(H104,H109,H111,H120,H129,H137)</f>
        <v>3184244.3512000004</v>
      </c>
      <c r="L103" s="330" t="s">
        <v>45</v>
      </c>
      <c r="M103" s="1026" t="s">
        <v>222</v>
      </c>
      <c r="N103" s="1027"/>
      <c r="O103" s="1027"/>
      <c r="P103" s="1028"/>
    </row>
    <row r="104" spans="1:16" x14ac:dyDescent="0.2">
      <c r="A104" s="1003"/>
      <c r="B104" s="314"/>
      <c r="C104" s="355" t="s">
        <v>35</v>
      </c>
      <c r="D104" s="356">
        <f>SUM(D105:D108)</f>
        <v>160000</v>
      </c>
      <c r="E104" s="373"/>
      <c r="F104" s="373"/>
      <c r="G104" s="356">
        <f>SUM(G105:G108)</f>
        <v>220000</v>
      </c>
      <c r="H104" s="380">
        <f>SUM(H105:H108)</f>
        <v>380000</v>
      </c>
      <c r="L104" s="332" t="s">
        <v>47</v>
      </c>
      <c r="M104" s="329">
        <v>425725.88571428566</v>
      </c>
      <c r="N104" s="327">
        <f>+M104*0.6</f>
        <v>255435.53142857138</v>
      </c>
      <c r="O104" s="327">
        <f>+M104*0.2</f>
        <v>85145.177142857137</v>
      </c>
      <c r="P104" s="328">
        <f>+M104*0.2</f>
        <v>85145.177142857137</v>
      </c>
    </row>
    <row r="105" spans="1:16" x14ac:dyDescent="0.2">
      <c r="A105" s="1003"/>
      <c r="B105" s="315">
        <v>53202020100000</v>
      </c>
      <c r="C105" s="358" t="s">
        <v>182</v>
      </c>
      <c r="D105" s="361">
        <v>0</v>
      </c>
      <c r="E105" s="362">
        <v>35000</v>
      </c>
      <c r="F105" s="381">
        <v>5</v>
      </c>
      <c r="G105" s="360">
        <f>E105*F105</f>
        <v>175000</v>
      </c>
      <c r="H105" s="376">
        <f t="shared" ref="H105:H108" si="11">D105+G105</f>
        <v>175000</v>
      </c>
      <c r="L105" s="332" t="s">
        <v>219</v>
      </c>
      <c r="M105" s="329">
        <v>400000</v>
      </c>
      <c r="N105" s="327">
        <f t="shared" ref="N105:N111" si="12">+M105*0.6</f>
        <v>240000</v>
      </c>
      <c r="O105" s="327">
        <f t="shared" ref="O105:O111" si="13">+M105*0.2</f>
        <v>80000</v>
      </c>
      <c r="P105" s="328">
        <f t="shared" ref="P105:P111" si="14">+M105*0.2</f>
        <v>80000</v>
      </c>
    </row>
    <row r="106" spans="1:16" x14ac:dyDescent="0.2">
      <c r="A106" s="1003"/>
      <c r="B106" s="315">
        <v>53202030000000</v>
      </c>
      <c r="C106" s="358" t="s">
        <v>183</v>
      </c>
      <c r="D106" s="361">
        <v>0</v>
      </c>
      <c r="E106" s="362">
        <v>45000</v>
      </c>
      <c r="F106" s="381">
        <v>1</v>
      </c>
      <c r="G106" s="360">
        <f t="shared" ref="G106:G108" si="15">E106*F106</f>
        <v>45000</v>
      </c>
      <c r="H106" s="376">
        <f t="shared" si="11"/>
        <v>45000</v>
      </c>
      <c r="L106" s="332" t="s">
        <v>49</v>
      </c>
      <c r="M106" s="329">
        <v>0</v>
      </c>
      <c r="N106" s="327">
        <f t="shared" si="12"/>
        <v>0</v>
      </c>
      <c r="O106" s="327">
        <f t="shared" si="13"/>
        <v>0</v>
      </c>
      <c r="P106" s="328">
        <f t="shared" si="14"/>
        <v>0</v>
      </c>
    </row>
    <row r="107" spans="1:16" x14ac:dyDescent="0.2">
      <c r="A107" s="1003"/>
      <c r="B107" s="315">
        <v>53211020000000</v>
      </c>
      <c r="C107" s="358" t="s">
        <v>41</v>
      </c>
      <c r="D107" s="382">
        <f>+P99</f>
        <v>160000</v>
      </c>
      <c r="E107" s="382">
        <v>0</v>
      </c>
      <c r="F107" s="383">
        <v>0</v>
      </c>
      <c r="G107" s="360">
        <f t="shared" si="15"/>
        <v>0</v>
      </c>
      <c r="H107" s="376">
        <f t="shared" si="11"/>
        <v>160000</v>
      </c>
      <c r="L107" s="332" t="s">
        <v>50</v>
      </c>
      <c r="M107" s="329">
        <v>2409751.4742857143</v>
      </c>
      <c r="N107" s="327">
        <f t="shared" si="12"/>
        <v>1445850.8845714286</v>
      </c>
      <c r="O107" s="327">
        <f t="shared" si="13"/>
        <v>481950.2948571429</v>
      </c>
      <c r="P107" s="328">
        <f t="shared" si="14"/>
        <v>481950.2948571429</v>
      </c>
    </row>
    <row r="108" spans="1:16" x14ac:dyDescent="0.2">
      <c r="A108" s="1003"/>
      <c r="B108" s="315">
        <v>53101040600000</v>
      </c>
      <c r="C108" s="358" t="s">
        <v>184</v>
      </c>
      <c r="D108" s="382">
        <f>+P100</f>
        <v>0</v>
      </c>
      <c r="E108" s="382">
        <v>0</v>
      </c>
      <c r="F108" s="383">
        <v>0</v>
      </c>
      <c r="G108" s="360">
        <f t="shared" si="15"/>
        <v>0</v>
      </c>
      <c r="H108" s="376">
        <f t="shared" si="11"/>
        <v>0</v>
      </c>
      <c r="L108" s="332" t="s">
        <v>51</v>
      </c>
      <c r="M108" s="329">
        <v>3113714.3220000002</v>
      </c>
      <c r="N108" s="327">
        <f t="shared" si="12"/>
        <v>1868228.5932</v>
      </c>
      <c r="O108" s="327">
        <f t="shared" si="13"/>
        <v>622742.86440000008</v>
      </c>
      <c r="P108" s="328">
        <f t="shared" si="14"/>
        <v>622742.86440000008</v>
      </c>
    </row>
    <row r="109" spans="1:16" x14ac:dyDescent="0.2">
      <c r="A109" s="1003"/>
      <c r="B109" s="314"/>
      <c r="C109" s="355" t="s">
        <v>42</v>
      </c>
      <c r="D109" s="356">
        <f>SUM(D110)</f>
        <v>0</v>
      </c>
      <c r="E109" s="373"/>
      <c r="F109" s="373"/>
      <c r="G109" s="365">
        <f>SUM(G110:G110)</f>
        <v>0</v>
      </c>
      <c r="H109" s="380">
        <f>SUM(H110:H110)</f>
        <v>0</v>
      </c>
      <c r="L109" s="332" t="s">
        <v>52</v>
      </c>
      <c r="M109" s="326">
        <v>0</v>
      </c>
      <c r="N109" s="327">
        <f t="shared" si="12"/>
        <v>0</v>
      </c>
      <c r="O109" s="327">
        <f t="shared" si="13"/>
        <v>0</v>
      </c>
      <c r="P109" s="328">
        <f t="shared" si="14"/>
        <v>0</v>
      </c>
    </row>
    <row r="110" spans="1:16" ht="25.5" x14ac:dyDescent="0.2">
      <c r="A110" s="1003"/>
      <c r="B110" s="318">
        <v>53205990000000</v>
      </c>
      <c r="C110" s="597" t="s">
        <v>44</v>
      </c>
      <c r="D110" s="382">
        <f>+P102</f>
        <v>0</v>
      </c>
      <c r="E110" s="382">
        <v>0</v>
      </c>
      <c r="F110" s="598">
        <v>0</v>
      </c>
      <c r="G110" s="360">
        <f t="shared" ref="G110" si="16">E110*F110</f>
        <v>0</v>
      </c>
      <c r="H110" s="376">
        <f t="shared" ref="H110" si="17">D110+G110</f>
        <v>0</v>
      </c>
      <c r="L110" s="331" t="s">
        <v>185</v>
      </c>
      <c r="M110" s="326">
        <v>0</v>
      </c>
      <c r="N110" s="327">
        <f t="shared" si="12"/>
        <v>0</v>
      </c>
      <c r="O110" s="327">
        <f t="shared" si="13"/>
        <v>0</v>
      </c>
      <c r="P110" s="328">
        <f t="shared" si="14"/>
        <v>0</v>
      </c>
    </row>
    <row r="111" spans="1:16" x14ac:dyDescent="0.2">
      <c r="A111" s="1003"/>
      <c r="B111" s="314"/>
      <c r="C111" s="355" t="s">
        <v>45</v>
      </c>
      <c r="D111" s="356">
        <f>SUM(D112:D119)</f>
        <v>1469838.3364000001</v>
      </c>
      <c r="E111" s="373"/>
      <c r="F111" s="373"/>
      <c r="G111" s="356">
        <f>SUM(G112:G119)</f>
        <v>0</v>
      </c>
      <c r="H111" s="380">
        <f>SUM(H112:H119)</f>
        <v>1469838.3364000001</v>
      </c>
      <c r="L111" s="332" t="s">
        <v>177</v>
      </c>
      <c r="M111" s="329">
        <v>1000000</v>
      </c>
      <c r="N111" s="327">
        <f t="shared" si="12"/>
        <v>600000</v>
      </c>
      <c r="O111" s="327">
        <f t="shared" si="13"/>
        <v>200000</v>
      </c>
      <c r="P111" s="328">
        <f t="shared" si="14"/>
        <v>200000</v>
      </c>
    </row>
    <row r="112" spans="1:16" x14ac:dyDescent="0.2">
      <c r="A112" s="1003"/>
      <c r="B112" s="315">
        <v>53204010000000</v>
      </c>
      <c r="C112" s="358" t="s">
        <v>47</v>
      </c>
      <c r="D112" s="382">
        <f>+P104</f>
        <v>85145.177142857137</v>
      </c>
      <c r="E112" s="382">
        <v>0</v>
      </c>
      <c r="F112" s="383">
        <v>0</v>
      </c>
      <c r="G112" s="382">
        <f t="shared" ref="G112:G119" si="18">E112*F112</f>
        <v>0</v>
      </c>
      <c r="H112" s="376">
        <f t="shared" ref="H112:H119" si="19">D112+G112</f>
        <v>85145.177142857137</v>
      </c>
      <c r="L112" s="330" t="s">
        <v>55</v>
      </c>
      <c r="M112" s="1026"/>
      <c r="N112" s="1027"/>
      <c r="O112" s="1027"/>
      <c r="P112" s="1028"/>
    </row>
    <row r="113" spans="1:16" x14ac:dyDescent="0.2">
      <c r="A113" s="1003"/>
      <c r="B113" s="318">
        <v>53204040200000</v>
      </c>
      <c r="C113" s="358" t="s">
        <v>219</v>
      </c>
      <c r="D113" s="382">
        <f t="shared" ref="D113:D119" si="20">+P105</f>
        <v>80000</v>
      </c>
      <c r="E113" s="382">
        <v>0</v>
      </c>
      <c r="F113" s="383">
        <v>0</v>
      </c>
      <c r="G113" s="382">
        <f t="shared" si="18"/>
        <v>0</v>
      </c>
      <c r="H113" s="376">
        <f t="shared" si="19"/>
        <v>80000</v>
      </c>
      <c r="L113" s="332" t="s">
        <v>56</v>
      </c>
      <c r="M113" s="329">
        <v>0</v>
      </c>
      <c r="N113" s="327">
        <f>+M113*0.6</f>
        <v>0</v>
      </c>
      <c r="O113" s="327">
        <f>+M113*0.2</f>
        <v>0</v>
      </c>
      <c r="P113" s="328">
        <f>+M113*0.2</f>
        <v>0</v>
      </c>
    </row>
    <row r="114" spans="1:16" x14ac:dyDescent="0.2">
      <c r="A114" s="1003"/>
      <c r="B114" s="315">
        <v>53204060000000</v>
      </c>
      <c r="C114" s="358" t="s">
        <v>49</v>
      </c>
      <c r="D114" s="382">
        <f t="shared" si="20"/>
        <v>0</v>
      </c>
      <c r="E114" s="382">
        <v>0</v>
      </c>
      <c r="F114" s="383">
        <v>0</v>
      </c>
      <c r="G114" s="382">
        <f t="shared" si="18"/>
        <v>0</v>
      </c>
      <c r="H114" s="376">
        <f t="shared" si="19"/>
        <v>0</v>
      </c>
      <c r="L114" s="332" t="s">
        <v>57</v>
      </c>
      <c r="M114" s="329">
        <v>0</v>
      </c>
      <c r="N114" s="327">
        <f t="shared" ref="N114:N119" si="21">+M114*0.6</f>
        <v>0</v>
      </c>
      <c r="O114" s="327">
        <f t="shared" ref="O114:O119" si="22">+M114*0.2</f>
        <v>0</v>
      </c>
      <c r="P114" s="328">
        <f t="shared" ref="P114:P119" si="23">+M114*0.2</f>
        <v>0</v>
      </c>
    </row>
    <row r="115" spans="1:16" ht="12.75" customHeight="1" x14ac:dyDescent="0.2">
      <c r="A115" s="1003"/>
      <c r="B115" s="315">
        <v>53204070000000</v>
      </c>
      <c r="C115" s="358" t="s">
        <v>50</v>
      </c>
      <c r="D115" s="382">
        <f t="shared" si="20"/>
        <v>481950.2948571429</v>
      </c>
      <c r="E115" s="382">
        <v>0</v>
      </c>
      <c r="F115" s="383">
        <v>0</v>
      </c>
      <c r="G115" s="382">
        <f t="shared" si="18"/>
        <v>0</v>
      </c>
      <c r="H115" s="376">
        <f t="shared" si="19"/>
        <v>481950.2948571429</v>
      </c>
      <c r="L115" s="332" t="s">
        <v>168</v>
      </c>
      <c r="M115" s="329">
        <v>0</v>
      </c>
      <c r="N115" s="327">
        <f t="shared" si="21"/>
        <v>0</v>
      </c>
      <c r="O115" s="327">
        <f t="shared" si="22"/>
        <v>0</v>
      </c>
      <c r="P115" s="328">
        <f t="shared" si="23"/>
        <v>0</v>
      </c>
    </row>
    <row r="116" spans="1:16" x14ac:dyDescent="0.2">
      <c r="A116" s="1003"/>
      <c r="B116" s="315">
        <v>53204080000000</v>
      </c>
      <c r="C116" s="358" t="s">
        <v>51</v>
      </c>
      <c r="D116" s="382">
        <f t="shared" si="20"/>
        <v>622742.86440000008</v>
      </c>
      <c r="E116" s="382">
        <v>0</v>
      </c>
      <c r="F116" s="383">
        <v>0</v>
      </c>
      <c r="G116" s="382">
        <f t="shared" si="18"/>
        <v>0</v>
      </c>
      <c r="H116" s="376">
        <f t="shared" si="19"/>
        <v>622742.86440000008</v>
      </c>
      <c r="L116" s="332" t="s">
        <v>186</v>
      </c>
      <c r="M116" s="329">
        <f>75000*12*1.13</f>
        <v>1016999.9999999999</v>
      </c>
      <c r="N116" s="327">
        <f t="shared" si="21"/>
        <v>610199.99999999988</v>
      </c>
      <c r="O116" s="327">
        <f t="shared" si="22"/>
        <v>203400</v>
      </c>
      <c r="P116" s="328">
        <f t="shared" si="23"/>
        <v>203400</v>
      </c>
    </row>
    <row r="117" spans="1:16" x14ac:dyDescent="0.2">
      <c r="A117" s="1003"/>
      <c r="B117" s="315">
        <v>53214010000000</v>
      </c>
      <c r="C117" s="358" t="s">
        <v>52</v>
      </c>
      <c r="D117" s="382">
        <f t="shared" si="20"/>
        <v>0</v>
      </c>
      <c r="E117" s="384">
        <v>0</v>
      </c>
      <c r="F117" s="383">
        <v>0</v>
      </c>
      <c r="G117" s="382">
        <f t="shared" si="18"/>
        <v>0</v>
      </c>
      <c r="H117" s="376">
        <f t="shared" si="19"/>
        <v>0</v>
      </c>
      <c r="L117" s="332" t="s">
        <v>189</v>
      </c>
      <c r="M117" s="329">
        <v>164200.07399999996</v>
      </c>
      <c r="N117" s="327">
        <f t="shared" si="21"/>
        <v>98520.04439999997</v>
      </c>
      <c r="O117" s="327">
        <f t="shared" si="22"/>
        <v>32840.014799999997</v>
      </c>
      <c r="P117" s="328">
        <f t="shared" si="23"/>
        <v>32840.014799999997</v>
      </c>
    </row>
    <row r="118" spans="1:16" x14ac:dyDescent="0.2">
      <c r="A118" s="1003"/>
      <c r="B118" s="315">
        <v>53214040000000</v>
      </c>
      <c r="C118" s="358" t="s">
        <v>185</v>
      </c>
      <c r="D118" s="382">
        <f t="shared" si="20"/>
        <v>0</v>
      </c>
      <c r="E118" s="384">
        <v>0</v>
      </c>
      <c r="F118" s="383">
        <v>0</v>
      </c>
      <c r="G118" s="382">
        <f t="shared" si="18"/>
        <v>0</v>
      </c>
      <c r="H118" s="376">
        <f t="shared" si="19"/>
        <v>0</v>
      </c>
      <c r="L118" s="332" t="s">
        <v>187</v>
      </c>
      <c r="M118" s="329">
        <v>0</v>
      </c>
      <c r="N118" s="327">
        <f t="shared" si="21"/>
        <v>0</v>
      </c>
      <c r="O118" s="327">
        <f t="shared" si="22"/>
        <v>0</v>
      </c>
      <c r="P118" s="328">
        <f t="shared" si="23"/>
        <v>0</v>
      </c>
    </row>
    <row r="119" spans="1:16" ht="14.25" customHeight="1" x14ac:dyDescent="0.2">
      <c r="A119" s="1003"/>
      <c r="B119" s="316">
        <v>53204020100000</v>
      </c>
      <c r="C119" s="358" t="s">
        <v>177</v>
      </c>
      <c r="D119" s="382">
        <f t="shared" si="20"/>
        <v>200000</v>
      </c>
      <c r="E119" s="382">
        <v>0</v>
      </c>
      <c r="F119" s="383">
        <v>0</v>
      </c>
      <c r="G119" s="382">
        <f t="shared" si="18"/>
        <v>0</v>
      </c>
      <c r="H119" s="376">
        <f t="shared" si="19"/>
        <v>200000</v>
      </c>
      <c r="L119" s="332" t="s">
        <v>64</v>
      </c>
      <c r="M119" s="738">
        <v>1933374</v>
      </c>
      <c r="N119" s="327">
        <f t="shared" si="21"/>
        <v>1160024.3999999999</v>
      </c>
      <c r="O119" s="327">
        <f t="shared" si="22"/>
        <v>386674.80000000005</v>
      </c>
      <c r="P119" s="328">
        <f t="shared" si="23"/>
        <v>386674.80000000005</v>
      </c>
    </row>
    <row r="120" spans="1:16" x14ac:dyDescent="0.2">
      <c r="A120" s="1003"/>
      <c r="B120" s="314"/>
      <c r="C120" s="355" t="s">
        <v>55</v>
      </c>
      <c r="D120" s="356">
        <f>SUM(D121:D128)</f>
        <v>622914.81480000005</v>
      </c>
      <c r="E120" s="373"/>
      <c r="F120" s="373"/>
      <c r="G120" s="356">
        <f>SUM(G121:G128)</f>
        <v>205000</v>
      </c>
      <c r="H120" s="374">
        <f>SUM(H121:H128)</f>
        <v>827914.81480000005</v>
      </c>
      <c r="L120" s="330" t="s">
        <v>65</v>
      </c>
      <c r="M120" s="1026">
        <v>0</v>
      </c>
      <c r="N120" s="1027"/>
      <c r="O120" s="1027"/>
      <c r="P120" s="1028"/>
    </row>
    <row r="121" spans="1:16" x14ac:dyDescent="0.2">
      <c r="A121" s="1003"/>
      <c r="B121" s="315">
        <v>53207010000000</v>
      </c>
      <c r="C121" s="358" t="s">
        <v>56</v>
      </c>
      <c r="D121" s="382">
        <f>P113</f>
        <v>0</v>
      </c>
      <c r="E121" s="382">
        <v>0</v>
      </c>
      <c r="F121" s="383">
        <v>0</v>
      </c>
      <c r="G121" s="382">
        <f t="shared" ref="G121:G128" si="24">E121*F121</f>
        <v>0</v>
      </c>
      <c r="H121" s="376">
        <f t="shared" ref="H121:H128" si="25">D121+G121</f>
        <v>0</v>
      </c>
      <c r="L121" s="332" t="s">
        <v>99</v>
      </c>
      <c r="M121" s="329">
        <v>0</v>
      </c>
      <c r="N121" s="327">
        <f>+M121*0.6</f>
        <v>0</v>
      </c>
      <c r="O121" s="327">
        <f>+M121*0.2</f>
        <v>0</v>
      </c>
      <c r="P121" s="328">
        <f>+M121*0.2</f>
        <v>0</v>
      </c>
    </row>
    <row r="122" spans="1:16" x14ac:dyDescent="0.2">
      <c r="A122" s="1003"/>
      <c r="B122" s="315">
        <v>53207020000000</v>
      </c>
      <c r="C122" s="358" t="s">
        <v>57</v>
      </c>
      <c r="D122" s="382">
        <f t="shared" ref="D122:D124" si="26">P114</f>
        <v>0</v>
      </c>
      <c r="E122" s="382">
        <v>0</v>
      </c>
      <c r="F122" s="383">
        <v>0</v>
      </c>
      <c r="G122" s="382">
        <f t="shared" si="24"/>
        <v>0</v>
      </c>
      <c r="H122" s="376">
        <f t="shared" si="25"/>
        <v>0</v>
      </c>
      <c r="L122" s="332" t="s">
        <v>100</v>
      </c>
      <c r="M122" s="329">
        <v>0</v>
      </c>
      <c r="N122" s="327">
        <f t="shared" ref="N122:N127" si="27">+M122*0.6</f>
        <v>0</v>
      </c>
      <c r="O122" s="327">
        <f t="shared" ref="O122:O127" si="28">+M122*0.2</f>
        <v>0</v>
      </c>
      <c r="P122" s="328">
        <f t="shared" ref="P122:P127" si="29">+M122*0.2</f>
        <v>0</v>
      </c>
    </row>
    <row r="123" spans="1:16" x14ac:dyDescent="0.2">
      <c r="A123" s="1003"/>
      <c r="B123" s="315">
        <v>53208020000000</v>
      </c>
      <c r="C123" s="358" t="s">
        <v>168</v>
      </c>
      <c r="D123" s="382">
        <f t="shared" si="26"/>
        <v>0</v>
      </c>
      <c r="E123" s="382">
        <v>0</v>
      </c>
      <c r="F123" s="383">
        <v>0</v>
      </c>
      <c r="G123" s="382">
        <f t="shared" si="24"/>
        <v>0</v>
      </c>
      <c r="H123" s="376">
        <f t="shared" si="25"/>
        <v>0</v>
      </c>
      <c r="L123" s="332" t="s">
        <v>190</v>
      </c>
      <c r="M123" s="329">
        <v>0</v>
      </c>
      <c r="N123" s="327">
        <f t="shared" si="27"/>
        <v>0</v>
      </c>
      <c r="O123" s="327">
        <f t="shared" si="28"/>
        <v>0</v>
      </c>
      <c r="P123" s="328">
        <f t="shared" si="29"/>
        <v>0</v>
      </c>
    </row>
    <row r="124" spans="1:16" x14ac:dyDescent="0.2">
      <c r="A124" s="1003"/>
      <c r="B124" s="315">
        <v>53208990000000</v>
      </c>
      <c r="C124" s="358" t="s">
        <v>186</v>
      </c>
      <c r="D124" s="382">
        <f t="shared" si="26"/>
        <v>203400</v>
      </c>
      <c r="E124" s="382">
        <v>0</v>
      </c>
      <c r="F124" s="383">
        <v>0</v>
      </c>
      <c r="G124" s="382">
        <f t="shared" si="24"/>
        <v>0</v>
      </c>
      <c r="H124" s="376">
        <f t="shared" si="25"/>
        <v>203400</v>
      </c>
      <c r="L124" s="332" t="s">
        <v>102</v>
      </c>
      <c r="M124" s="329">
        <v>0</v>
      </c>
      <c r="N124" s="327">
        <f t="shared" si="27"/>
        <v>0</v>
      </c>
      <c r="O124" s="327">
        <f t="shared" si="28"/>
        <v>0</v>
      </c>
      <c r="P124" s="328">
        <f t="shared" si="29"/>
        <v>0</v>
      </c>
    </row>
    <row r="125" spans="1:16" x14ac:dyDescent="0.2">
      <c r="A125" s="1003"/>
      <c r="B125" s="316">
        <v>53210020300000</v>
      </c>
      <c r="C125" s="358" t="s">
        <v>188</v>
      </c>
      <c r="D125" s="599">
        <v>0</v>
      </c>
      <c r="E125" s="599">
        <v>8200</v>
      </c>
      <c r="F125" s="600">
        <f>+'B) Reajuste Tarifas y Ocupación'!I30</f>
        <v>25</v>
      </c>
      <c r="G125" s="360">
        <f t="shared" si="24"/>
        <v>205000</v>
      </c>
      <c r="H125" s="376">
        <f t="shared" si="25"/>
        <v>205000</v>
      </c>
      <c r="L125" s="332" t="s">
        <v>191</v>
      </c>
      <c r="M125" s="329">
        <v>0</v>
      </c>
      <c r="N125" s="327">
        <f t="shared" si="27"/>
        <v>0</v>
      </c>
      <c r="O125" s="327">
        <f t="shared" si="28"/>
        <v>0</v>
      </c>
      <c r="P125" s="328">
        <f t="shared" si="29"/>
        <v>0</v>
      </c>
    </row>
    <row r="126" spans="1:16" x14ac:dyDescent="0.2">
      <c r="A126" s="1003"/>
      <c r="B126" s="315">
        <v>53208990000000</v>
      </c>
      <c r="C126" s="358" t="s">
        <v>189</v>
      </c>
      <c r="D126" s="360">
        <f>P117</f>
        <v>32840.014799999997</v>
      </c>
      <c r="E126" s="360">
        <v>0</v>
      </c>
      <c r="F126" s="377">
        <v>0</v>
      </c>
      <c r="G126" s="360">
        <f t="shared" si="24"/>
        <v>0</v>
      </c>
      <c r="H126" s="376">
        <f t="shared" si="25"/>
        <v>32840.014799999997</v>
      </c>
      <c r="L126" s="332" t="s">
        <v>104</v>
      </c>
      <c r="M126" s="329">
        <v>0</v>
      </c>
      <c r="N126" s="327">
        <f t="shared" si="27"/>
        <v>0</v>
      </c>
      <c r="O126" s="327">
        <f t="shared" si="28"/>
        <v>0</v>
      </c>
      <c r="P126" s="328">
        <f t="shared" si="29"/>
        <v>0</v>
      </c>
    </row>
    <row r="127" spans="1:16" x14ac:dyDescent="0.2">
      <c r="A127" s="1003"/>
      <c r="B127" s="315">
        <v>53209990000000</v>
      </c>
      <c r="C127" s="358" t="s">
        <v>187</v>
      </c>
      <c r="D127" s="360">
        <f t="shared" ref="D127:D128" si="30">P118</f>
        <v>0</v>
      </c>
      <c r="E127" s="360">
        <v>0</v>
      </c>
      <c r="F127" s="377">
        <v>0</v>
      </c>
      <c r="G127" s="360">
        <f t="shared" si="24"/>
        <v>0</v>
      </c>
      <c r="H127" s="376">
        <f t="shared" si="25"/>
        <v>0</v>
      </c>
      <c r="L127" s="332" t="s">
        <v>220</v>
      </c>
      <c r="M127" s="329">
        <v>2532456</v>
      </c>
      <c r="N127" s="327">
        <f t="shared" si="27"/>
        <v>1519473.5999999999</v>
      </c>
      <c r="O127" s="327">
        <f t="shared" si="28"/>
        <v>506491.2</v>
      </c>
      <c r="P127" s="328">
        <f t="shared" si="29"/>
        <v>506491.2</v>
      </c>
    </row>
    <row r="128" spans="1:16" x14ac:dyDescent="0.2">
      <c r="A128" s="1003"/>
      <c r="B128" s="315">
        <v>53210020100000</v>
      </c>
      <c r="C128" s="358" t="s">
        <v>64</v>
      </c>
      <c r="D128" s="360">
        <f t="shared" si="30"/>
        <v>386674.80000000005</v>
      </c>
      <c r="E128" s="360">
        <v>0</v>
      </c>
      <c r="F128" s="377">
        <v>0</v>
      </c>
      <c r="G128" s="360">
        <f t="shared" si="24"/>
        <v>0</v>
      </c>
      <c r="H128" s="376">
        <f t="shared" si="25"/>
        <v>386674.80000000005</v>
      </c>
    </row>
    <row r="129" spans="1:10" x14ac:dyDescent="0.2">
      <c r="A129" s="1003"/>
      <c r="B129" s="314"/>
      <c r="C129" s="355" t="s">
        <v>65</v>
      </c>
      <c r="D129" s="356">
        <f>SUM(D130:D136)</f>
        <v>506491.2</v>
      </c>
      <c r="E129" s="373"/>
      <c r="F129" s="373"/>
      <c r="G129" s="356">
        <f>SUM(G130:G136)</f>
        <v>0</v>
      </c>
      <c r="H129" s="374">
        <f>SUM(H130:H136)</f>
        <v>506491.2</v>
      </c>
    </row>
    <row r="130" spans="1:10" x14ac:dyDescent="0.2">
      <c r="A130" s="1003"/>
      <c r="B130" s="315">
        <v>53206030000000</v>
      </c>
      <c r="C130" s="358" t="s">
        <v>99</v>
      </c>
      <c r="D130" s="382">
        <f>P121</f>
        <v>0</v>
      </c>
      <c r="E130" s="382">
        <v>0</v>
      </c>
      <c r="F130" s="383">
        <v>0</v>
      </c>
      <c r="G130" s="360">
        <f t="shared" ref="G130:G136" si="31">E130*F130</f>
        <v>0</v>
      </c>
      <c r="H130" s="376">
        <f t="shared" ref="H130:H136" si="32">D130+G130</f>
        <v>0</v>
      </c>
    </row>
    <row r="131" spans="1:10" x14ac:dyDescent="0.2">
      <c r="A131" s="1003"/>
      <c r="B131" s="315">
        <v>53206040000000</v>
      </c>
      <c r="C131" s="358" t="s">
        <v>100</v>
      </c>
      <c r="D131" s="382">
        <f t="shared" ref="D131:D136" si="33">P122</f>
        <v>0</v>
      </c>
      <c r="E131" s="382">
        <v>0</v>
      </c>
      <c r="F131" s="383">
        <v>0</v>
      </c>
      <c r="G131" s="360">
        <f t="shared" si="31"/>
        <v>0</v>
      </c>
      <c r="H131" s="376">
        <f t="shared" si="32"/>
        <v>0</v>
      </c>
    </row>
    <row r="132" spans="1:10" x14ac:dyDescent="0.2">
      <c r="A132" s="1003"/>
      <c r="B132" s="315">
        <v>53206060000000</v>
      </c>
      <c r="C132" s="358" t="s">
        <v>190</v>
      </c>
      <c r="D132" s="382">
        <f t="shared" si="33"/>
        <v>0</v>
      </c>
      <c r="E132" s="382">
        <v>0</v>
      </c>
      <c r="F132" s="383">
        <v>0</v>
      </c>
      <c r="G132" s="360">
        <f t="shared" si="31"/>
        <v>0</v>
      </c>
      <c r="H132" s="376">
        <f t="shared" si="32"/>
        <v>0</v>
      </c>
    </row>
    <row r="133" spans="1:10" x14ac:dyDescent="0.2">
      <c r="A133" s="1003"/>
      <c r="B133" s="315">
        <v>53206070000000</v>
      </c>
      <c r="C133" s="358" t="s">
        <v>102</v>
      </c>
      <c r="D133" s="382">
        <f t="shared" si="33"/>
        <v>0</v>
      </c>
      <c r="E133" s="382">
        <v>0</v>
      </c>
      <c r="F133" s="383">
        <v>0</v>
      </c>
      <c r="G133" s="360">
        <f t="shared" si="31"/>
        <v>0</v>
      </c>
      <c r="H133" s="376">
        <f t="shared" si="32"/>
        <v>0</v>
      </c>
    </row>
    <row r="134" spans="1:10" ht="15.75" customHeight="1" x14ac:dyDescent="0.2">
      <c r="A134" s="1003"/>
      <c r="B134" s="315">
        <v>53206990000000</v>
      </c>
      <c r="C134" s="358" t="s">
        <v>191</v>
      </c>
      <c r="D134" s="382">
        <f t="shared" si="33"/>
        <v>0</v>
      </c>
      <c r="E134" s="382">
        <v>0</v>
      </c>
      <c r="F134" s="383">
        <v>0</v>
      </c>
      <c r="G134" s="360">
        <f t="shared" si="31"/>
        <v>0</v>
      </c>
      <c r="H134" s="376">
        <f t="shared" si="32"/>
        <v>0</v>
      </c>
    </row>
    <row r="135" spans="1:10" x14ac:dyDescent="0.2">
      <c r="A135" s="1003"/>
      <c r="B135" s="315">
        <v>53208030000000</v>
      </c>
      <c r="C135" s="358" t="s">
        <v>104</v>
      </c>
      <c r="D135" s="382">
        <f t="shared" si="33"/>
        <v>0</v>
      </c>
      <c r="E135" s="382">
        <v>0</v>
      </c>
      <c r="F135" s="383">
        <v>0</v>
      </c>
      <c r="G135" s="360">
        <f t="shared" si="31"/>
        <v>0</v>
      </c>
      <c r="H135" s="376">
        <f t="shared" si="32"/>
        <v>0</v>
      </c>
    </row>
    <row r="136" spans="1:10" x14ac:dyDescent="0.2">
      <c r="A136" s="1003"/>
      <c r="B136" s="315">
        <v>53206990000000</v>
      </c>
      <c r="C136" s="358" t="s">
        <v>220</v>
      </c>
      <c r="D136" s="382">
        <f t="shared" si="33"/>
        <v>506491.2</v>
      </c>
      <c r="E136" s="382">
        <v>0</v>
      </c>
      <c r="F136" s="383">
        <v>0</v>
      </c>
      <c r="G136" s="360">
        <f t="shared" si="31"/>
        <v>0</v>
      </c>
      <c r="H136" s="376">
        <f t="shared" si="32"/>
        <v>506491.2</v>
      </c>
    </row>
    <row r="137" spans="1:10" x14ac:dyDescent="0.2">
      <c r="A137" s="1003"/>
      <c r="B137" s="314"/>
      <c r="C137" s="355" t="s">
        <v>66</v>
      </c>
      <c r="D137" s="356">
        <f>SUM(D138:D138)</f>
        <v>0</v>
      </c>
      <c r="E137" s="373"/>
      <c r="F137" s="373"/>
      <c r="G137" s="356">
        <f>SUM(G138:G138)</f>
        <v>0</v>
      </c>
      <c r="H137" s="374">
        <f>SUM(H138:H138)</f>
        <v>0</v>
      </c>
    </row>
    <row r="138" spans="1:10" x14ac:dyDescent="0.2">
      <c r="A138" s="1003"/>
      <c r="B138" s="319"/>
      <c r="C138" s="366" t="s">
        <v>221</v>
      </c>
      <c r="D138" s="361">
        <v>0</v>
      </c>
      <c r="E138" s="361">
        <v>0</v>
      </c>
      <c r="F138" s="381">
        <v>0</v>
      </c>
      <c r="G138" s="360">
        <f t="shared" ref="G138" si="34">E138*F138</f>
        <v>0</v>
      </c>
      <c r="H138" s="385">
        <f t="shared" ref="H138" si="35">D138+G138</f>
        <v>0</v>
      </c>
      <c r="I138" s="391" t="s">
        <v>224</v>
      </c>
      <c r="J138" s="519">
        <f>+H136+H135+H134+H133+H132+H131+H130+H128+H127+H126+H125+H124+H123+H122+H121+H119+H116+H115+H114+H113+H112+H110+H108+H107+H101+H100+H99+H97+H96+H95+H94+H93+H92+H91+H90+H89+H88+H87</f>
        <v>4923997.8211595239</v>
      </c>
    </row>
    <row r="139" spans="1:10" ht="15" customHeight="1" thickBot="1" x14ac:dyDescent="0.25">
      <c r="A139" s="1004"/>
      <c r="B139" s="386"/>
      <c r="C139" s="387" t="s">
        <v>105</v>
      </c>
      <c r="D139" s="388">
        <f>SUM(D76,D103)</f>
        <v>42327872.575445235</v>
      </c>
      <c r="E139" s="389"/>
      <c r="F139" s="389"/>
      <c r="G139" s="388">
        <f>SUM(G76,G103)</f>
        <v>2416040</v>
      </c>
      <c r="H139" s="390">
        <f>SUM(H76,H103)</f>
        <v>44743912.575445235</v>
      </c>
      <c r="I139" s="392" t="s">
        <v>225</v>
      </c>
      <c r="J139" s="516">
        <f>+H139-J138</f>
        <v>39819914.754285708</v>
      </c>
    </row>
    <row r="140" spans="1:10" x14ac:dyDescent="0.2">
      <c r="A140" s="1015" t="s">
        <v>81</v>
      </c>
      <c r="B140" s="1017" t="s">
        <v>75</v>
      </c>
      <c r="C140" s="1019" t="s">
        <v>76</v>
      </c>
      <c r="D140" s="1021" t="s">
        <v>77</v>
      </c>
      <c r="E140" s="1023" t="s">
        <v>78</v>
      </c>
      <c r="F140" s="1023"/>
      <c r="G140" s="1023"/>
      <c r="H140" s="1012" t="s">
        <v>272</v>
      </c>
    </row>
    <row r="141" spans="1:10" ht="40.5" customHeight="1" thickBot="1" x14ac:dyDescent="0.25">
      <c r="A141" s="1016"/>
      <c r="B141" s="1018"/>
      <c r="C141" s="1020"/>
      <c r="D141" s="1022"/>
      <c r="E141" s="467" t="s">
        <v>67</v>
      </c>
      <c r="F141" s="468" t="s">
        <v>68</v>
      </c>
      <c r="G141" s="469" t="s">
        <v>6</v>
      </c>
      <c r="H141" s="1013"/>
    </row>
    <row r="142" spans="1:10" x14ac:dyDescent="0.2">
      <c r="A142" s="1002" t="s">
        <v>211</v>
      </c>
      <c r="B142" s="367"/>
      <c r="C142" s="368" t="s">
        <v>11</v>
      </c>
      <c r="D142" s="369">
        <f>+D143+D148</f>
        <v>122478814.9807357</v>
      </c>
      <c r="E142" s="370"/>
      <c r="F142" s="370"/>
      <c r="G142" s="371">
        <f>SUM(G143,G148)</f>
        <v>12668160</v>
      </c>
      <c r="H142" s="372">
        <f>SUM(H143,H148)</f>
        <v>135146974.98073572</v>
      </c>
      <c r="I142" s="354"/>
      <c r="J142" s="354"/>
    </row>
    <row r="143" spans="1:10" x14ac:dyDescent="0.2">
      <c r="A143" s="1003"/>
      <c r="B143" s="314"/>
      <c r="C143" s="435" t="s">
        <v>12</v>
      </c>
      <c r="D143" s="436">
        <f>SUM(D144:D147)</f>
        <v>113640235.668</v>
      </c>
      <c r="E143" s="437"/>
      <c r="F143" s="437"/>
      <c r="G143" s="438">
        <f>SUM(G144:G147)</f>
        <v>0</v>
      </c>
      <c r="H143" s="374">
        <f>SUM(H144:H147)</f>
        <v>113640235.668</v>
      </c>
      <c r="I143" s="354"/>
      <c r="J143" s="354"/>
    </row>
    <row r="144" spans="1:10" x14ac:dyDescent="0.2">
      <c r="A144" s="1003"/>
      <c r="B144" s="315">
        <v>53103040100000</v>
      </c>
      <c r="C144" s="439" t="s">
        <v>95</v>
      </c>
      <c r="D144" s="440">
        <f>+'F) Remuneraciones'!L29</f>
        <v>112412215.39999999</v>
      </c>
      <c r="E144" s="441">
        <v>0</v>
      </c>
      <c r="F144" s="442">
        <v>0</v>
      </c>
      <c r="G144" s="441">
        <f>E144*F144</f>
        <v>0</v>
      </c>
      <c r="H144" s="443">
        <f>D144+G144</f>
        <v>112412215.39999999</v>
      </c>
      <c r="I144" s="354"/>
      <c r="J144" s="354"/>
    </row>
    <row r="145" spans="1:10" x14ac:dyDescent="0.2">
      <c r="A145" s="1003"/>
      <c r="B145" s="315">
        <v>53103050000000</v>
      </c>
      <c r="C145" s="439" t="s">
        <v>169</v>
      </c>
      <c r="D145" s="444">
        <v>1228020.2679999999</v>
      </c>
      <c r="E145" s="445">
        <v>0</v>
      </c>
      <c r="F145" s="446">
        <v>0</v>
      </c>
      <c r="G145" s="441">
        <f>E145*F145</f>
        <v>0</v>
      </c>
      <c r="H145" s="443">
        <f>D145+G145</f>
        <v>1228020.2679999999</v>
      </c>
      <c r="I145" s="354"/>
      <c r="J145" s="354"/>
    </row>
    <row r="146" spans="1:10" x14ac:dyDescent="0.2">
      <c r="A146" s="1003"/>
      <c r="B146" s="316">
        <v>53103040400000</v>
      </c>
      <c r="C146" s="317" t="s">
        <v>170</v>
      </c>
      <c r="D146" s="444">
        <v>0</v>
      </c>
      <c r="E146" s="445">
        <v>0</v>
      </c>
      <c r="F146" s="446">
        <v>0</v>
      </c>
      <c r="G146" s="441">
        <f>E146*F146</f>
        <v>0</v>
      </c>
      <c r="H146" s="443">
        <f>D146+G146</f>
        <v>0</v>
      </c>
      <c r="I146" s="354"/>
      <c r="J146" s="354"/>
    </row>
    <row r="147" spans="1:10" x14ac:dyDescent="0.2">
      <c r="A147" s="1003"/>
      <c r="B147" s="315">
        <v>53103080010000</v>
      </c>
      <c r="C147" s="439" t="s">
        <v>171</v>
      </c>
      <c r="D147" s="444">
        <v>0</v>
      </c>
      <c r="E147" s="445">
        <v>0</v>
      </c>
      <c r="F147" s="446">
        <v>0</v>
      </c>
      <c r="G147" s="441">
        <f>E147*F147</f>
        <v>0</v>
      </c>
      <c r="H147" s="443">
        <f>D147+G147</f>
        <v>0</v>
      </c>
      <c r="I147" s="354"/>
      <c r="J147" s="354"/>
    </row>
    <row r="148" spans="1:10" x14ac:dyDescent="0.2">
      <c r="A148" s="1003"/>
      <c r="B148" s="314"/>
      <c r="C148" s="435" t="s">
        <v>16</v>
      </c>
      <c r="D148" s="436">
        <f>SUM(D149:D168)</f>
        <v>8838579.3127357122</v>
      </c>
      <c r="E148" s="437"/>
      <c r="F148" s="437"/>
      <c r="G148" s="436">
        <f>SUM(G149:G168)</f>
        <v>12668160</v>
      </c>
      <c r="H148" s="374">
        <f>SUM(H149:H168)</f>
        <v>21506739.312735714</v>
      </c>
      <c r="I148" s="354"/>
      <c r="J148" s="354"/>
    </row>
    <row r="149" spans="1:10" ht="14.25" customHeight="1" x14ac:dyDescent="0.2">
      <c r="A149" s="1003"/>
      <c r="B149" s="315">
        <v>53201010100000</v>
      </c>
      <c r="C149" s="447" t="s">
        <v>172</v>
      </c>
      <c r="D149" s="444">
        <v>0</v>
      </c>
      <c r="E149" s="362">
        <v>2074</v>
      </c>
      <c r="F149" s="875">
        <v>2640</v>
      </c>
      <c r="G149" s="441">
        <f t="shared" ref="G149:G168" si="36">E149*F149</f>
        <v>5475360</v>
      </c>
      <c r="H149" s="443">
        <f t="shared" ref="H149:H154" si="37">D149+G149</f>
        <v>5475360</v>
      </c>
      <c r="I149" s="876"/>
      <c r="J149" s="354"/>
    </row>
    <row r="150" spans="1:10" x14ac:dyDescent="0.2">
      <c r="A150" s="1003"/>
      <c r="B150" s="315">
        <v>53201010100000</v>
      </c>
      <c r="C150" s="447" t="s">
        <v>173</v>
      </c>
      <c r="D150" s="444">
        <v>0</v>
      </c>
      <c r="E150" s="445">
        <v>148</v>
      </c>
      <c r="F150" s="446">
        <v>48600</v>
      </c>
      <c r="G150" s="441">
        <f t="shared" si="36"/>
        <v>7192800</v>
      </c>
      <c r="H150" s="443">
        <f t="shared" si="37"/>
        <v>7192800</v>
      </c>
      <c r="I150" s="354"/>
      <c r="J150" s="354"/>
    </row>
    <row r="151" spans="1:10" x14ac:dyDescent="0.2">
      <c r="A151" s="1003"/>
      <c r="B151" s="315">
        <v>53201010100000</v>
      </c>
      <c r="C151" s="447" t="s">
        <v>174</v>
      </c>
      <c r="D151" s="444">
        <v>0</v>
      </c>
      <c r="E151" s="445">
        <v>0</v>
      </c>
      <c r="F151" s="446">
        <v>0</v>
      </c>
      <c r="G151" s="441">
        <f t="shared" si="36"/>
        <v>0</v>
      </c>
      <c r="H151" s="443">
        <f t="shared" si="37"/>
        <v>0</v>
      </c>
      <c r="I151" s="354"/>
      <c r="J151" s="354"/>
    </row>
    <row r="152" spans="1:10" x14ac:dyDescent="0.2">
      <c r="A152" s="1003"/>
      <c r="B152" s="315">
        <v>53202010100000</v>
      </c>
      <c r="C152" s="439" t="s">
        <v>175</v>
      </c>
      <c r="D152" s="441">
        <f>+N80</f>
        <v>0</v>
      </c>
      <c r="E152" s="441">
        <v>0</v>
      </c>
      <c r="F152" s="457">
        <v>0</v>
      </c>
      <c r="G152" s="441">
        <f t="shared" si="36"/>
        <v>0</v>
      </c>
      <c r="H152" s="443">
        <f t="shared" si="37"/>
        <v>0</v>
      </c>
      <c r="I152" s="354"/>
      <c r="J152" s="354"/>
    </row>
    <row r="153" spans="1:10" x14ac:dyDescent="0.2">
      <c r="A153" s="1003"/>
      <c r="B153" s="315">
        <v>53203010100000</v>
      </c>
      <c r="C153" s="439" t="s">
        <v>19</v>
      </c>
      <c r="D153" s="441">
        <f t="shared" ref="D153:D168" si="38">+N81</f>
        <v>652000.44342857134</v>
      </c>
      <c r="E153" s="441">
        <v>0</v>
      </c>
      <c r="F153" s="457">
        <v>0</v>
      </c>
      <c r="G153" s="441">
        <f t="shared" si="36"/>
        <v>0</v>
      </c>
      <c r="H153" s="443">
        <f t="shared" si="37"/>
        <v>652000.44342857134</v>
      </c>
      <c r="I153" s="354"/>
      <c r="J153" s="354"/>
    </row>
    <row r="154" spans="1:10" x14ac:dyDescent="0.2">
      <c r="A154" s="1003"/>
      <c r="B154" s="315">
        <v>53203030000000</v>
      </c>
      <c r="C154" s="439" t="s">
        <v>176</v>
      </c>
      <c r="D154" s="441">
        <f t="shared" si="38"/>
        <v>0</v>
      </c>
      <c r="E154" s="441">
        <v>0</v>
      </c>
      <c r="F154" s="457">
        <v>0</v>
      </c>
      <c r="G154" s="441">
        <f t="shared" si="36"/>
        <v>0</v>
      </c>
      <c r="H154" s="443">
        <f t="shared" si="37"/>
        <v>0</v>
      </c>
      <c r="I154" s="354"/>
      <c r="J154" s="354"/>
    </row>
    <row r="155" spans="1:10" x14ac:dyDescent="0.2">
      <c r="A155" s="1003"/>
      <c r="B155" s="315">
        <v>53204030000000</v>
      </c>
      <c r="C155" s="439" t="s">
        <v>218</v>
      </c>
      <c r="D155" s="441">
        <f t="shared" si="38"/>
        <v>0</v>
      </c>
      <c r="E155" s="441">
        <v>0</v>
      </c>
      <c r="F155" s="457">
        <v>0</v>
      </c>
      <c r="G155" s="441">
        <f t="shared" si="36"/>
        <v>0</v>
      </c>
      <c r="H155" s="443">
        <f>D155+G155</f>
        <v>0</v>
      </c>
      <c r="I155" s="354"/>
      <c r="J155" s="354"/>
    </row>
    <row r="156" spans="1:10" x14ac:dyDescent="0.2">
      <c r="A156" s="1003"/>
      <c r="B156" s="315">
        <v>53204100100001</v>
      </c>
      <c r="C156" s="439" t="s">
        <v>22</v>
      </c>
      <c r="D156" s="441">
        <f t="shared" si="38"/>
        <v>347506.05239999999</v>
      </c>
      <c r="E156" s="441">
        <v>0</v>
      </c>
      <c r="F156" s="457">
        <v>0</v>
      </c>
      <c r="G156" s="441">
        <f t="shared" si="36"/>
        <v>0</v>
      </c>
      <c r="H156" s="443">
        <f t="shared" ref="H156:H168" si="39">D156+G156</f>
        <v>347506.05239999999</v>
      </c>
      <c r="I156" s="354"/>
      <c r="J156" s="354"/>
    </row>
    <row r="157" spans="1:10" x14ac:dyDescent="0.2">
      <c r="A157" s="1003"/>
      <c r="B157" s="315">
        <v>53204130100000</v>
      </c>
      <c r="C157" s="439" t="s">
        <v>178</v>
      </c>
      <c r="D157" s="441">
        <f t="shared" si="38"/>
        <v>0</v>
      </c>
      <c r="E157" s="441">
        <v>0</v>
      </c>
      <c r="F157" s="457">
        <v>0</v>
      </c>
      <c r="G157" s="441">
        <f t="shared" si="36"/>
        <v>0</v>
      </c>
      <c r="H157" s="443">
        <f t="shared" si="39"/>
        <v>0</v>
      </c>
      <c r="I157" s="354"/>
      <c r="J157" s="354"/>
    </row>
    <row r="158" spans="1:10" x14ac:dyDescent="0.2">
      <c r="A158" s="1003"/>
      <c r="B158" s="315">
        <v>53205010100000</v>
      </c>
      <c r="C158" s="439" t="s">
        <v>24</v>
      </c>
      <c r="D158" s="441">
        <f t="shared" si="38"/>
        <v>1650626.9339999997</v>
      </c>
      <c r="E158" s="441">
        <v>0</v>
      </c>
      <c r="F158" s="457">
        <v>0</v>
      </c>
      <c r="G158" s="441">
        <f t="shared" si="36"/>
        <v>0</v>
      </c>
      <c r="H158" s="443">
        <f t="shared" si="39"/>
        <v>1650626.9339999997</v>
      </c>
      <c r="I158" s="354"/>
      <c r="J158" s="354"/>
    </row>
    <row r="159" spans="1:10" x14ac:dyDescent="0.2">
      <c r="A159" s="1003"/>
      <c r="B159" s="315">
        <v>53205020100000</v>
      </c>
      <c r="C159" s="439" t="s">
        <v>25</v>
      </c>
      <c r="D159" s="441">
        <f t="shared" si="38"/>
        <v>347058.03</v>
      </c>
      <c r="E159" s="441">
        <v>0</v>
      </c>
      <c r="F159" s="457">
        <v>0</v>
      </c>
      <c r="G159" s="441">
        <f t="shared" si="36"/>
        <v>0</v>
      </c>
      <c r="H159" s="443">
        <f t="shared" si="39"/>
        <v>347058.03</v>
      </c>
      <c r="I159" s="354"/>
      <c r="J159" s="354"/>
    </row>
    <row r="160" spans="1:10" x14ac:dyDescent="0.2">
      <c r="A160" s="1003"/>
      <c r="B160" s="315">
        <v>53205030100000</v>
      </c>
      <c r="C160" s="439" t="s">
        <v>26</v>
      </c>
      <c r="D160" s="441">
        <f t="shared" si="38"/>
        <v>1749229.5312499998</v>
      </c>
      <c r="E160" s="441">
        <v>0</v>
      </c>
      <c r="F160" s="457">
        <v>0</v>
      </c>
      <c r="G160" s="441">
        <f t="shared" si="36"/>
        <v>0</v>
      </c>
      <c r="H160" s="443">
        <f t="shared" si="39"/>
        <v>1749229.5312499998</v>
      </c>
      <c r="I160" s="354"/>
      <c r="J160" s="354"/>
    </row>
    <row r="161" spans="1:12" x14ac:dyDescent="0.2">
      <c r="A161" s="1003"/>
      <c r="B161" s="315">
        <v>53205050100000</v>
      </c>
      <c r="C161" s="439" t="s">
        <v>27</v>
      </c>
      <c r="D161" s="441">
        <f t="shared" si="38"/>
        <v>66335.655599999998</v>
      </c>
      <c r="E161" s="441">
        <v>0</v>
      </c>
      <c r="F161" s="457">
        <v>0</v>
      </c>
      <c r="G161" s="441">
        <f t="shared" si="36"/>
        <v>0</v>
      </c>
      <c r="H161" s="443">
        <f t="shared" si="39"/>
        <v>66335.655599999998</v>
      </c>
      <c r="I161" s="354"/>
      <c r="J161" s="354"/>
    </row>
    <row r="162" spans="1:12" x14ac:dyDescent="0.2">
      <c r="A162" s="1003"/>
      <c r="B162" s="315">
        <v>53205070100000</v>
      </c>
      <c r="C162" s="439" t="s">
        <v>29</v>
      </c>
      <c r="D162" s="441">
        <f t="shared" si="38"/>
        <v>211983.47999999998</v>
      </c>
      <c r="E162" s="441">
        <v>0</v>
      </c>
      <c r="F162" s="457">
        <v>0</v>
      </c>
      <c r="G162" s="441">
        <f t="shared" si="36"/>
        <v>0</v>
      </c>
      <c r="H162" s="443">
        <f t="shared" si="39"/>
        <v>211983.47999999998</v>
      </c>
      <c r="I162" s="354"/>
      <c r="J162" s="354"/>
    </row>
    <row r="163" spans="1:12" x14ac:dyDescent="0.2">
      <c r="A163" s="1003"/>
      <c r="B163" s="315">
        <v>53208010100000</v>
      </c>
      <c r="C163" s="439" t="s">
        <v>30</v>
      </c>
      <c r="D163" s="441">
        <f t="shared" si="38"/>
        <v>0</v>
      </c>
      <c r="E163" s="441">
        <v>0</v>
      </c>
      <c r="F163" s="457">
        <v>0</v>
      </c>
      <c r="G163" s="441">
        <f t="shared" si="36"/>
        <v>0</v>
      </c>
      <c r="H163" s="443">
        <f t="shared" si="39"/>
        <v>0</v>
      </c>
      <c r="I163" s="354"/>
      <c r="J163" s="354"/>
    </row>
    <row r="164" spans="1:12" ht="12" customHeight="1" x14ac:dyDescent="0.2">
      <c r="A164" s="1003"/>
      <c r="B164" s="315">
        <v>53208070100001</v>
      </c>
      <c r="C164" s="439" t="s">
        <v>31</v>
      </c>
      <c r="D164" s="441">
        <f t="shared" si="38"/>
        <v>2959318.902857142</v>
      </c>
      <c r="E164" s="441">
        <v>0</v>
      </c>
      <c r="F164" s="457">
        <v>0</v>
      </c>
      <c r="G164" s="441">
        <f t="shared" si="36"/>
        <v>0</v>
      </c>
      <c r="H164" s="443">
        <f t="shared" si="39"/>
        <v>2959318.902857142</v>
      </c>
      <c r="I164" s="354"/>
      <c r="J164" s="354"/>
    </row>
    <row r="165" spans="1:12" x14ac:dyDescent="0.2">
      <c r="A165" s="1003"/>
      <c r="B165" s="315">
        <v>53208100100001</v>
      </c>
      <c r="C165" s="439" t="s">
        <v>179</v>
      </c>
      <c r="D165" s="441">
        <f t="shared" si="38"/>
        <v>0</v>
      </c>
      <c r="E165" s="441">
        <v>0</v>
      </c>
      <c r="F165" s="457">
        <v>0</v>
      </c>
      <c r="G165" s="441">
        <f t="shared" si="36"/>
        <v>0</v>
      </c>
      <c r="H165" s="443">
        <f t="shared" si="39"/>
        <v>0</v>
      </c>
      <c r="I165" s="354"/>
      <c r="J165" s="354"/>
    </row>
    <row r="166" spans="1:12" x14ac:dyDescent="0.2">
      <c r="A166" s="1003"/>
      <c r="B166" s="315">
        <v>53211030000000</v>
      </c>
      <c r="C166" s="439" t="s">
        <v>32</v>
      </c>
      <c r="D166" s="441">
        <f t="shared" si="38"/>
        <v>0</v>
      </c>
      <c r="E166" s="441">
        <v>0</v>
      </c>
      <c r="F166" s="457">
        <v>0</v>
      </c>
      <c r="G166" s="441">
        <f t="shared" si="36"/>
        <v>0</v>
      </c>
      <c r="H166" s="443">
        <f t="shared" si="39"/>
        <v>0</v>
      </c>
      <c r="I166" s="354"/>
      <c r="J166" s="354"/>
      <c r="L166" s="4" t="s">
        <v>222</v>
      </c>
    </row>
    <row r="167" spans="1:12" x14ac:dyDescent="0.2">
      <c r="A167" s="1003"/>
      <c r="B167" s="315">
        <v>53212020100000</v>
      </c>
      <c r="C167" s="439" t="s">
        <v>180</v>
      </c>
      <c r="D167" s="441">
        <f t="shared" si="38"/>
        <v>854520.28319999983</v>
      </c>
      <c r="E167" s="441">
        <v>0</v>
      </c>
      <c r="F167" s="457">
        <v>0</v>
      </c>
      <c r="G167" s="441">
        <f t="shared" si="36"/>
        <v>0</v>
      </c>
      <c r="H167" s="443">
        <f t="shared" si="39"/>
        <v>854520.28319999983</v>
      </c>
      <c r="I167" s="354"/>
      <c r="J167" s="354"/>
    </row>
    <row r="168" spans="1:12" x14ac:dyDescent="0.2">
      <c r="A168" s="1003"/>
      <c r="B168" s="315">
        <v>53214020000000</v>
      </c>
      <c r="C168" s="439" t="s">
        <v>181</v>
      </c>
      <c r="D168" s="441">
        <f t="shared" si="38"/>
        <v>0</v>
      </c>
      <c r="E168" s="441">
        <v>0</v>
      </c>
      <c r="F168" s="457">
        <v>0</v>
      </c>
      <c r="G168" s="441">
        <f t="shared" si="36"/>
        <v>0</v>
      </c>
      <c r="H168" s="443">
        <f t="shared" si="39"/>
        <v>0</v>
      </c>
      <c r="I168" s="354"/>
      <c r="J168" s="354"/>
    </row>
    <row r="169" spans="1:12" x14ac:dyDescent="0.2">
      <c r="A169" s="1003"/>
      <c r="B169" s="448"/>
      <c r="C169" s="449" t="s">
        <v>34</v>
      </c>
      <c r="D169" s="463">
        <f>SUM(D170,D175,D177,D186,D195,D203)</f>
        <v>8277733.0536000002</v>
      </c>
      <c r="E169" s="450"/>
      <c r="F169" s="450"/>
      <c r="G169" s="463">
        <f>SUM(G170,G175,G177,G186,G195,G203)</f>
        <v>889000</v>
      </c>
      <c r="H169" s="379">
        <f>SUM(H170,H175,H177,H186,H195,H203)</f>
        <v>9166733.0536000002</v>
      </c>
      <c r="I169" s="354"/>
      <c r="J169" s="354"/>
    </row>
    <row r="170" spans="1:12" x14ac:dyDescent="0.2">
      <c r="A170" s="1003"/>
      <c r="B170" s="314"/>
      <c r="C170" s="435" t="s">
        <v>35</v>
      </c>
      <c r="D170" s="436">
        <f>SUM(D171:D174)</f>
        <v>480000</v>
      </c>
      <c r="E170" s="437"/>
      <c r="F170" s="437"/>
      <c r="G170" s="436">
        <f>SUM(G171:G174)</f>
        <v>520000</v>
      </c>
      <c r="H170" s="451">
        <f>SUM(H171:H174)</f>
        <v>1000000</v>
      </c>
      <c r="I170" s="354"/>
      <c r="J170" s="354"/>
    </row>
    <row r="171" spans="1:12" x14ac:dyDescent="0.2">
      <c r="A171" s="1003"/>
      <c r="B171" s="315">
        <v>53202020100000</v>
      </c>
      <c r="C171" s="439" t="s">
        <v>182</v>
      </c>
      <c r="D171" s="444">
        <v>0</v>
      </c>
      <c r="E171" s="362">
        <v>35000</v>
      </c>
      <c r="F171" s="452">
        <v>12</v>
      </c>
      <c r="G171" s="441">
        <f>E171*F171</f>
        <v>420000</v>
      </c>
      <c r="H171" s="443">
        <f t="shared" ref="H171:H174" si="40">D171+G171</f>
        <v>420000</v>
      </c>
      <c r="I171" s="354"/>
      <c r="J171" s="354"/>
    </row>
    <row r="172" spans="1:12" x14ac:dyDescent="0.2">
      <c r="A172" s="1003"/>
      <c r="B172" s="315">
        <v>53202030000000</v>
      </c>
      <c r="C172" s="439" t="s">
        <v>183</v>
      </c>
      <c r="D172" s="444">
        <v>0</v>
      </c>
      <c r="E172" s="362">
        <v>50000</v>
      </c>
      <c r="F172" s="452">
        <v>2</v>
      </c>
      <c r="G172" s="441">
        <f t="shared" ref="G172:G174" si="41">E172*F172</f>
        <v>100000</v>
      </c>
      <c r="H172" s="443">
        <f t="shared" si="40"/>
        <v>100000</v>
      </c>
      <c r="I172" s="354"/>
      <c r="J172" s="354"/>
    </row>
    <row r="173" spans="1:12" x14ac:dyDescent="0.2">
      <c r="A173" s="1003"/>
      <c r="B173" s="315">
        <v>53211020000000</v>
      </c>
      <c r="C173" s="439" t="s">
        <v>41</v>
      </c>
      <c r="D173" s="453">
        <f>+N99</f>
        <v>480000</v>
      </c>
      <c r="E173" s="453">
        <v>0</v>
      </c>
      <c r="F173" s="454">
        <v>0</v>
      </c>
      <c r="G173" s="441">
        <f t="shared" si="41"/>
        <v>0</v>
      </c>
      <c r="H173" s="443">
        <f t="shared" si="40"/>
        <v>480000</v>
      </c>
      <c r="I173" s="354"/>
      <c r="J173" s="354"/>
    </row>
    <row r="174" spans="1:12" x14ac:dyDescent="0.2">
      <c r="A174" s="1003"/>
      <c r="B174" s="315">
        <v>53101040600000</v>
      </c>
      <c r="C174" s="439" t="s">
        <v>184</v>
      </c>
      <c r="D174" s="453">
        <f>+N100</f>
        <v>0</v>
      </c>
      <c r="E174" s="453">
        <v>0</v>
      </c>
      <c r="F174" s="454">
        <v>0</v>
      </c>
      <c r="G174" s="441">
        <f t="shared" si="41"/>
        <v>0</v>
      </c>
      <c r="H174" s="443">
        <f t="shared" si="40"/>
        <v>0</v>
      </c>
      <c r="I174" s="354"/>
      <c r="J174" s="354"/>
    </row>
    <row r="175" spans="1:12" x14ac:dyDescent="0.2">
      <c r="A175" s="1003"/>
      <c r="B175" s="314"/>
      <c r="C175" s="435" t="s">
        <v>42</v>
      </c>
      <c r="D175" s="436">
        <f>SUM(D176)</f>
        <v>0</v>
      </c>
      <c r="E175" s="437"/>
      <c r="F175" s="437"/>
      <c r="G175" s="455">
        <f>SUM(G176:G176)</f>
        <v>0</v>
      </c>
      <c r="H175" s="451">
        <f>SUM(H176:H176)</f>
        <v>0</v>
      </c>
      <c r="I175" s="354"/>
      <c r="J175" s="354"/>
    </row>
    <row r="176" spans="1:12" x14ac:dyDescent="0.2">
      <c r="A176" s="1003"/>
      <c r="B176" s="318">
        <v>53205990000000</v>
      </c>
      <c r="C176" s="439" t="s">
        <v>44</v>
      </c>
      <c r="D176" s="453">
        <f>+N102</f>
        <v>0</v>
      </c>
      <c r="E176" s="453">
        <v>0</v>
      </c>
      <c r="F176" s="454">
        <v>0</v>
      </c>
      <c r="G176" s="441">
        <f t="shared" ref="G176" si="42">E176*F176</f>
        <v>0</v>
      </c>
      <c r="H176" s="443">
        <f t="shared" ref="H176" si="43">D176+G176</f>
        <v>0</v>
      </c>
      <c r="I176" s="354"/>
      <c r="J176" s="354"/>
    </row>
    <row r="177" spans="1:10" x14ac:dyDescent="0.2">
      <c r="A177" s="1003"/>
      <c r="B177" s="314"/>
      <c r="C177" s="435" t="s">
        <v>45</v>
      </c>
      <c r="D177" s="436">
        <f>SUM(D178:D185)</f>
        <v>4409515.0092000002</v>
      </c>
      <c r="E177" s="437"/>
      <c r="F177" s="437"/>
      <c r="G177" s="436">
        <f>SUM(G178:G185)</f>
        <v>0</v>
      </c>
      <c r="H177" s="451">
        <f>SUM(H178:H185)</f>
        <v>4409515.0092000002</v>
      </c>
      <c r="I177" s="354"/>
      <c r="J177" s="354"/>
    </row>
    <row r="178" spans="1:10" x14ac:dyDescent="0.2">
      <c r="A178" s="1003"/>
      <c r="B178" s="315">
        <v>53204010000000</v>
      </c>
      <c r="C178" s="439" t="s">
        <v>47</v>
      </c>
      <c r="D178" s="453">
        <f>+N104</f>
        <v>255435.53142857138</v>
      </c>
      <c r="E178" s="453">
        <v>0</v>
      </c>
      <c r="F178" s="454">
        <v>0</v>
      </c>
      <c r="G178" s="453">
        <f t="shared" ref="G178:G185" si="44">E178*F178</f>
        <v>0</v>
      </c>
      <c r="H178" s="443">
        <f t="shared" ref="H178:H185" si="45">D178+G178</f>
        <v>255435.53142857138</v>
      </c>
      <c r="I178" s="354"/>
      <c r="J178" s="354"/>
    </row>
    <row r="179" spans="1:10" x14ac:dyDescent="0.2">
      <c r="A179" s="1003"/>
      <c r="B179" s="318">
        <v>53204040200000</v>
      </c>
      <c r="C179" s="439" t="s">
        <v>219</v>
      </c>
      <c r="D179" s="453">
        <f t="shared" ref="D179:D185" si="46">+N105</f>
        <v>240000</v>
      </c>
      <c r="E179" s="453">
        <v>0</v>
      </c>
      <c r="F179" s="454">
        <v>0</v>
      </c>
      <c r="G179" s="453">
        <f t="shared" si="44"/>
        <v>0</v>
      </c>
      <c r="H179" s="443">
        <f t="shared" si="45"/>
        <v>240000</v>
      </c>
      <c r="I179" s="354"/>
      <c r="J179" s="354"/>
    </row>
    <row r="180" spans="1:10" x14ac:dyDescent="0.2">
      <c r="A180" s="1003"/>
      <c r="B180" s="315">
        <v>53204060000000</v>
      </c>
      <c r="C180" s="439" t="s">
        <v>49</v>
      </c>
      <c r="D180" s="453">
        <f t="shared" si="46"/>
        <v>0</v>
      </c>
      <c r="E180" s="453">
        <v>0</v>
      </c>
      <c r="F180" s="454">
        <v>0</v>
      </c>
      <c r="G180" s="453">
        <f t="shared" si="44"/>
        <v>0</v>
      </c>
      <c r="H180" s="443">
        <f t="shared" si="45"/>
        <v>0</v>
      </c>
      <c r="I180" s="354"/>
      <c r="J180" s="354"/>
    </row>
    <row r="181" spans="1:10" x14ac:dyDescent="0.2">
      <c r="A181" s="1003"/>
      <c r="B181" s="315">
        <v>53204070000000</v>
      </c>
      <c r="C181" s="439" t="s">
        <v>50</v>
      </c>
      <c r="D181" s="453">
        <f t="shared" si="46"/>
        <v>1445850.8845714286</v>
      </c>
      <c r="E181" s="453">
        <v>0</v>
      </c>
      <c r="F181" s="454">
        <v>0</v>
      </c>
      <c r="G181" s="453">
        <f t="shared" si="44"/>
        <v>0</v>
      </c>
      <c r="H181" s="443">
        <f t="shared" si="45"/>
        <v>1445850.8845714286</v>
      </c>
      <c r="I181" s="354"/>
      <c r="J181" s="354"/>
    </row>
    <row r="182" spans="1:10" x14ac:dyDescent="0.2">
      <c r="A182" s="1003"/>
      <c r="B182" s="315">
        <v>53204080000000</v>
      </c>
      <c r="C182" s="439" t="s">
        <v>51</v>
      </c>
      <c r="D182" s="453">
        <f t="shared" si="46"/>
        <v>1868228.5932</v>
      </c>
      <c r="E182" s="453">
        <v>0</v>
      </c>
      <c r="F182" s="454">
        <v>0</v>
      </c>
      <c r="G182" s="453">
        <f t="shared" si="44"/>
        <v>0</v>
      </c>
      <c r="H182" s="443">
        <f t="shared" si="45"/>
        <v>1868228.5932</v>
      </c>
      <c r="I182" s="354"/>
      <c r="J182" s="354"/>
    </row>
    <row r="183" spans="1:10" x14ac:dyDescent="0.2">
      <c r="A183" s="1003"/>
      <c r="B183" s="315">
        <v>53214010000000</v>
      </c>
      <c r="C183" s="439" t="s">
        <v>52</v>
      </c>
      <c r="D183" s="453">
        <f t="shared" si="46"/>
        <v>0</v>
      </c>
      <c r="E183" s="456">
        <v>0</v>
      </c>
      <c r="F183" s="454">
        <v>0</v>
      </c>
      <c r="G183" s="453">
        <f t="shared" si="44"/>
        <v>0</v>
      </c>
      <c r="H183" s="443">
        <f t="shared" si="45"/>
        <v>0</v>
      </c>
      <c r="I183" s="354"/>
      <c r="J183" s="354"/>
    </row>
    <row r="184" spans="1:10" x14ac:dyDescent="0.2">
      <c r="A184" s="1003"/>
      <c r="B184" s="315">
        <v>53214040000000</v>
      </c>
      <c r="C184" s="439" t="s">
        <v>185</v>
      </c>
      <c r="D184" s="453">
        <f t="shared" si="46"/>
        <v>0</v>
      </c>
      <c r="E184" s="456">
        <v>0</v>
      </c>
      <c r="F184" s="454">
        <v>0</v>
      </c>
      <c r="G184" s="453">
        <f t="shared" si="44"/>
        <v>0</v>
      </c>
      <c r="H184" s="443">
        <f t="shared" si="45"/>
        <v>0</v>
      </c>
      <c r="I184" s="354"/>
      <c r="J184" s="354"/>
    </row>
    <row r="185" spans="1:10" x14ac:dyDescent="0.2">
      <c r="A185" s="1003"/>
      <c r="B185" s="316">
        <v>53204020100000</v>
      </c>
      <c r="C185" s="439" t="s">
        <v>177</v>
      </c>
      <c r="D185" s="453">
        <f t="shared" si="46"/>
        <v>600000</v>
      </c>
      <c r="E185" s="453">
        <v>0</v>
      </c>
      <c r="F185" s="454">
        <v>0</v>
      </c>
      <c r="G185" s="453">
        <f t="shared" si="44"/>
        <v>0</v>
      </c>
      <c r="H185" s="443">
        <f t="shared" si="45"/>
        <v>600000</v>
      </c>
      <c r="I185" s="354"/>
      <c r="J185" s="354"/>
    </row>
    <row r="186" spans="1:10" x14ac:dyDescent="0.2">
      <c r="A186" s="1003"/>
      <c r="B186" s="314"/>
      <c r="C186" s="435" t="s">
        <v>55</v>
      </c>
      <c r="D186" s="436">
        <f>SUM(D187:D194)</f>
        <v>1868744.4443999999</v>
      </c>
      <c r="E186" s="437"/>
      <c r="F186" s="437"/>
      <c r="G186" s="436">
        <f>SUM(G187:G194)</f>
        <v>369000</v>
      </c>
      <c r="H186" s="374">
        <f>SUM(H187:H194)</f>
        <v>2237744.4443999995</v>
      </c>
      <c r="I186" s="354"/>
      <c r="J186" s="354"/>
    </row>
    <row r="187" spans="1:10" x14ac:dyDescent="0.2">
      <c r="A187" s="1003"/>
      <c r="B187" s="315">
        <v>53207010000000</v>
      </c>
      <c r="C187" s="439" t="s">
        <v>56</v>
      </c>
      <c r="D187" s="453">
        <f>+N113</f>
        <v>0</v>
      </c>
      <c r="E187" s="453">
        <v>0</v>
      </c>
      <c r="F187" s="454">
        <v>0</v>
      </c>
      <c r="G187" s="453">
        <f t="shared" ref="G187:G194" si="47">E187*F187</f>
        <v>0</v>
      </c>
      <c r="H187" s="443">
        <f t="shared" ref="H187:H194" si="48">D187+G187</f>
        <v>0</v>
      </c>
      <c r="I187" s="354"/>
      <c r="J187" s="354"/>
    </row>
    <row r="188" spans="1:10" x14ac:dyDescent="0.2">
      <c r="A188" s="1003"/>
      <c r="B188" s="315">
        <v>53207020000000</v>
      </c>
      <c r="C188" s="439" t="s">
        <v>57</v>
      </c>
      <c r="D188" s="453">
        <f t="shared" ref="D188:D190" si="49">+N114</f>
        <v>0</v>
      </c>
      <c r="E188" s="453">
        <v>0</v>
      </c>
      <c r="F188" s="454">
        <v>0</v>
      </c>
      <c r="G188" s="453">
        <f t="shared" si="47"/>
        <v>0</v>
      </c>
      <c r="H188" s="443">
        <f t="shared" si="48"/>
        <v>0</v>
      </c>
      <c r="I188" s="354"/>
      <c r="J188" s="354"/>
    </row>
    <row r="189" spans="1:10" x14ac:dyDescent="0.2">
      <c r="A189" s="1003"/>
      <c r="B189" s="315">
        <v>53208020000000</v>
      </c>
      <c r="C189" s="439" t="s">
        <v>168</v>
      </c>
      <c r="D189" s="453">
        <f t="shared" si="49"/>
        <v>0</v>
      </c>
      <c r="E189" s="453">
        <v>0</v>
      </c>
      <c r="F189" s="454">
        <v>0</v>
      </c>
      <c r="G189" s="453">
        <f t="shared" si="47"/>
        <v>0</v>
      </c>
      <c r="H189" s="443">
        <f t="shared" si="48"/>
        <v>0</v>
      </c>
      <c r="I189" s="354"/>
      <c r="J189" s="354"/>
    </row>
    <row r="190" spans="1:10" x14ac:dyDescent="0.2">
      <c r="A190" s="1003"/>
      <c r="B190" s="315">
        <v>53208990000000</v>
      </c>
      <c r="C190" s="439" t="s">
        <v>186</v>
      </c>
      <c r="D190" s="453">
        <f t="shared" si="49"/>
        <v>610199.99999999988</v>
      </c>
      <c r="E190" s="453">
        <v>0</v>
      </c>
      <c r="F190" s="454">
        <v>0</v>
      </c>
      <c r="G190" s="453">
        <f t="shared" si="47"/>
        <v>0</v>
      </c>
      <c r="H190" s="443">
        <f t="shared" si="48"/>
        <v>610199.99999999988</v>
      </c>
      <c r="I190" s="354"/>
      <c r="J190" s="354"/>
    </row>
    <row r="191" spans="1:10" x14ac:dyDescent="0.2">
      <c r="A191" s="1003"/>
      <c r="B191" s="316">
        <v>53210020300000</v>
      </c>
      <c r="C191" s="439" t="s">
        <v>188</v>
      </c>
      <c r="D191" s="603">
        <v>0</v>
      </c>
      <c r="E191" s="603">
        <v>8200</v>
      </c>
      <c r="F191" s="604">
        <f>+'B) Reajuste Tarifas y Ocupación'!I36</f>
        <v>45</v>
      </c>
      <c r="G191" s="441">
        <f t="shared" si="47"/>
        <v>369000</v>
      </c>
      <c r="H191" s="443">
        <f>D191+G191</f>
        <v>369000</v>
      </c>
      <c r="I191" s="354"/>
      <c r="J191" s="354"/>
    </row>
    <row r="192" spans="1:10" x14ac:dyDescent="0.2">
      <c r="A192" s="1003"/>
      <c r="B192" s="315">
        <v>53208990000000</v>
      </c>
      <c r="C192" s="439" t="s">
        <v>189</v>
      </c>
      <c r="D192" s="441">
        <f>+N117</f>
        <v>98520.04439999997</v>
      </c>
      <c r="E192" s="441">
        <v>0</v>
      </c>
      <c r="F192" s="457">
        <v>0</v>
      </c>
      <c r="G192" s="441">
        <f t="shared" si="47"/>
        <v>0</v>
      </c>
      <c r="H192" s="443">
        <f>D192+G192</f>
        <v>98520.04439999997</v>
      </c>
      <c r="I192" s="354"/>
      <c r="J192" s="354"/>
    </row>
    <row r="193" spans="1:10" x14ac:dyDescent="0.2">
      <c r="A193" s="1003"/>
      <c r="B193" s="315">
        <v>53209990000000</v>
      </c>
      <c r="C193" s="439" t="s">
        <v>187</v>
      </c>
      <c r="D193" s="441">
        <f t="shared" ref="D193:D194" si="50">+N118</f>
        <v>0</v>
      </c>
      <c r="E193" s="441">
        <v>0</v>
      </c>
      <c r="F193" s="457">
        <v>0</v>
      </c>
      <c r="G193" s="441">
        <f t="shared" si="47"/>
        <v>0</v>
      </c>
      <c r="H193" s="443">
        <f t="shared" si="48"/>
        <v>0</v>
      </c>
      <c r="I193" s="354"/>
      <c r="J193" s="354"/>
    </row>
    <row r="194" spans="1:10" x14ac:dyDescent="0.2">
      <c r="A194" s="1003"/>
      <c r="B194" s="315">
        <v>53210020100000</v>
      </c>
      <c r="C194" s="439" t="s">
        <v>64</v>
      </c>
      <c r="D194" s="441">
        <f t="shared" si="50"/>
        <v>1160024.3999999999</v>
      </c>
      <c r="E194" s="441">
        <v>0</v>
      </c>
      <c r="F194" s="457">
        <v>0</v>
      </c>
      <c r="G194" s="441">
        <f t="shared" si="47"/>
        <v>0</v>
      </c>
      <c r="H194" s="443">
        <f t="shared" si="48"/>
        <v>1160024.3999999999</v>
      </c>
      <c r="I194" s="354"/>
      <c r="J194" s="354"/>
    </row>
    <row r="195" spans="1:10" x14ac:dyDescent="0.2">
      <c r="A195" s="1003"/>
      <c r="B195" s="314"/>
      <c r="C195" s="435" t="s">
        <v>65</v>
      </c>
      <c r="D195" s="436">
        <f>SUM(D196:D202)</f>
        <v>1519473.5999999999</v>
      </c>
      <c r="E195" s="437"/>
      <c r="F195" s="437"/>
      <c r="G195" s="436">
        <f>SUM(G196:G202)</f>
        <v>0</v>
      </c>
      <c r="H195" s="374">
        <f>SUM(H196:H202)</f>
        <v>1519473.5999999999</v>
      </c>
      <c r="I195" s="354"/>
      <c r="J195" s="354"/>
    </row>
    <row r="196" spans="1:10" x14ac:dyDescent="0.2">
      <c r="A196" s="1003"/>
      <c r="B196" s="315">
        <v>53206030000000</v>
      </c>
      <c r="C196" s="439" t="s">
        <v>99</v>
      </c>
      <c r="D196" s="453">
        <f>+N121</f>
        <v>0</v>
      </c>
      <c r="E196" s="453">
        <v>0</v>
      </c>
      <c r="F196" s="454">
        <v>0</v>
      </c>
      <c r="G196" s="441">
        <f t="shared" ref="G196:G202" si="51">E196*F196</f>
        <v>0</v>
      </c>
      <c r="H196" s="443">
        <f t="shared" ref="H196:H202" si="52">D196+G196</f>
        <v>0</v>
      </c>
      <c r="I196" s="354"/>
      <c r="J196" s="354"/>
    </row>
    <row r="197" spans="1:10" x14ac:dyDescent="0.2">
      <c r="A197" s="1003"/>
      <c r="B197" s="315">
        <v>53206040000000</v>
      </c>
      <c r="C197" s="439" t="s">
        <v>100</v>
      </c>
      <c r="D197" s="453">
        <f t="shared" ref="D197:D202" si="53">+N122</f>
        <v>0</v>
      </c>
      <c r="E197" s="453">
        <v>0</v>
      </c>
      <c r="F197" s="454">
        <v>0</v>
      </c>
      <c r="G197" s="441">
        <f t="shared" si="51"/>
        <v>0</v>
      </c>
      <c r="H197" s="443">
        <f t="shared" si="52"/>
        <v>0</v>
      </c>
      <c r="I197" s="354"/>
      <c r="J197" s="354"/>
    </row>
    <row r="198" spans="1:10" x14ac:dyDescent="0.2">
      <c r="A198" s="1003"/>
      <c r="B198" s="315">
        <v>53206060000000</v>
      </c>
      <c r="C198" s="439" t="s">
        <v>190</v>
      </c>
      <c r="D198" s="453">
        <f t="shared" si="53"/>
        <v>0</v>
      </c>
      <c r="E198" s="453">
        <v>0</v>
      </c>
      <c r="F198" s="454">
        <v>0</v>
      </c>
      <c r="G198" s="441">
        <f t="shared" si="51"/>
        <v>0</v>
      </c>
      <c r="H198" s="443">
        <f t="shared" si="52"/>
        <v>0</v>
      </c>
      <c r="I198" s="354"/>
      <c r="J198" s="354"/>
    </row>
    <row r="199" spans="1:10" x14ac:dyDescent="0.2">
      <c r="A199" s="1003"/>
      <c r="B199" s="315">
        <v>53206070000000</v>
      </c>
      <c r="C199" s="439" t="s">
        <v>102</v>
      </c>
      <c r="D199" s="453">
        <f t="shared" si="53"/>
        <v>0</v>
      </c>
      <c r="E199" s="453">
        <v>0</v>
      </c>
      <c r="F199" s="454">
        <v>0</v>
      </c>
      <c r="G199" s="441">
        <f t="shared" si="51"/>
        <v>0</v>
      </c>
      <c r="H199" s="443">
        <f t="shared" si="52"/>
        <v>0</v>
      </c>
      <c r="I199" s="354"/>
      <c r="J199" s="354"/>
    </row>
    <row r="200" spans="1:10" x14ac:dyDescent="0.2">
      <c r="A200" s="1003"/>
      <c r="B200" s="315">
        <v>53206990000000</v>
      </c>
      <c r="C200" s="439" t="s">
        <v>191</v>
      </c>
      <c r="D200" s="453">
        <f t="shared" si="53"/>
        <v>0</v>
      </c>
      <c r="E200" s="453">
        <v>0</v>
      </c>
      <c r="F200" s="454">
        <v>0</v>
      </c>
      <c r="G200" s="441">
        <f t="shared" si="51"/>
        <v>0</v>
      </c>
      <c r="H200" s="443">
        <f t="shared" si="52"/>
        <v>0</v>
      </c>
      <c r="I200" s="354"/>
      <c r="J200" s="354"/>
    </row>
    <row r="201" spans="1:10" x14ac:dyDescent="0.2">
      <c r="A201" s="1003"/>
      <c r="B201" s="315">
        <v>53208030000000</v>
      </c>
      <c r="C201" s="439" t="s">
        <v>104</v>
      </c>
      <c r="D201" s="453">
        <f t="shared" si="53"/>
        <v>0</v>
      </c>
      <c r="E201" s="453">
        <v>0</v>
      </c>
      <c r="F201" s="454">
        <v>0</v>
      </c>
      <c r="G201" s="441">
        <f t="shared" si="51"/>
        <v>0</v>
      </c>
      <c r="H201" s="443">
        <f t="shared" si="52"/>
        <v>0</v>
      </c>
      <c r="I201" s="354"/>
      <c r="J201" s="354"/>
    </row>
    <row r="202" spans="1:10" x14ac:dyDescent="0.2">
      <c r="A202" s="1003"/>
      <c r="B202" s="315">
        <v>53206990000000</v>
      </c>
      <c r="C202" s="439" t="s">
        <v>220</v>
      </c>
      <c r="D202" s="453">
        <f t="shared" si="53"/>
        <v>1519473.5999999999</v>
      </c>
      <c r="E202" s="453">
        <v>0</v>
      </c>
      <c r="F202" s="454">
        <v>0</v>
      </c>
      <c r="G202" s="441">
        <f t="shared" si="51"/>
        <v>0</v>
      </c>
      <c r="H202" s="443">
        <f t="shared" si="52"/>
        <v>1519473.5999999999</v>
      </c>
      <c r="I202" s="354"/>
      <c r="J202" s="354"/>
    </row>
    <row r="203" spans="1:10" x14ac:dyDescent="0.2">
      <c r="A203" s="1003"/>
      <c r="B203" s="314"/>
      <c r="C203" s="435" t="s">
        <v>66</v>
      </c>
      <c r="D203" s="436">
        <f>SUM(D204:D204)</f>
        <v>0</v>
      </c>
      <c r="E203" s="437"/>
      <c r="F203" s="437"/>
      <c r="G203" s="436">
        <f>SUM(G204:G204)</f>
        <v>0</v>
      </c>
      <c r="H203" s="374">
        <f>SUM(H204:H204)</f>
        <v>0</v>
      </c>
      <c r="I203" s="354"/>
      <c r="J203" s="354"/>
    </row>
    <row r="204" spans="1:10" x14ac:dyDescent="0.2">
      <c r="A204" s="1003"/>
      <c r="B204" s="319"/>
      <c r="C204" s="458" t="s">
        <v>221</v>
      </c>
      <c r="D204" s="444">
        <v>0</v>
      </c>
      <c r="E204" s="444">
        <v>0</v>
      </c>
      <c r="F204" s="452">
        <v>0</v>
      </c>
      <c r="G204" s="441">
        <f t="shared" ref="G204" si="54">E204*F204</f>
        <v>0</v>
      </c>
      <c r="H204" s="459">
        <f t="shared" ref="H204" si="55">D204+G204</f>
        <v>0</v>
      </c>
      <c r="I204" s="464" t="s">
        <v>224</v>
      </c>
      <c r="J204" s="518">
        <f>+H202+H201+H200+H199+H198+H197+H196+H194+H193+H192+H191+H190+H189+H188+H187+H185+H182+H181+H180+H179+H178+H176+H174+H173+H167+H166+H165+H163+H162+H161+H160+H159+H158+H157+H156+H155+H154+H153</f>
        <v>14525993.463478573</v>
      </c>
    </row>
    <row r="205" spans="1:10" ht="13.5" thickBot="1" x14ac:dyDescent="0.25">
      <c r="A205" s="1014"/>
      <c r="B205" s="460"/>
      <c r="C205" s="461" t="s">
        <v>105</v>
      </c>
      <c r="D205" s="388">
        <f>SUM(D142,D169)</f>
        <v>130756548.0343357</v>
      </c>
      <c r="E205" s="389"/>
      <c r="F205" s="389"/>
      <c r="G205" s="388">
        <f>SUM(G142,G169)</f>
        <v>13557160</v>
      </c>
      <c r="H205" s="462">
        <f>SUM(H142,H169)</f>
        <v>144313708.03433573</v>
      </c>
      <c r="I205" s="465" t="s">
        <v>225</v>
      </c>
      <c r="J205" s="517">
        <f>+H205-J204</f>
        <v>129787714.57085717</v>
      </c>
    </row>
    <row r="206" spans="1:10" x14ac:dyDescent="0.2">
      <c r="A206" s="1015" t="s">
        <v>81</v>
      </c>
      <c r="B206" s="1017" t="s">
        <v>75</v>
      </c>
      <c r="C206" s="1019" t="s">
        <v>76</v>
      </c>
      <c r="D206" s="1021" t="s">
        <v>77</v>
      </c>
      <c r="E206" s="1023" t="s">
        <v>78</v>
      </c>
      <c r="F206" s="1023"/>
      <c r="G206" s="1023"/>
      <c r="H206" s="1012" t="s">
        <v>272</v>
      </c>
    </row>
    <row r="207" spans="1:10" ht="26.25" thickBot="1" x14ac:dyDescent="0.25">
      <c r="A207" s="1016"/>
      <c r="B207" s="1018"/>
      <c r="C207" s="1020"/>
      <c r="D207" s="1022"/>
      <c r="E207" s="467" t="s">
        <v>67</v>
      </c>
      <c r="F207" s="468" t="s">
        <v>68</v>
      </c>
      <c r="G207" s="469" t="s">
        <v>6</v>
      </c>
      <c r="H207" s="1013"/>
    </row>
    <row r="208" spans="1:10" x14ac:dyDescent="0.2">
      <c r="A208" s="1002" t="s">
        <v>212</v>
      </c>
      <c r="B208" s="367"/>
      <c r="C208" s="368" t="s">
        <v>11</v>
      </c>
      <c r="D208" s="369">
        <f>+D209+D214</f>
        <v>64395358.744245224</v>
      </c>
      <c r="E208" s="370"/>
      <c r="F208" s="370"/>
      <c r="G208" s="371">
        <f>SUM(G209,G214)</f>
        <v>4105080</v>
      </c>
      <c r="H208" s="372">
        <f>SUM(H209,H214)</f>
        <v>68500438.744245231</v>
      </c>
      <c r="I208" s="354"/>
      <c r="J208" s="354"/>
    </row>
    <row r="209" spans="1:10" x14ac:dyDescent="0.2">
      <c r="A209" s="1003"/>
      <c r="B209" s="314"/>
      <c r="C209" s="435" t="s">
        <v>12</v>
      </c>
      <c r="D209" s="436">
        <f>SUM(D210:D213)</f>
        <v>61449165.639999986</v>
      </c>
      <c r="E209" s="437"/>
      <c r="F209" s="437"/>
      <c r="G209" s="438">
        <f>SUM(G210:G213)</f>
        <v>0</v>
      </c>
      <c r="H209" s="374">
        <f>SUM(H210:H213)</f>
        <v>61449165.639999986</v>
      </c>
      <c r="I209" s="354"/>
      <c r="J209" s="354"/>
    </row>
    <row r="210" spans="1:10" x14ac:dyDescent="0.2">
      <c r="A210" s="1003"/>
      <c r="B210" s="315">
        <v>53103040100000</v>
      </c>
      <c r="C210" s="439" t="s">
        <v>95</v>
      </c>
      <c r="D210" s="440">
        <f>+'F) Remuneraciones'!L45</f>
        <v>61449165.639999986</v>
      </c>
      <c r="E210" s="441">
        <v>0</v>
      </c>
      <c r="F210" s="442">
        <v>0</v>
      </c>
      <c r="G210" s="441">
        <f>E210*F210</f>
        <v>0</v>
      </c>
      <c r="H210" s="443">
        <f>D210+G210</f>
        <v>61449165.639999986</v>
      </c>
      <c r="I210" s="354"/>
      <c r="J210" s="354"/>
    </row>
    <row r="211" spans="1:10" x14ac:dyDescent="0.2">
      <c r="A211" s="1003"/>
      <c r="B211" s="315">
        <v>53103050000000</v>
      </c>
      <c r="C211" s="439" t="s">
        <v>273</v>
      </c>
      <c r="D211" s="444">
        <v>0</v>
      </c>
      <c r="E211" s="445">
        <v>0</v>
      </c>
      <c r="F211" s="446">
        <v>0</v>
      </c>
      <c r="G211" s="441">
        <f>E211*F211</f>
        <v>0</v>
      </c>
      <c r="H211" s="443">
        <f>D211+G211</f>
        <v>0</v>
      </c>
      <c r="I211" s="354"/>
      <c r="J211" s="354"/>
    </row>
    <row r="212" spans="1:10" x14ac:dyDescent="0.2">
      <c r="A212" s="1003"/>
      <c r="B212" s="316">
        <v>53103040400000</v>
      </c>
      <c r="C212" s="317" t="s">
        <v>170</v>
      </c>
      <c r="D212" s="444">
        <v>0</v>
      </c>
      <c r="E212" s="445">
        <v>0</v>
      </c>
      <c r="F212" s="446">
        <v>0</v>
      </c>
      <c r="G212" s="441">
        <f>E212*F212</f>
        <v>0</v>
      </c>
      <c r="H212" s="443">
        <f>D212+G212</f>
        <v>0</v>
      </c>
      <c r="I212" s="354"/>
      <c r="J212" s="354"/>
    </row>
    <row r="213" spans="1:10" x14ac:dyDescent="0.2">
      <c r="A213" s="1003"/>
      <c r="B213" s="315">
        <v>53103080010000</v>
      </c>
      <c r="C213" s="439" t="s">
        <v>171</v>
      </c>
      <c r="D213" s="444">
        <v>0</v>
      </c>
      <c r="E213" s="445">
        <v>0</v>
      </c>
      <c r="F213" s="446">
        <v>0</v>
      </c>
      <c r="G213" s="441">
        <f>E213*F213</f>
        <v>0</v>
      </c>
      <c r="H213" s="443">
        <f>D213+G213</f>
        <v>0</v>
      </c>
      <c r="I213" s="354"/>
      <c r="J213" s="354"/>
    </row>
    <row r="214" spans="1:10" x14ac:dyDescent="0.2">
      <c r="A214" s="1003"/>
      <c r="B214" s="314"/>
      <c r="C214" s="435" t="s">
        <v>16</v>
      </c>
      <c r="D214" s="436">
        <f>SUM(D215:D234)</f>
        <v>2946193.1042452375</v>
      </c>
      <c r="E214" s="437"/>
      <c r="F214" s="437"/>
      <c r="G214" s="436">
        <f>SUM(G215:G234)</f>
        <v>4105080</v>
      </c>
      <c r="H214" s="374">
        <f>SUM(H215:H234)</f>
        <v>7051273.1042452389</v>
      </c>
      <c r="I214" s="354"/>
      <c r="J214" s="354"/>
    </row>
    <row r="215" spans="1:10" x14ac:dyDescent="0.2">
      <c r="A215" s="1003"/>
      <c r="B215" s="315">
        <v>53201010100000</v>
      </c>
      <c r="C215" s="447" t="s">
        <v>172</v>
      </c>
      <c r="D215" s="444">
        <v>0</v>
      </c>
      <c r="E215" s="445">
        <v>2074</v>
      </c>
      <c r="F215" s="446">
        <v>1260</v>
      </c>
      <c r="G215" s="441">
        <f t="shared" ref="G215:G234" si="56">E215*F215</f>
        <v>2613240</v>
      </c>
      <c r="H215" s="443">
        <f t="shared" ref="H215:H220" si="57">D215+G215</f>
        <v>2613240</v>
      </c>
      <c r="I215" s="354"/>
      <c r="J215" s="354"/>
    </row>
    <row r="216" spans="1:10" x14ac:dyDescent="0.2">
      <c r="A216" s="1003"/>
      <c r="B216" s="315">
        <v>53201010100000</v>
      </c>
      <c r="C216" s="447" t="s">
        <v>173</v>
      </c>
      <c r="D216" s="444">
        <v>0</v>
      </c>
      <c r="E216" s="445">
        <v>148</v>
      </c>
      <c r="F216" s="446">
        <v>10080</v>
      </c>
      <c r="G216" s="441">
        <f t="shared" si="56"/>
        <v>1491840</v>
      </c>
      <c r="H216" s="443">
        <f t="shared" si="57"/>
        <v>1491840</v>
      </c>
      <c r="I216" s="354"/>
      <c r="J216" s="354"/>
    </row>
    <row r="217" spans="1:10" x14ac:dyDescent="0.2">
      <c r="A217" s="1003"/>
      <c r="B217" s="315">
        <v>53201010100000</v>
      </c>
      <c r="C217" s="447" t="s">
        <v>174</v>
      </c>
      <c r="D217" s="444">
        <v>0</v>
      </c>
      <c r="E217" s="445">
        <v>0</v>
      </c>
      <c r="F217" s="446">
        <v>0</v>
      </c>
      <c r="G217" s="441">
        <f t="shared" si="56"/>
        <v>0</v>
      </c>
      <c r="H217" s="443">
        <f t="shared" si="57"/>
        <v>0</v>
      </c>
      <c r="I217" s="354"/>
      <c r="J217" s="354"/>
    </row>
    <row r="218" spans="1:10" x14ac:dyDescent="0.2">
      <c r="A218" s="1003"/>
      <c r="B218" s="315">
        <v>53202010100000</v>
      </c>
      <c r="C218" s="439" t="s">
        <v>175</v>
      </c>
      <c r="D218" s="441">
        <f>+O80</f>
        <v>0</v>
      </c>
      <c r="E218" s="441">
        <v>0</v>
      </c>
      <c r="F218" s="457">
        <v>0</v>
      </c>
      <c r="G218" s="441">
        <f t="shared" si="56"/>
        <v>0</v>
      </c>
      <c r="H218" s="443">
        <f t="shared" si="57"/>
        <v>0</v>
      </c>
      <c r="I218" s="354"/>
      <c r="J218" s="354"/>
    </row>
    <row r="219" spans="1:10" x14ac:dyDescent="0.2">
      <c r="A219" s="1003"/>
      <c r="B219" s="315">
        <v>53203010100000</v>
      </c>
      <c r="C219" s="439" t="s">
        <v>19</v>
      </c>
      <c r="D219" s="441">
        <f t="shared" ref="D219:D234" si="58">+O81</f>
        <v>217333.48114285711</v>
      </c>
      <c r="E219" s="441">
        <v>0</v>
      </c>
      <c r="F219" s="457">
        <v>0</v>
      </c>
      <c r="G219" s="441">
        <f t="shared" si="56"/>
        <v>0</v>
      </c>
      <c r="H219" s="443">
        <f t="shared" si="57"/>
        <v>217333.48114285711</v>
      </c>
      <c r="I219" s="354"/>
      <c r="J219" s="354"/>
    </row>
    <row r="220" spans="1:10" x14ac:dyDescent="0.2">
      <c r="A220" s="1003"/>
      <c r="B220" s="315">
        <v>53203030000000</v>
      </c>
      <c r="C220" s="439" t="s">
        <v>176</v>
      </c>
      <c r="D220" s="441">
        <f t="shared" si="58"/>
        <v>0</v>
      </c>
      <c r="E220" s="441">
        <v>0</v>
      </c>
      <c r="F220" s="457">
        <v>0</v>
      </c>
      <c r="G220" s="441">
        <f t="shared" si="56"/>
        <v>0</v>
      </c>
      <c r="H220" s="443">
        <f t="shared" si="57"/>
        <v>0</v>
      </c>
      <c r="I220" s="354"/>
      <c r="J220" s="354"/>
    </row>
    <row r="221" spans="1:10" x14ac:dyDescent="0.2">
      <c r="A221" s="1003"/>
      <c r="B221" s="315">
        <v>53204030000000</v>
      </c>
      <c r="C221" s="439" t="s">
        <v>218</v>
      </c>
      <c r="D221" s="441">
        <f t="shared" si="58"/>
        <v>0</v>
      </c>
      <c r="E221" s="441">
        <v>0</v>
      </c>
      <c r="F221" s="457">
        <v>0</v>
      </c>
      <c r="G221" s="441">
        <f t="shared" si="56"/>
        <v>0</v>
      </c>
      <c r="H221" s="443">
        <f>D221+G221</f>
        <v>0</v>
      </c>
      <c r="I221" s="354"/>
      <c r="J221" s="354"/>
    </row>
    <row r="222" spans="1:10" x14ac:dyDescent="0.2">
      <c r="A222" s="1003"/>
      <c r="B222" s="315">
        <v>53204100100001</v>
      </c>
      <c r="C222" s="439" t="s">
        <v>22</v>
      </c>
      <c r="D222" s="441">
        <f t="shared" si="58"/>
        <v>115835.3508</v>
      </c>
      <c r="E222" s="441">
        <v>0</v>
      </c>
      <c r="F222" s="457">
        <v>0</v>
      </c>
      <c r="G222" s="441">
        <f t="shared" si="56"/>
        <v>0</v>
      </c>
      <c r="H222" s="443">
        <f t="shared" ref="H222:H234" si="59">D222+G222</f>
        <v>115835.3508</v>
      </c>
      <c r="I222" s="354"/>
      <c r="J222" s="354"/>
    </row>
    <row r="223" spans="1:10" x14ac:dyDescent="0.2">
      <c r="A223" s="1003"/>
      <c r="B223" s="315">
        <v>53204130100000</v>
      </c>
      <c r="C223" s="439" t="s">
        <v>178</v>
      </c>
      <c r="D223" s="441">
        <f t="shared" si="58"/>
        <v>0</v>
      </c>
      <c r="E223" s="441">
        <v>0</v>
      </c>
      <c r="F223" s="457">
        <v>0</v>
      </c>
      <c r="G223" s="441">
        <f t="shared" si="56"/>
        <v>0</v>
      </c>
      <c r="H223" s="443">
        <f t="shared" si="59"/>
        <v>0</v>
      </c>
      <c r="I223" s="354"/>
      <c r="J223" s="354"/>
    </row>
    <row r="224" spans="1:10" x14ac:dyDescent="0.2">
      <c r="A224" s="1003"/>
      <c r="B224" s="315">
        <v>53205010100000</v>
      </c>
      <c r="C224" s="439" t="s">
        <v>24</v>
      </c>
      <c r="D224" s="441">
        <f t="shared" si="58"/>
        <v>550208.978</v>
      </c>
      <c r="E224" s="441">
        <v>0</v>
      </c>
      <c r="F224" s="457">
        <v>0</v>
      </c>
      <c r="G224" s="441">
        <f t="shared" si="56"/>
        <v>0</v>
      </c>
      <c r="H224" s="443">
        <f t="shared" si="59"/>
        <v>550208.978</v>
      </c>
      <c r="I224" s="354"/>
      <c r="J224" s="354"/>
    </row>
    <row r="225" spans="1:10" x14ac:dyDescent="0.2">
      <c r="A225" s="1003"/>
      <c r="B225" s="315">
        <v>53205020100000</v>
      </c>
      <c r="C225" s="439" t="s">
        <v>25</v>
      </c>
      <c r="D225" s="441">
        <f t="shared" si="58"/>
        <v>115686.01000000001</v>
      </c>
      <c r="E225" s="441">
        <v>0</v>
      </c>
      <c r="F225" s="457">
        <v>0</v>
      </c>
      <c r="G225" s="441">
        <f t="shared" si="56"/>
        <v>0</v>
      </c>
      <c r="H225" s="443">
        <f t="shared" si="59"/>
        <v>115686.01000000001</v>
      </c>
      <c r="I225" s="354"/>
      <c r="J225" s="354"/>
    </row>
    <row r="226" spans="1:10" x14ac:dyDescent="0.2">
      <c r="A226" s="1003"/>
      <c r="B226" s="315">
        <v>53205030100000</v>
      </c>
      <c r="C226" s="439" t="s">
        <v>26</v>
      </c>
      <c r="D226" s="441">
        <f t="shared" si="58"/>
        <v>583076.51041666663</v>
      </c>
      <c r="E226" s="441">
        <v>0</v>
      </c>
      <c r="F226" s="457">
        <v>0</v>
      </c>
      <c r="G226" s="441">
        <f t="shared" si="56"/>
        <v>0</v>
      </c>
      <c r="H226" s="443">
        <f t="shared" si="59"/>
        <v>583076.51041666663</v>
      </c>
      <c r="I226" s="354"/>
      <c r="J226" s="354"/>
    </row>
    <row r="227" spans="1:10" x14ac:dyDescent="0.2">
      <c r="A227" s="1003"/>
      <c r="B227" s="315">
        <v>53205050100000</v>
      </c>
      <c r="C227" s="439" t="s">
        <v>27</v>
      </c>
      <c r="D227" s="441">
        <f t="shared" si="58"/>
        <v>22111.885200000001</v>
      </c>
      <c r="E227" s="441">
        <v>0</v>
      </c>
      <c r="F227" s="457">
        <v>0</v>
      </c>
      <c r="G227" s="441">
        <f t="shared" si="56"/>
        <v>0</v>
      </c>
      <c r="H227" s="443">
        <f t="shared" si="59"/>
        <v>22111.885200000001</v>
      </c>
      <c r="I227" s="354"/>
      <c r="J227" s="354"/>
    </row>
    <row r="228" spans="1:10" x14ac:dyDescent="0.2">
      <c r="A228" s="1003"/>
      <c r="B228" s="315">
        <v>53205070100000</v>
      </c>
      <c r="C228" s="439" t="s">
        <v>29</v>
      </c>
      <c r="D228" s="441">
        <f t="shared" si="58"/>
        <v>70661.16</v>
      </c>
      <c r="E228" s="441">
        <v>0</v>
      </c>
      <c r="F228" s="457">
        <v>0</v>
      </c>
      <c r="G228" s="441">
        <f t="shared" si="56"/>
        <v>0</v>
      </c>
      <c r="H228" s="443">
        <f t="shared" si="59"/>
        <v>70661.16</v>
      </c>
      <c r="I228" s="354"/>
      <c r="J228" s="354"/>
    </row>
    <row r="229" spans="1:10" x14ac:dyDescent="0.2">
      <c r="A229" s="1003"/>
      <c r="B229" s="315">
        <v>53208010100000</v>
      </c>
      <c r="C229" s="439" t="s">
        <v>30</v>
      </c>
      <c r="D229" s="441">
        <f t="shared" si="58"/>
        <v>0</v>
      </c>
      <c r="E229" s="441">
        <v>0</v>
      </c>
      <c r="F229" s="457">
        <v>0</v>
      </c>
      <c r="G229" s="441">
        <f t="shared" si="56"/>
        <v>0</v>
      </c>
      <c r="H229" s="443">
        <f t="shared" si="59"/>
        <v>0</v>
      </c>
      <c r="I229" s="354"/>
      <c r="J229" s="354"/>
    </row>
    <row r="230" spans="1:10" x14ac:dyDescent="0.2">
      <c r="A230" s="1003"/>
      <c r="B230" s="315">
        <v>53208070100001</v>
      </c>
      <c r="C230" s="439" t="s">
        <v>31</v>
      </c>
      <c r="D230" s="441">
        <f t="shared" si="58"/>
        <v>986439.63428571413</v>
      </c>
      <c r="E230" s="441">
        <v>0</v>
      </c>
      <c r="F230" s="457">
        <v>0</v>
      </c>
      <c r="G230" s="441">
        <f t="shared" si="56"/>
        <v>0</v>
      </c>
      <c r="H230" s="443">
        <f t="shared" si="59"/>
        <v>986439.63428571413</v>
      </c>
      <c r="I230" s="354"/>
      <c r="J230" s="354"/>
    </row>
    <row r="231" spans="1:10" x14ac:dyDescent="0.2">
      <c r="A231" s="1003"/>
      <c r="B231" s="315">
        <v>53208100100001</v>
      </c>
      <c r="C231" s="439" t="s">
        <v>179</v>
      </c>
      <c r="D231" s="441">
        <f t="shared" si="58"/>
        <v>0</v>
      </c>
      <c r="E231" s="441">
        <v>0</v>
      </c>
      <c r="F231" s="457">
        <v>0</v>
      </c>
      <c r="G231" s="441">
        <f t="shared" si="56"/>
        <v>0</v>
      </c>
      <c r="H231" s="443">
        <f t="shared" si="59"/>
        <v>0</v>
      </c>
      <c r="I231" s="354"/>
      <c r="J231" s="354"/>
    </row>
    <row r="232" spans="1:10" x14ac:dyDescent="0.2">
      <c r="A232" s="1003"/>
      <c r="B232" s="315">
        <v>53211030000000</v>
      </c>
      <c r="C232" s="439" t="s">
        <v>32</v>
      </c>
      <c r="D232" s="441">
        <f t="shared" si="58"/>
        <v>0</v>
      </c>
      <c r="E232" s="441">
        <v>0</v>
      </c>
      <c r="F232" s="457">
        <v>0</v>
      </c>
      <c r="G232" s="441">
        <f t="shared" si="56"/>
        <v>0</v>
      </c>
      <c r="H232" s="443">
        <f t="shared" si="59"/>
        <v>0</v>
      </c>
      <c r="I232" s="354"/>
      <c r="J232" s="354"/>
    </row>
    <row r="233" spans="1:10" x14ac:dyDescent="0.2">
      <c r="A233" s="1003"/>
      <c r="B233" s="315">
        <v>53212020100000</v>
      </c>
      <c r="C233" s="439" t="s">
        <v>180</v>
      </c>
      <c r="D233" s="441">
        <f t="shared" si="58"/>
        <v>284840.0944</v>
      </c>
      <c r="E233" s="441">
        <v>0</v>
      </c>
      <c r="F233" s="457">
        <v>0</v>
      </c>
      <c r="G233" s="441">
        <f t="shared" si="56"/>
        <v>0</v>
      </c>
      <c r="H233" s="443">
        <f t="shared" si="59"/>
        <v>284840.0944</v>
      </c>
      <c r="I233" s="354"/>
      <c r="J233" s="354"/>
    </row>
    <row r="234" spans="1:10" x14ac:dyDescent="0.2">
      <c r="A234" s="1003"/>
      <c r="B234" s="315">
        <v>53214020000000</v>
      </c>
      <c r="C234" s="439" t="s">
        <v>181</v>
      </c>
      <c r="D234" s="441">
        <f t="shared" si="58"/>
        <v>0</v>
      </c>
      <c r="E234" s="441">
        <v>0</v>
      </c>
      <c r="F234" s="457">
        <v>0</v>
      </c>
      <c r="G234" s="441">
        <f t="shared" si="56"/>
        <v>0</v>
      </c>
      <c r="H234" s="443">
        <f t="shared" si="59"/>
        <v>0</v>
      </c>
      <c r="I234" s="354"/>
      <c r="J234" s="354"/>
    </row>
    <row r="235" spans="1:10" x14ac:dyDescent="0.2">
      <c r="A235" s="1003"/>
      <c r="B235" s="448"/>
      <c r="C235" s="449" t="s">
        <v>34</v>
      </c>
      <c r="D235" s="463">
        <f>SUM(D236,D241,D243,D252,D261,D269)</f>
        <v>2759244.3512000004</v>
      </c>
      <c r="E235" s="450"/>
      <c r="F235" s="450"/>
      <c r="G235" s="463">
        <f>SUM(G236,G241,G243,G252,G261,G269)</f>
        <v>245000</v>
      </c>
      <c r="H235" s="379">
        <f>SUM(H236,H241,H243,H252,H261,H269)</f>
        <v>3004244.3512000004</v>
      </c>
      <c r="I235" s="354"/>
      <c r="J235" s="354"/>
    </row>
    <row r="236" spans="1:10" x14ac:dyDescent="0.2">
      <c r="A236" s="1003"/>
      <c r="B236" s="314"/>
      <c r="C236" s="435" t="s">
        <v>35</v>
      </c>
      <c r="D236" s="436">
        <f>SUM(D237:D240)</f>
        <v>160000</v>
      </c>
      <c r="E236" s="437"/>
      <c r="F236" s="437"/>
      <c r="G236" s="436">
        <f>SUM(G237:G240)</f>
        <v>245000</v>
      </c>
      <c r="H236" s="451">
        <f>SUM(H237:H240)</f>
        <v>405000</v>
      </c>
      <c r="I236" s="354"/>
      <c r="J236" s="354"/>
    </row>
    <row r="237" spans="1:10" x14ac:dyDescent="0.2">
      <c r="A237" s="1003"/>
      <c r="B237" s="315">
        <v>53202020100000</v>
      </c>
      <c r="C237" s="439" t="s">
        <v>182</v>
      </c>
      <c r="D237" s="444">
        <v>0</v>
      </c>
      <c r="E237" s="362">
        <v>35000</v>
      </c>
      <c r="F237" s="452">
        <v>7</v>
      </c>
      <c r="G237" s="441">
        <f>E237*F237</f>
        <v>245000</v>
      </c>
      <c r="H237" s="443">
        <f t="shared" ref="H237:H240" si="60">D237+G237</f>
        <v>245000</v>
      </c>
      <c r="I237" s="354"/>
      <c r="J237" s="354"/>
    </row>
    <row r="238" spans="1:10" x14ac:dyDescent="0.2">
      <c r="A238" s="1003"/>
      <c r="B238" s="315">
        <v>53202030000000</v>
      </c>
      <c r="C238" s="439" t="s">
        <v>183</v>
      </c>
      <c r="D238" s="444">
        <v>0</v>
      </c>
      <c r="E238" s="362">
        <v>0</v>
      </c>
      <c r="F238" s="452">
        <v>0</v>
      </c>
      <c r="G238" s="441">
        <f t="shared" ref="G238:G240" si="61">E238*F238</f>
        <v>0</v>
      </c>
      <c r="H238" s="443">
        <f t="shared" si="60"/>
        <v>0</v>
      </c>
      <c r="I238" s="354"/>
      <c r="J238" s="354"/>
    </row>
    <row r="239" spans="1:10" x14ac:dyDescent="0.2">
      <c r="A239" s="1003"/>
      <c r="B239" s="315">
        <v>53211020000000</v>
      </c>
      <c r="C239" s="439" t="s">
        <v>41</v>
      </c>
      <c r="D239" s="453">
        <f>+O99</f>
        <v>160000</v>
      </c>
      <c r="E239" s="453">
        <v>0</v>
      </c>
      <c r="F239" s="454">
        <v>0</v>
      </c>
      <c r="G239" s="441">
        <f t="shared" si="61"/>
        <v>0</v>
      </c>
      <c r="H239" s="443">
        <f t="shared" si="60"/>
        <v>160000</v>
      </c>
      <c r="I239" s="354"/>
      <c r="J239" s="354"/>
    </row>
    <row r="240" spans="1:10" x14ac:dyDescent="0.2">
      <c r="A240" s="1003"/>
      <c r="B240" s="315">
        <v>53101040600000</v>
      </c>
      <c r="C240" s="439" t="s">
        <v>184</v>
      </c>
      <c r="D240" s="453">
        <f>+O100</f>
        <v>0</v>
      </c>
      <c r="E240" s="453">
        <v>0</v>
      </c>
      <c r="F240" s="454">
        <v>0</v>
      </c>
      <c r="G240" s="441">
        <f t="shared" si="61"/>
        <v>0</v>
      </c>
      <c r="H240" s="443">
        <f t="shared" si="60"/>
        <v>0</v>
      </c>
      <c r="I240" s="354"/>
      <c r="J240" s="354"/>
    </row>
    <row r="241" spans="1:10" x14ac:dyDescent="0.2">
      <c r="A241" s="1003"/>
      <c r="B241" s="314"/>
      <c r="C241" s="435" t="s">
        <v>42</v>
      </c>
      <c r="D241" s="436">
        <f>SUM(D242)</f>
        <v>0</v>
      </c>
      <c r="E241" s="437"/>
      <c r="F241" s="437"/>
      <c r="G241" s="455">
        <f>SUM(G242:G242)</f>
        <v>0</v>
      </c>
      <c r="H241" s="451">
        <f>SUM(H242:H242)</f>
        <v>0</v>
      </c>
      <c r="I241" s="354"/>
      <c r="J241" s="354"/>
    </row>
    <row r="242" spans="1:10" x14ac:dyDescent="0.2">
      <c r="A242" s="1003"/>
      <c r="B242" s="318">
        <v>53205990000000</v>
      </c>
      <c r="C242" s="439" t="s">
        <v>44</v>
      </c>
      <c r="D242" s="453">
        <f>+O102</f>
        <v>0</v>
      </c>
      <c r="E242" s="453">
        <v>0</v>
      </c>
      <c r="F242" s="454">
        <v>0</v>
      </c>
      <c r="G242" s="441">
        <f t="shared" ref="G242" si="62">E242*F242</f>
        <v>0</v>
      </c>
      <c r="H242" s="443">
        <f t="shared" ref="H242" si="63">D242+G242</f>
        <v>0</v>
      </c>
      <c r="I242" s="354"/>
      <c r="J242" s="354"/>
    </row>
    <row r="243" spans="1:10" x14ac:dyDescent="0.2">
      <c r="A243" s="1003"/>
      <c r="B243" s="314"/>
      <c r="C243" s="435" t="s">
        <v>45</v>
      </c>
      <c r="D243" s="436">
        <f>SUM(D244:D251)</f>
        <v>1469838.3364000001</v>
      </c>
      <c r="E243" s="437"/>
      <c r="F243" s="437"/>
      <c r="G243" s="436">
        <f>SUM(G244:G251)</f>
        <v>0</v>
      </c>
      <c r="H243" s="451">
        <f>SUM(H244:H251)</f>
        <v>1469838.3364000001</v>
      </c>
      <c r="I243" s="354"/>
      <c r="J243" s="354"/>
    </row>
    <row r="244" spans="1:10" x14ac:dyDescent="0.2">
      <c r="A244" s="1003"/>
      <c r="B244" s="315">
        <v>53204010000000</v>
      </c>
      <c r="C244" s="439" t="s">
        <v>47</v>
      </c>
      <c r="D244" s="453">
        <f>+O104</f>
        <v>85145.177142857137</v>
      </c>
      <c r="E244" s="453">
        <v>0</v>
      </c>
      <c r="F244" s="454">
        <v>0</v>
      </c>
      <c r="G244" s="453">
        <f t="shared" ref="G244:G251" si="64">E244*F244</f>
        <v>0</v>
      </c>
      <c r="H244" s="443">
        <f t="shared" ref="H244:H251" si="65">D244+G244</f>
        <v>85145.177142857137</v>
      </c>
      <c r="I244" s="354"/>
      <c r="J244" s="354"/>
    </row>
    <row r="245" spans="1:10" x14ac:dyDescent="0.2">
      <c r="A245" s="1003"/>
      <c r="B245" s="318">
        <v>53204040200000</v>
      </c>
      <c r="C245" s="439" t="s">
        <v>219</v>
      </c>
      <c r="D245" s="453">
        <f t="shared" ref="D245:D251" si="66">+O105</f>
        <v>80000</v>
      </c>
      <c r="E245" s="453">
        <v>0</v>
      </c>
      <c r="F245" s="454">
        <v>0</v>
      </c>
      <c r="G245" s="453">
        <f t="shared" si="64"/>
        <v>0</v>
      </c>
      <c r="H245" s="443">
        <f t="shared" si="65"/>
        <v>80000</v>
      </c>
      <c r="I245" s="354"/>
      <c r="J245" s="354"/>
    </row>
    <row r="246" spans="1:10" x14ac:dyDescent="0.2">
      <c r="A246" s="1003"/>
      <c r="B246" s="315">
        <v>53204060000000</v>
      </c>
      <c r="C246" s="439" t="s">
        <v>49</v>
      </c>
      <c r="D246" s="453">
        <f t="shared" si="66"/>
        <v>0</v>
      </c>
      <c r="E246" s="453">
        <v>0</v>
      </c>
      <c r="F246" s="454">
        <v>0</v>
      </c>
      <c r="G246" s="453">
        <f t="shared" si="64"/>
        <v>0</v>
      </c>
      <c r="H246" s="443">
        <f t="shared" si="65"/>
        <v>0</v>
      </c>
      <c r="I246" s="354"/>
      <c r="J246" s="354"/>
    </row>
    <row r="247" spans="1:10" x14ac:dyDescent="0.2">
      <c r="A247" s="1003"/>
      <c r="B247" s="315">
        <v>53204070000000</v>
      </c>
      <c r="C247" s="439" t="s">
        <v>50</v>
      </c>
      <c r="D247" s="453">
        <f t="shared" si="66"/>
        <v>481950.2948571429</v>
      </c>
      <c r="E247" s="453">
        <v>0</v>
      </c>
      <c r="F247" s="454">
        <v>0</v>
      </c>
      <c r="G247" s="453">
        <f t="shared" si="64"/>
        <v>0</v>
      </c>
      <c r="H247" s="443">
        <f t="shared" si="65"/>
        <v>481950.2948571429</v>
      </c>
      <c r="I247" s="354"/>
      <c r="J247" s="354"/>
    </row>
    <row r="248" spans="1:10" x14ac:dyDescent="0.2">
      <c r="A248" s="1003"/>
      <c r="B248" s="315">
        <v>53204080000000</v>
      </c>
      <c r="C248" s="439" t="s">
        <v>51</v>
      </c>
      <c r="D248" s="453">
        <f t="shared" si="66"/>
        <v>622742.86440000008</v>
      </c>
      <c r="E248" s="453">
        <v>0</v>
      </c>
      <c r="F248" s="454">
        <v>0</v>
      </c>
      <c r="G248" s="453">
        <f t="shared" si="64"/>
        <v>0</v>
      </c>
      <c r="H248" s="443">
        <f t="shared" si="65"/>
        <v>622742.86440000008</v>
      </c>
      <c r="I248" s="354"/>
      <c r="J248" s="354"/>
    </row>
    <row r="249" spans="1:10" x14ac:dyDescent="0.2">
      <c r="A249" s="1003"/>
      <c r="B249" s="315">
        <v>53214010000000</v>
      </c>
      <c r="C249" s="439" t="s">
        <v>52</v>
      </c>
      <c r="D249" s="453">
        <f t="shared" si="66"/>
        <v>0</v>
      </c>
      <c r="E249" s="456">
        <v>0</v>
      </c>
      <c r="F249" s="454">
        <v>0</v>
      </c>
      <c r="G249" s="453">
        <f t="shared" si="64"/>
        <v>0</v>
      </c>
      <c r="H249" s="443">
        <f t="shared" si="65"/>
        <v>0</v>
      </c>
      <c r="I249" s="354"/>
      <c r="J249" s="354"/>
    </row>
    <row r="250" spans="1:10" x14ac:dyDescent="0.2">
      <c r="A250" s="1003"/>
      <c r="B250" s="315">
        <v>53214040000000</v>
      </c>
      <c r="C250" s="439" t="s">
        <v>185</v>
      </c>
      <c r="D250" s="453">
        <f t="shared" si="66"/>
        <v>0</v>
      </c>
      <c r="E250" s="456">
        <v>0</v>
      </c>
      <c r="F250" s="454">
        <v>0</v>
      </c>
      <c r="G250" s="453">
        <f t="shared" si="64"/>
        <v>0</v>
      </c>
      <c r="H250" s="443">
        <f t="shared" si="65"/>
        <v>0</v>
      </c>
      <c r="I250" s="354"/>
      <c r="J250" s="354"/>
    </row>
    <row r="251" spans="1:10" x14ac:dyDescent="0.2">
      <c r="A251" s="1003"/>
      <c r="B251" s="316">
        <v>53204020100000</v>
      </c>
      <c r="C251" s="439" t="s">
        <v>177</v>
      </c>
      <c r="D251" s="453">
        <f t="shared" si="66"/>
        <v>200000</v>
      </c>
      <c r="E251" s="453">
        <v>0</v>
      </c>
      <c r="F251" s="454">
        <v>0</v>
      </c>
      <c r="G251" s="453">
        <f t="shared" si="64"/>
        <v>0</v>
      </c>
      <c r="H251" s="443">
        <f t="shared" si="65"/>
        <v>200000</v>
      </c>
      <c r="I251" s="354"/>
      <c r="J251" s="354"/>
    </row>
    <row r="252" spans="1:10" x14ac:dyDescent="0.2">
      <c r="A252" s="1003"/>
      <c r="B252" s="314"/>
      <c r="C252" s="435" t="s">
        <v>55</v>
      </c>
      <c r="D252" s="436">
        <f>SUM(D253:D260)</f>
        <v>622914.81480000005</v>
      </c>
      <c r="E252" s="437"/>
      <c r="F252" s="437"/>
      <c r="G252" s="436">
        <f>SUM(G253:G260)</f>
        <v>0</v>
      </c>
      <c r="H252" s="374">
        <f>SUM(H253:H260)</f>
        <v>622914.81480000005</v>
      </c>
      <c r="I252" s="354"/>
      <c r="J252" s="354"/>
    </row>
    <row r="253" spans="1:10" x14ac:dyDescent="0.2">
      <c r="A253" s="1003"/>
      <c r="B253" s="315">
        <v>53207010000000</v>
      </c>
      <c r="C253" s="439" t="s">
        <v>56</v>
      </c>
      <c r="D253" s="453">
        <f>+O113</f>
        <v>0</v>
      </c>
      <c r="E253" s="453">
        <v>0</v>
      </c>
      <c r="F253" s="454">
        <v>0</v>
      </c>
      <c r="G253" s="453">
        <f t="shared" ref="G253:G260" si="67">E253*F253</f>
        <v>0</v>
      </c>
      <c r="H253" s="443">
        <f t="shared" ref="H253:H256" si="68">D253+G253</f>
        <v>0</v>
      </c>
      <c r="I253" s="354"/>
      <c r="J253" s="354"/>
    </row>
    <row r="254" spans="1:10" x14ac:dyDescent="0.2">
      <c r="A254" s="1003"/>
      <c r="B254" s="315">
        <v>53207020000000</v>
      </c>
      <c r="C254" s="439" t="s">
        <v>57</v>
      </c>
      <c r="D254" s="453">
        <f t="shared" ref="D254:D256" si="69">+O114</f>
        <v>0</v>
      </c>
      <c r="E254" s="453">
        <v>0</v>
      </c>
      <c r="F254" s="454">
        <v>0</v>
      </c>
      <c r="G254" s="453">
        <f t="shared" si="67"/>
        <v>0</v>
      </c>
      <c r="H254" s="443">
        <f t="shared" si="68"/>
        <v>0</v>
      </c>
      <c r="I254" s="354"/>
      <c r="J254" s="354"/>
    </row>
    <row r="255" spans="1:10" x14ac:dyDescent="0.2">
      <c r="A255" s="1003"/>
      <c r="B255" s="315">
        <v>53208020000000</v>
      </c>
      <c r="C255" s="439" t="s">
        <v>168</v>
      </c>
      <c r="D255" s="453">
        <f t="shared" si="69"/>
        <v>0</v>
      </c>
      <c r="E255" s="453">
        <v>0</v>
      </c>
      <c r="F255" s="454">
        <v>0</v>
      </c>
      <c r="G255" s="453">
        <f t="shared" si="67"/>
        <v>0</v>
      </c>
      <c r="H255" s="443">
        <f t="shared" si="68"/>
        <v>0</v>
      </c>
      <c r="I255" s="354"/>
      <c r="J255" s="354"/>
    </row>
    <row r="256" spans="1:10" x14ac:dyDescent="0.2">
      <c r="A256" s="1003"/>
      <c r="B256" s="315">
        <v>53208990000000</v>
      </c>
      <c r="C256" s="439" t="s">
        <v>186</v>
      </c>
      <c r="D256" s="453">
        <f t="shared" si="69"/>
        <v>203400</v>
      </c>
      <c r="E256" s="453">
        <v>0</v>
      </c>
      <c r="F256" s="454">
        <v>0</v>
      </c>
      <c r="G256" s="453">
        <f t="shared" si="67"/>
        <v>0</v>
      </c>
      <c r="H256" s="443">
        <f t="shared" si="68"/>
        <v>203400</v>
      </c>
      <c r="I256" s="354"/>
      <c r="J256" s="354"/>
    </row>
    <row r="257" spans="1:10" x14ac:dyDescent="0.2">
      <c r="A257" s="1003"/>
      <c r="B257" s="316">
        <v>53210020300000</v>
      </c>
      <c r="C257" s="439" t="s">
        <v>188</v>
      </c>
      <c r="D257" s="603">
        <v>0</v>
      </c>
      <c r="E257" s="603">
        <v>0</v>
      </c>
      <c r="F257" s="604">
        <v>0</v>
      </c>
      <c r="G257" s="441">
        <f t="shared" si="67"/>
        <v>0</v>
      </c>
      <c r="H257" s="443">
        <f>D257+G257</f>
        <v>0</v>
      </c>
      <c r="I257" s="354"/>
      <c r="J257" s="354"/>
    </row>
    <row r="258" spans="1:10" x14ac:dyDescent="0.2">
      <c r="A258" s="1003"/>
      <c r="B258" s="315">
        <v>53208990000000</v>
      </c>
      <c r="C258" s="439" t="s">
        <v>189</v>
      </c>
      <c r="D258" s="441">
        <f>+O117</f>
        <v>32840.014799999997</v>
      </c>
      <c r="E258" s="441">
        <v>0</v>
      </c>
      <c r="F258" s="457">
        <v>0</v>
      </c>
      <c r="G258" s="441">
        <f t="shared" si="67"/>
        <v>0</v>
      </c>
      <c r="H258" s="443">
        <f>D258+G258</f>
        <v>32840.014799999997</v>
      </c>
      <c r="I258" s="354"/>
      <c r="J258" s="354"/>
    </row>
    <row r="259" spans="1:10" x14ac:dyDescent="0.2">
      <c r="A259" s="1003"/>
      <c r="B259" s="315">
        <v>53209990000000</v>
      </c>
      <c r="C259" s="439" t="s">
        <v>187</v>
      </c>
      <c r="D259" s="441">
        <f t="shared" ref="D259:D260" si="70">+O118</f>
        <v>0</v>
      </c>
      <c r="E259" s="441">
        <v>0</v>
      </c>
      <c r="F259" s="457">
        <v>0</v>
      </c>
      <c r="G259" s="441">
        <f t="shared" si="67"/>
        <v>0</v>
      </c>
      <c r="H259" s="443">
        <f t="shared" ref="H259:H260" si="71">D259+G259</f>
        <v>0</v>
      </c>
      <c r="I259" s="354"/>
      <c r="J259" s="354"/>
    </row>
    <row r="260" spans="1:10" x14ac:dyDescent="0.2">
      <c r="A260" s="1003"/>
      <c r="B260" s="315">
        <v>53210020100000</v>
      </c>
      <c r="C260" s="439" t="s">
        <v>64</v>
      </c>
      <c r="D260" s="441">
        <f t="shared" si="70"/>
        <v>386674.80000000005</v>
      </c>
      <c r="E260" s="441">
        <v>0</v>
      </c>
      <c r="F260" s="457">
        <v>0</v>
      </c>
      <c r="G260" s="441">
        <f t="shared" si="67"/>
        <v>0</v>
      </c>
      <c r="H260" s="443">
        <f t="shared" si="71"/>
        <v>386674.80000000005</v>
      </c>
      <c r="I260" s="354"/>
      <c r="J260" s="354"/>
    </row>
    <row r="261" spans="1:10" x14ac:dyDescent="0.2">
      <c r="A261" s="1003"/>
      <c r="B261" s="314"/>
      <c r="C261" s="435" t="s">
        <v>65</v>
      </c>
      <c r="D261" s="436">
        <f>SUM(D262:D268)</f>
        <v>506491.2</v>
      </c>
      <c r="E261" s="437"/>
      <c r="F261" s="437"/>
      <c r="G261" s="436">
        <f>SUM(G262:G268)</f>
        <v>0</v>
      </c>
      <c r="H261" s="374">
        <f>SUM(H262:H268)</f>
        <v>506491.2</v>
      </c>
      <c r="I261" s="354"/>
      <c r="J261" s="354"/>
    </row>
    <row r="262" spans="1:10" x14ac:dyDescent="0.2">
      <c r="A262" s="1003"/>
      <c r="B262" s="315">
        <v>53206030000000</v>
      </c>
      <c r="C262" s="439" t="s">
        <v>99</v>
      </c>
      <c r="D262" s="453">
        <f>+O121</f>
        <v>0</v>
      </c>
      <c r="E262" s="453">
        <v>0</v>
      </c>
      <c r="F262" s="454">
        <v>0</v>
      </c>
      <c r="G262" s="441">
        <f t="shared" ref="G262:G268" si="72">E262*F262</f>
        <v>0</v>
      </c>
      <c r="H262" s="443">
        <f t="shared" ref="H262:H268" si="73">D262+G262</f>
        <v>0</v>
      </c>
      <c r="I262" s="354"/>
      <c r="J262" s="354"/>
    </row>
    <row r="263" spans="1:10" x14ac:dyDescent="0.2">
      <c r="A263" s="1003"/>
      <c r="B263" s="315">
        <v>53206040000000</v>
      </c>
      <c r="C263" s="439" t="s">
        <v>100</v>
      </c>
      <c r="D263" s="453">
        <f t="shared" ref="D263:D268" si="74">+O122</f>
        <v>0</v>
      </c>
      <c r="E263" s="453">
        <v>0</v>
      </c>
      <c r="F263" s="454">
        <v>0</v>
      </c>
      <c r="G263" s="441">
        <f t="shared" si="72"/>
        <v>0</v>
      </c>
      <c r="H263" s="443">
        <f t="shared" si="73"/>
        <v>0</v>
      </c>
      <c r="I263" s="354"/>
      <c r="J263" s="354"/>
    </row>
    <row r="264" spans="1:10" x14ac:dyDescent="0.2">
      <c r="A264" s="1003"/>
      <c r="B264" s="315">
        <v>53206060000000</v>
      </c>
      <c r="C264" s="439" t="s">
        <v>190</v>
      </c>
      <c r="D264" s="453">
        <f t="shared" si="74"/>
        <v>0</v>
      </c>
      <c r="E264" s="453">
        <v>0</v>
      </c>
      <c r="F264" s="454">
        <v>0</v>
      </c>
      <c r="G264" s="441">
        <f t="shared" si="72"/>
        <v>0</v>
      </c>
      <c r="H264" s="443">
        <f t="shared" si="73"/>
        <v>0</v>
      </c>
      <c r="I264" s="354"/>
      <c r="J264" s="354"/>
    </row>
    <row r="265" spans="1:10" x14ac:dyDescent="0.2">
      <c r="A265" s="1003"/>
      <c r="B265" s="315">
        <v>53206070000000</v>
      </c>
      <c r="C265" s="439" t="s">
        <v>102</v>
      </c>
      <c r="D265" s="453">
        <f t="shared" si="74"/>
        <v>0</v>
      </c>
      <c r="E265" s="453">
        <v>0</v>
      </c>
      <c r="F265" s="454">
        <v>0</v>
      </c>
      <c r="G265" s="441">
        <f t="shared" si="72"/>
        <v>0</v>
      </c>
      <c r="H265" s="443">
        <f t="shared" si="73"/>
        <v>0</v>
      </c>
      <c r="I265" s="354"/>
      <c r="J265" s="354"/>
    </row>
    <row r="266" spans="1:10" x14ac:dyDescent="0.2">
      <c r="A266" s="1003"/>
      <c r="B266" s="315">
        <v>53206990000000</v>
      </c>
      <c r="C266" s="439" t="s">
        <v>191</v>
      </c>
      <c r="D266" s="453">
        <f t="shared" si="74"/>
        <v>0</v>
      </c>
      <c r="E266" s="453">
        <v>0</v>
      </c>
      <c r="F266" s="454">
        <v>0</v>
      </c>
      <c r="G266" s="441">
        <f t="shared" si="72"/>
        <v>0</v>
      </c>
      <c r="H266" s="443">
        <f t="shared" si="73"/>
        <v>0</v>
      </c>
      <c r="I266" s="354"/>
      <c r="J266" s="354"/>
    </row>
    <row r="267" spans="1:10" x14ac:dyDescent="0.2">
      <c r="A267" s="1003"/>
      <c r="B267" s="315">
        <v>53208030000000</v>
      </c>
      <c r="C267" s="439" t="s">
        <v>104</v>
      </c>
      <c r="D267" s="453">
        <f t="shared" si="74"/>
        <v>0</v>
      </c>
      <c r="E267" s="453">
        <v>0</v>
      </c>
      <c r="F267" s="454">
        <v>0</v>
      </c>
      <c r="G267" s="441">
        <f t="shared" si="72"/>
        <v>0</v>
      </c>
      <c r="H267" s="443">
        <f t="shared" si="73"/>
        <v>0</v>
      </c>
      <c r="I267" s="354"/>
      <c r="J267" s="354"/>
    </row>
    <row r="268" spans="1:10" x14ac:dyDescent="0.2">
      <c r="A268" s="1003"/>
      <c r="B268" s="315">
        <v>53206990000000</v>
      </c>
      <c r="C268" s="439" t="s">
        <v>220</v>
      </c>
      <c r="D268" s="453">
        <f t="shared" si="74"/>
        <v>506491.2</v>
      </c>
      <c r="E268" s="453">
        <v>0</v>
      </c>
      <c r="F268" s="454">
        <v>0</v>
      </c>
      <c r="G268" s="441">
        <f t="shared" si="72"/>
        <v>0</v>
      </c>
      <c r="H268" s="443">
        <f t="shared" si="73"/>
        <v>506491.2</v>
      </c>
      <c r="I268" s="354"/>
      <c r="J268" s="354"/>
    </row>
    <row r="269" spans="1:10" x14ac:dyDescent="0.2">
      <c r="A269" s="1003"/>
      <c r="B269" s="314"/>
      <c r="C269" s="435" t="s">
        <v>66</v>
      </c>
      <c r="D269" s="436">
        <f>SUM(D270:D270)</f>
        <v>0</v>
      </c>
      <c r="E269" s="437"/>
      <c r="F269" s="437"/>
      <c r="G269" s="436">
        <f>SUM(G270:G270)</f>
        <v>0</v>
      </c>
      <c r="H269" s="374">
        <f>SUM(H270:H270)</f>
        <v>0</v>
      </c>
      <c r="I269" s="354"/>
      <c r="J269" s="354"/>
    </row>
    <row r="270" spans="1:10" x14ac:dyDescent="0.2">
      <c r="A270" s="1003"/>
      <c r="B270" s="319"/>
      <c r="C270" s="458" t="s">
        <v>221</v>
      </c>
      <c r="D270" s="444">
        <v>0</v>
      </c>
      <c r="E270" s="444">
        <v>0</v>
      </c>
      <c r="F270" s="452">
        <v>0</v>
      </c>
      <c r="G270" s="441">
        <f t="shared" ref="G270" si="75">E270*F270</f>
        <v>0</v>
      </c>
      <c r="H270" s="459">
        <f t="shared" ref="H270" si="76">D270+G270</f>
        <v>0</v>
      </c>
      <c r="I270" s="464" t="s">
        <v>224</v>
      </c>
      <c r="J270" s="518">
        <f>+H268+H267+H266+H265+H264+H263+H262+H260+H259+H258+H257+H256+H255+H254+H253+H251+H248+H247+H246+H245+H244+H242+H240+H239+H233+H232+H231+H229+H228+H227+H226+H225+H224+H223+H222+H221+H220+H219</f>
        <v>4718997.8211595239</v>
      </c>
    </row>
    <row r="271" spans="1:10" ht="13.5" thickBot="1" x14ac:dyDescent="0.25">
      <c r="A271" s="1014"/>
      <c r="B271" s="460"/>
      <c r="C271" s="461" t="s">
        <v>105</v>
      </c>
      <c r="D271" s="388">
        <f>SUM(D208,D235)</f>
        <v>67154603.095445231</v>
      </c>
      <c r="E271" s="389"/>
      <c r="F271" s="389"/>
      <c r="G271" s="388">
        <f>SUM(G208,G235)</f>
        <v>4350080</v>
      </c>
      <c r="H271" s="462">
        <f>SUM(H208,H235)</f>
        <v>71504683.095445231</v>
      </c>
      <c r="I271" s="465" t="s">
        <v>225</v>
      </c>
      <c r="J271" s="517">
        <f>+H271-J270</f>
        <v>66785685.274285704</v>
      </c>
    </row>
    <row r="272" spans="1:10" ht="15.75" x14ac:dyDescent="0.2">
      <c r="A272" s="1000" t="s">
        <v>109</v>
      </c>
      <c r="B272" s="1000"/>
      <c r="C272" s="1000"/>
      <c r="D272" s="1000"/>
      <c r="E272" s="1000"/>
      <c r="F272" s="1000"/>
      <c r="G272" s="1001"/>
      <c r="H272" s="466">
        <f>SUM(H271+H139+H75+H205)</f>
        <v>299166952.05522621</v>
      </c>
    </row>
  </sheetData>
  <sheetProtection algorithmName="SHA-512" hashValue="5YoPjafH0MHjbPnYy06rUBl3l+frctHVZCwFCkDcexySSKPwmQblqyWYVZD08PfFM7fWs+GhS14hChR8tgxy8Q==" saltValue="sps+IXcO13tVh7JjWmiolQ==" spinCount="100000" sheet="1" objects="1" scenarios="1"/>
  <mergeCells count="37">
    <mergeCell ref="M97:P97"/>
    <mergeCell ref="M98:P98"/>
    <mergeCell ref="M101:P101"/>
    <mergeCell ref="M103:P103"/>
    <mergeCell ref="A142:A205"/>
    <mergeCell ref="M112:P112"/>
    <mergeCell ref="M120:P120"/>
    <mergeCell ref="C140:C141"/>
    <mergeCell ref="D140:D141"/>
    <mergeCell ref="E140:G140"/>
    <mergeCell ref="H140:H141"/>
    <mergeCell ref="A206:A207"/>
    <mergeCell ref="B206:B207"/>
    <mergeCell ref="C206:C207"/>
    <mergeCell ref="D206:D207"/>
    <mergeCell ref="E206:G206"/>
    <mergeCell ref="C10:C11"/>
    <mergeCell ref="I10:J11"/>
    <mergeCell ref="D4:E4"/>
    <mergeCell ref="M76:M77"/>
    <mergeCell ref="A272:G272"/>
    <mergeCell ref="A8:C8"/>
    <mergeCell ref="A12:A75"/>
    <mergeCell ref="B10:B11"/>
    <mergeCell ref="A10:A11"/>
    <mergeCell ref="E10:G10"/>
    <mergeCell ref="D10:D11"/>
    <mergeCell ref="H206:H207"/>
    <mergeCell ref="A208:A271"/>
    <mergeCell ref="A76:A139"/>
    <mergeCell ref="A140:A141"/>
    <mergeCell ref="B140:B141"/>
    <mergeCell ref="N76:N77"/>
    <mergeCell ref="O76:O77"/>
    <mergeCell ref="P76:P77"/>
    <mergeCell ref="L76:L77"/>
    <mergeCell ref="H10:H11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D.B.S.A.ORDINARIO&amp;R02-BS/0307/02pag &amp;P de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00B0F0"/>
  </sheetPr>
  <dimension ref="A1:IH98"/>
  <sheetViews>
    <sheetView showGridLines="0" topLeftCell="M4" zoomScale="80" zoomScaleNormal="80" workbookViewId="0">
      <selection activeCell="AB41" sqref="AB40:AB41"/>
    </sheetView>
  </sheetViews>
  <sheetFormatPr baseColWidth="10" defaultColWidth="11.42578125" defaultRowHeight="12.75" x14ac:dyDescent="0.2"/>
  <cols>
    <col min="1" max="1" width="7.140625" style="31" customWidth="1"/>
    <col min="2" max="2" width="28" style="31" customWidth="1"/>
    <col min="3" max="3" width="28.7109375" style="31" customWidth="1"/>
    <col min="4" max="4" width="24.140625" style="31" customWidth="1"/>
    <col min="5" max="5" width="25.140625" style="31" customWidth="1"/>
    <col min="6" max="6" width="22.140625" style="31" customWidth="1"/>
    <col min="7" max="7" width="14.85546875" style="31" customWidth="1"/>
    <col min="8" max="8" width="15" style="31" customWidth="1"/>
    <col min="9" max="9" width="15.140625" style="31" customWidth="1"/>
    <col min="10" max="10" width="17.42578125" style="31" customWidth="1"/>
    <col min="11" max="11" width="19.140625" style="31" customWidth="1"/>
    <col min="12" max="12" width="4.85546875" style="31" customWidth="1"/>
    <col min="13" max="13" width="19.140625" style="31" customWidth="1"/>
    <col min="14" max="14" width="16.140625" style="31" customWidth="1"/>
    <col min="15" max="15" width="17.140625" style="31" customWidth="1"/>
    <col min="16" max="16" width="14.85546875" style="31" customWidth="1"/>
    <col min="17" max="17" width="17.7109375" style="31" customWidth="1"/>
    <col min="18" max="18" width="17.140625" style="31" customWidth="1"/>
    <col min="19" max="19" width="17.42578125" style="31" customWidth="1"/>
    <col min="20" max="20" width="5" style="31" customWidth="1"/>
    <col min="21" max="21" width="19.85546875" style="31" bestFit="1" customWidth="1"/>
    <col min="22" max="22" width="52.140625" style="31" bestFit="1" customWidth="1"/>
    <col min="23" max="23" width="18.28515625" style="31" customWidth="1"/>
    <col min="24" max="24" width="5.7109375" style="31" customWidth="1"/>
    <col min="25" max="25" width="11.42578125" style="31" customWidth="1"/>
    <col min="26" max="31" width="14.28515625" style="31" customWidth="1"/>
    <col min="32" max="32" width="11.28515625" style="31" customWidth="1"/>
    <col min="33" max="38" width="14.28515625" style="31" customWidth="1"/>
    <col min="39" max="39" width="11.42578125" style="31"/>
    <col min="40" max="45" width="14.28515625" style="31" customWidth="1"/>
    <col min="46" max="16384" width="11.42578125" style="31"/>
  </cols>
  <sheetData>
    <row r="1" spans="1:242" s="6" customFormat="1" x14ac:dyDescent="0.2">
      <c r="C1" s="7"/>
      <c r="D1" s="7"/>
      <c r="E1" s="44" t="s">
        <v>203</v>
      </c>
      <c r="F1" s="44"/>
      <c r="G1" s="44"/>
      <c r="H1" s="44"/>
      <c r="I1" s="44"/>
      <c r="J1" s="7"/>
      <c r="K1" s="7"/>
      <c r="L1" s="7"/>
      <c r="IG1" s="4"/>
      <c r="IH1" s="4"/>
    </row>
    <row r="2" spans="1:242" s="6" customFormat="1" x14ac:dyDescent="0.2">
      <c r="E2" s="44" t="s">
        <v>195</v>
      </c>
      <c r="F2" s="44"/>
      <c r="G2" s="44"/>
      <c r="H2" s="44"/>
      <c r="I2" s="44"/>
      <c r="IG2" s="4"/>
      <c r="IH2" s="4"/>
    </row>
    <row r="3" spans="1:242" s="6" customFormat="1" x14ac:dyDescent="0.2">
      <c r="B3" s="2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6"/>
      <c r="D4" s="105" t="s">
        <v>0</v>
      </c>
      <c r="E4" s="166" t="str">
        <f>+'B) Reajuste Tarifas y Ocupación'!F5</f>
        <v>(DEPTO./DELEG.)</v>
      </c>
      <c r="F4" s="72"/>
      <c r="G4" s="73"/>
      <c r="H4" s="73"/>
      <c r="I4" s="73"/>
      <c r="J4" s="73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6"/>
      <c r="D5" s="106"/>
      <c r="E5" s="109"/>
      <c r="F5" s="109"/>
      <c r="G5" s="109"/>
      <c r="H5" s="109"/>
      <c r="I5" s="109"/>
      <c r="J5" s="109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6"/>
      <c r="D6" s="106"/>
      <c r="E6" s="109"/>
      <c r="F6" s="109"/>
      <c r="G6" s="109"/>
      <c r="H6" s="109"/>
      <c r="I6" s="109"/>
      <c r="J6" s="109"/>
      <c r="O6" s="3"/>
      <c r="HX6" s="4"/>
      <c r="HY6" s="4"/>
      <c r="HZ6" s="4"/>
      <c r="IA6" s="4"/>
      <c r="IB6" s="4"/>
      <c r="IC6" s="4"/>
    </row>
    <row r="7" spans="1:242" x14ac:dyDescent="0.2">
      <c r="B7" s="29"/>
      <c r="C7" s="29"/>
      <c r="D7" s="29"/>
      <c r="E7" s="29"/>
      <c r="F7" s="29"/>
      <c r="G7" s="29"/>
      <c r="H7" s="29"/>
      <c r="I7" s="29"/>
      <c r="J7" s="37"/>
      <c r="K7" s="37"/>
      <c r="L7" s="37"/>
      <c r="M7" s="37"/>
      <c r="N7" s="37"/>
      <c r="O7" s="37"/>
      <c r="P7" s="37"/>
      <c r="Q7" s="37"/>
      <c r="R7" s="37"/>
      <c r="Y7" s="190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2"/>
    </row>
    <row r="8" spans="1:242" x14ac:dyDescent="0.2">
      <c r="B8" s="29"/>
      <c r="C8" s="29"/>
      <c r="D8" s="29"/>
      <c r="E8" s="29"/>
      <c r="F8" s="29"/>
      <c r="G8" s="29"/>
      <c r="H8" s="29"/>
      <c r="I8" s="29"/>
      <c r="J8" s="37"/>
      <c r="K8" s="37"/>
      <c r="L8" s="37"/>
      <c r="M8" s="37"/>
      <c r="N8" s="37"/>
      <c r="O8" s="37"/>
      <c r="P8" s="37"/>
      <c r="Q8" s="37"/>
      <c r="R8" s="37"/>
      <c r="Y8" s="193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194"/>
    </row>
    <row r="9" spans="1:242" ht="15.75" customHeight="1" x14ac:dyDescent="0.2">
      <c r="A9" s="1036" t="s">
        <v>151</v>
      </c>
      <c r="B9" s="1036"/>
      <c r="C9" s="1036"/>
      <c r="D9" s="1036"/>
      <c r="E9" s="1036"/>
      <c r="F9" s="1036"/>
      <c r="G9" s="1036"/>
      <c r="H9" s="1036"/>
      <c r="I9" s="108"/>
      <c r="J9" s="108"/>
      <c r="K9" s="108"/>
      <c r="L9" s="108"/>
      <c r="M9" s="1037" t="s">
        <v>152</v>
      </c>
      <c r="N9" s="1037"/>
      <c r="O9" s="1037"/>
      <c r="P9" s="1037"/>
      <c r="Q9" s="1037"/>
      <c r="R9" s="1037"/>
      <c r="S9" s="1037"/>
      <c r="U9" s="1037" t="s">
        <v>153</v>
      </c>
      <c r="V9" s="1037"/>
      <c r="W9" s="1037"/>
      <c r="X9" s="139"/>
      <c r="Y9" s="195"/>
      <c r="Z9" s="1037" t="s">
        <v>154</v>
      </c>
      <c r="AA9" s="1037"/>
      <c r="AB9" s="1037"/>
      <c r="AC9" s="1037"/>
      <c r="AD9" s="1037"/>
      <c r="AE9" s="1037"/>
      <c r="AF9" s="139"/>
      <c r="AG9" s="1037" t="s">
        <v>155</v>
      </c>
      <c r="AH9" s="1037"/>
      <c r="AI9" s="1037"/>
      <c r="AJ9" s="1037"/>
      <c r="AK9" s="1037"/>
      <c r="AL9" s="1037"/>
      <c r="AM9" s="39"/>
      <c r="AN9" s="1037" t="s">
        <v>156</v>
      </c>
      <c r="AO9" s="1037"/>
      <c r="AP9" s="1037"/>
      <c r="AQ9" s="1037"/>
      <c r="AR9" s="1037"/>
      <c r="AS9" s="1037"/>
      <c r="AT9" s="194"/>
    </row>
    <row r="10" spans="1:242" ht="13.5" customHeight="1" x14ac:dyDescent="0.2">
      <c r="B10" s="26"/>
      <c r="C10" s="106"/>
      <c r="D10" s="106"/>
      <c r="E10" s="109"/>
      <c r="F10" s="109"/>
      <c r="G10" s="109"/>
      <c r="H10" s="109"/>
      <c r="I10" s="109"/>
      <c r="J10" s="109"/>
      <c r="M10" s="1037"/>
      <c r="N10" s="1037"/>
      <c r="O10" s="1037"/>
      <c r="P10" s="1037"/>
      <c r="Q10" s="1037"/>
      <c r="R10" s="1037"/>
      <c r="S10" s="1037"/>
      <c r="U10" s="1037"/>
      <c r="V10" s="1037"/>
      <c r="W10" s="1037"/>
      <c r="Y10" s="193"/>
      <c r="Z10" s="1037"/>
      <c r="AA10" s="1037"/>
      <c r="AB10" s="1037"/>
      <c r="AC10" s="1037"/>
      <c r="AD10" s="1037"/>
      <c r="AE10" s="1037"/>
      <c r="AF10" s="39"/>
      <c r="AG10" s="1037"/>
      <c r="AH10" s="1037"/>
      <c r="AI10" s="1037"/>
      <c r="AJ10" s="1037"/>
      <c r="AK10" s="1037"/>
      <c r="AL10" s="1037"/>
      <c r="AM10" s="39"/>
      <c r="AN10" s="1037"/>
      <c r="AO10" s="1037"/>
      <c r="AP10" s="1037"/>
      <c r="AQ10" s="1037"/>
      <c r="AR10" s="1037"/>
      <c r="AS10" s="1037"/>
      <c r="AT10" s="194"/>
    </row>
    <row r="11" spans="1:242" x14ac:dyDescent="0.2">
      <c r="J11" s="76" t="s">
        <v>4</v>
      </c>
      <c r="K11" s="75">
        <v>0.13</v>
      </c>
      <c r="Y11" s="193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194"/>
    </row>
    <row r="12" spans="1:242" ht="12.75" customHeight="1" thickBot="1" x14ac:dyDescent="0.25">
      <c r="K12" s="39"/>
      <c r="L12" s="39"/>
      <c r="M12" s="1029"/>
      <c r="N12" s="1029"/>
      <c r="O12" s="1029"/>
      <c r="P12" s="1029"/>
      <c r="Q12" s="1029"/>
      <c r="R12" s="1029"/>
      <c r="Y12" s="193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194"/>
    </row>
    <row r="13" spans="1:242" ht="21.75" customHeight="1" x14ac:dyDescent="0.2">
      <c r="A13" s="1049" t="s">
        <v>117</v>
      </c>
      <c r="B13" s="1050"/>
      <c r="C13" s="1053" t="s">
        <v>73</v>
      </c>
      <c r="D13" s="1053" t="s">
        <v>74</v>
      </c>
      <c r="E13" s="1055" t="s">
        <v>3</v>
      </c>
      <c r="F13" s="1055" t="s">
        <v>81</v>
      </c>
      <c r="G13" s="1057" t="s">
        <v>268</v>
      </c>
      <c r="H13" s="1058"/>
      <c r="I13" s="1058"/>
      <c r="J13" s="1058"/>
      <c r="K13" s="1042" t="s">
        <v>270</v>
      </c>
      <c r="L13" s="37"/>
      <c r="M13" s="1044" t="s">
        <v>69</v>
      </c>
      <c r="N13" s="1045"/>
      <c r="O13" s="1046" t="s">
        <v>70</v>
      </c>
      <c r="P13" s="1047"/>
      <c r="Q13" s="1048" t="s">
        <v>71</v>
      </c>
      <c r="R13" s="1048"/>
      <c r="S13" s="1069" t="s">
        <v>142</v>
      </c>
      <c r="U13" s="1038" t="s">
        <v>75</v>
      </c>
      <c r="V13" s="1040" t="s">
        <v>76</v>
      </c>
      <c r="W13" s="1071" t="s">
        <v>229</v>
      </c>
      <c r="Y13" s="193"/>
      <c r="Z13" s="1076" t="s">
        <v>69</v>
      </c>
      <c r="AA13" s="1077"/>
      <c r="AB13" s="1078" t="s">
        <v>70</v>
      </c>
      <c r="AC13" s="1079"/>
      <c r="AD13" s="1080" t="s">
        <v>71</v>
      </c>
      <c r="AE13" s="1081"/>
      <c r="AF13" s="39"/>
      <c r="AG13" s="1044" t="s">
        <v>69</v>
      </c>
      <c r="AH13" s="1082"/>
      <c r="AI13" s="1046" t="s">
        <v>70</v>
      </c>
      <c r="AJ13" s="1047"/>
      <c r="AK13" s="1072" t="s">
        <v>71</v>
      </c>
      <c r="AL13" s="1073"/>
      <c r="AM13" s="39"/>
      <c r="AN13" s="1044" t="s">
        <v>69</v>
      </c>
      <c r="AO13" s="1082"/>
      <c r="AP13" s="1046" t="s">
        <v>70</v>
      </c>
      <c r="AQ13" s="1047"/>
      <c r="AR13" s="1072" t="s">
        <v>71</v>
      </c>
      <c r="AS13" s="1073"/>
      <c r="AT13" s="194"/>
    </row>
    <row r="14" spans="1:242" s="39" customFormat="1" ht="49.5" customHeight="1" thickBot="1" x14ac:dyDescent="0.25">
      <c r="A14" s="1051"/>
      <c r="B14" s="1052"/>
      <c r="C14" s="1054"/>
      <c r="D14" s="1054"/>
      <c r="E14" s="1056"/>
      <c r="F14" s="1056"/>
      <c r="G14" s="311" t="s">
        <v>216</v>
      </c>
      <c r="H14" s="312" t="s">
        <v>115</v>
      </c>
      <c r="I14" s="312" t="s">
        <v>116</v>
      </c>
      <c r="J14" s="313" t="s">
        <v>269</v>
      </c>
      <c r="K14" s="1043"/>
      <c r="L14" s="37"/>
      <c r="M14" s="174" t="s">
        <v>36</v>
      </c>
      <c r="N14" s="176" t="s">
        <v>37</v>
      </c>
      <c r="O14" s="184" t="s">
        <v>36</v>
      </c>
      <c r="P14" s="185" t="s">
        <v>37</v>
      </c>
      <c r="Q14" s="177" t="s">
        <v>36</v>
      </c>
      <c r="R14" s="605" t="s">
        <v>37</v>
      </c>
      <c r="S14" s="1070"/>
      <c r="U14" s="1039"/>
      <c r="V14" s="1041"/>
      <c r="W14" s="1071"/>
      <c r="Y14" s="193"/>
      <c r="Z14" s="174" t="s">
        <v>36</v>
      </c>
      <c r="AA14" s="176" t="s">
        <v>37</v>
      </c>
      <c r="AB14" s="184" t="s">
        <v>36</v>
      </c>
      <c r="AC14" s="185" t="s">
        <v>37</v>
      </c>
      <c r="AD14" s="177" t="s">
        <v>36</v>
      </c>
      <c r="AE14" s="175" t="s">
        <v>37</v>
      </c>
      <c r="AG14" s="196" t="s">
        <v>36</v>
      </c>
      <c r="AH14" s="197" t="s">
        <v>37</v>
      </c>
      <c r="AI14" s="198" t="s">
        <v>36</v>
      </c>
      <c r="AJ14" s="199" t="s">
        <v>37</v>
      </c>
      <c r="AK14" s="200" t="s">
        <v>36</v>
      </c>
      <c r="AL14" s="201" t="s">
        <v>37</v>
      </c>
      <c r="AN14" s="1074" t="s">
        <v>143</v>
      </c>
      <c r="AO14" s="1075"/>
      <c r="AP14" s="1085" t="s">
        <v>143</v>
      </c>
      <c r="AQ14" s="1086"/>
      <c r="AR14" s="1087" t="s">
        <v>144</v>
      </c>
      <c r="AS14" s="1088"/>
      <c r="AT14" s="194"/>
    </row>
    <row r="15" spans="1:242" s="39" customFormat="1" ht="12.75" customHeight="1" thickBot="1" x14ac:dyDescent="0.25">
      <c r="A15" s="1059" t="s">
        <v>138</v>
      </c>
      <c r="B15" s="1062" t="s">
        <v>93</v>
      </c>
      <c r="C15" s="670" t="s">
        <v>329</v>
      </c>
      <c r="D15" s="660" t="s">
        <v>330</v>
      </c>
      <c r="E15" s="747" t="s">
        <v>331</v>
      </c>
      <c r="F15" s="748" t="s">
        <v>118</v>
      </c>
      <c r="G15" s="111">
        <f>1185784*12</f>
        <v>14229408</v>
      </c>
      <c r="H15" s="111">
        <f>65535+85466</f>
        <v>151001</v>
      </c>
      <c r="I15" s="126">
        <f>72819+72819</f>
        <v>145638</v>
      </c>
      <c r="J15" s="129">
        <f>SUM(G15:I15)</f>
        <v>14526047</v>
      </c>
      <c r="K15" s="124">
        <f t="shared" ref="K15:K61" si="0">+J15*(1+$K$11)</f>
        <v>16414433.109999998</v>
      </c>
      <c r="L15" s="37"/>
      <c r="M15" s="152">
        <v>0.13</v>
      </c>
      <c r="N15" s="170">
        <f t="shared" ref="N15:N61" si="1">+$K15*M15</f>
        <v>2133876.3043</v>
      </c>
      <c r="O15" s="152">
        <v>0.03</v>
      </c>
      <c r="P15" s="181">
        <f t="shared" ref="P15:P61" si="2">+$K15*O15</f>
        <v>492432.99329999991</v>
      </c>
      <c r="Q15" s="178">
        <v>0.84</v>
      </c>
      <c r="R15" s="606">
        <f t="shared" ref="R15:R61" si="3">+$K15*Q15</f>
        <v>13788123.812399998</v>
      </c>
      <c r="S15" s="609">
        <f>+M15+O15+Q15</f>
        <v>1</v>
      </c>
      <c r="U15" s="143"/>
      <c r="V15" s="140" t="s">
        <v>11</v>
      </c>
      <c r="W15" s="146">
        <f>SUM(W16,W20)</f>
        <v>55813403.810000002</v>
      </c>
      <c r="Y15" s="193"/>
      <c r="Z15" s="186">
        <f t="shared" ref="Z15:AE15" si="4">+M62</f>
        <v>0.30445447173681622</v>
      </c>
      <c r="AA15" s="188">
        <f t="shared" si="4"/>
        <v>91100084.162909999</v>
      </c>
      <c r="AB15" s="186">
        <f t="shared" si="4"/>
        <v>8.5941941532794122E-2</v>
      </c>
      <c r="AC15" s="189">
        <f t="shared" si="4"/>
        <v>25715891.318980001</v>
      </c>
      <c r="AD15" s="187">
        <f t="shared" si="4"/>
        <v>0.60960358673038961</v>
      </c>
      <c r="AE15" s="189">
        <f t="shared" si="4"/>
        <v>182408022.25810999</v>
      </c>
      <c r="AG15" s="270">
        <f>+Z15</f>
        <v>0.30445447173681622</v>
      </c>
      <c r="AH15" s="271">
        <f>+AG15*W80+K70</f>
        <v>55158195.368022159</v>
      </c>
      <c r="AI15" s="272">
        <f>+AB15</f>
        <v>8.5941941532794122E-2</v>
      </c>
      <c r="AJ15" s="271">
        <f>+AI15*W80</f>
        <v>7779960.5861416953</v>
      </c>
      <c r="AK15" s="273">
        <f>+AD15</f>
        <v>0.60960358673038961</v>
      </c>
      <c r="AL15" s="274">
        <f>+AK15*W80</f>
        <v>55184835.172978997</v>
      </c>
      <c r="AN15" s="1083">
        <f>+AH15+AA15</f>
        <v>146258279.53093216</v>
      </c>
      <c r="AO15" s="1084"/>
      <c r="AP15" s="1083">
        <f>+AJ15+AC15</f>
        <v>33495851.905121695</v>
      </c>
      <c r="AQ15" s="1084"/>
      <c r="AR15" s="1083">
        <f>+AL15+AE15</f>
        <v>237592857.43108898</v>
      </c>
      <c r="AS15" s="1084"/>
      <c r="AT15" s="194"/>
    </row>
    <row r="16" spans="1:242" s="39" customFormat="1" x14ac:dyDescent="0.2">
      <c r="A16" s="1060"/>
      <c r="B16" s="1063"/>
      <c r="C16" s="749" t="s">
        <v>332</v>
      </c>
      <c r="D16" s="662" t="s">
        <v>333</v>
      </c>
      <c r="E16" s="750" t="s">
        <v>334</v>
      </c>
      <c r="F16" s="751" t="s">
        <v>118</v>
      </c>
      <c r="G16" s="112">
        <f>860582*12</f>
        <v>10326984</v>
      </c>
      <c r="H16" s="112">
        <f>101037+85466</f>
        <v>186503</v>
      </c>
      <c r="I16" s="127">
        <f>74515+74515</f>
        <v>149030</v>
      </c>
      <c r="J16" s="130">
        <f t="shared" ref="J16:J39" si="5">SUM(G16:I16)</f>
        <v>10662517</v>
      </c>
      <c r="K16" s="125">
        <f t="shared" si="0"/>
        <v>12048644.209999999</v>
      </c>
      <c r="L16" s="37"/>
      <c r="M16" s="168">
        <v>0.42199999999999999</v>
      </c>
      <c r="N16" s="171">
        <f t="shared" si="1"/>
        <v>5084527.8566199997</v>
      </c>
      <c r="O16" s="168">
        <v>8.5999999999999993E-2</v>
      </c>
      <c r="P16" s="169">
        <f t="shared" si="2"/>
        <v>1036183.4020599999</v>
      </c>
      <c r="Q16" s="179">
        <v>0.49199999999999999</v>
      </c>
      <c r="R16" s="607">
        <f t="shared" si="3"/>
        <v>5927932.9513199991</v>
      </c>
      <c r="S16" s="610">
        <f t="shared" ref="S16:S61" si="6">+M16+O16+Q16</f>
        <v>1</v>
      </c>
      <c r="U16" s="144"/>
      <c r="V16" s="141" t="s">
        <v>12</v>
      </c>
      <c r="W16" s="147">
        <f>SUM(W17:W19)</f>
        <v>1000000</v>
      </c>
      <c r="Y16" s="193"/>
      <c r="AT16" s="194"/>
    </row>
    <row r="17" spans="1:46" s="39" customFormat="1" ht="12.75" customHeight="1" x14ac:dyDescent="0.2">
      <c r="A17" s="1060"/>
      <c r="B17" s="1063"/>
      <c r="C17" s="749" t="s">
        <v>335</v>
      </c>
      <c r="D17" s="662" t="s">
        <v>336</v>
      </c>
      <c r="E17" s="750" t="s">
        <v>337</v>
      </c>
      <c r="F17" s="751" t="s">
        <v>118</v>
      </c>
      <c r="G17" s="112">
        <f>915733*12</f>
        <v>10988796</v>
      </c>
      <c r="H17" s="112">
        <f>65535+85466</f>
        <v>151001</v>
      </c>
      <c r="I17" s="127">
        <f>74515+74515</f>
        <v>149030</v>
      </c>
      <c r="J17" s="130">
        <f t="shared" si="5"/>
        <v>11288827</v>
      </c>
      <c r="K17" s="125">
        <f t="shared" si="0"/>
        <v>12756374.509999998</v>
      </c>
      <c r="L17" s="37"/>
      <c r="M17" s="168">
        <v>0.13</v>
      </c>
      <c r="N17" s="171">
        <f t="shared" si="1"/>
        <v>1658328.6862999997</v>
      </c>
      <c r="O17" s="168">
        <v>0.03</v>
      </c>
      <c r="P17" s="169">
        <f t="shared" si="2"/>
        <v>382691.23529999994</v>
      </c>
      <c r="Q17" s="179">
        <v>0.84</v>
      </c>
      <c r="R17" s="607">
        <f t="shared" si="3"/>
        <v>10715354.588399997</v>
      </c>
      <c r="S17" s="610">
        <f t="shared" si="6"/>
        <v>1</v>
      </c>
      <c r="U17" s="145">
        <v>53103050000000</v>
      </c>
      <c r="V17" s="142" t="s">
        <v>13</v>
      </c>
      <c r="W17" s="148">
        <v>0</v>
      </c>
      <c r="Y17" s="193"/>
      <c r="AT17" s="194"/>
    </row>
    <row r="18" spans="1:46" s="39" customFormat="1" ht="13.5" customHeight="1" thickBot="1" x14ac:dyDescent="0.25">
      <c r="A18" s="1060"/>
      <c r="B18" s="1063"/>
      <c r="C18" s="749" t="s">
        <v>338</v>
      </c>
      <c r="D18" s="662" t="s">
        <v>339</v>
      </c>
      <c r="E18" s="750" t="s">
        <v>340</v>
      </c>
      <c r="F18" s="751" t="s">
        <v>118</v>
      </c>
      <c r="G18" s="112">
        <f>695912*12</f>
        <v>8350944</v>
      </c>
      <c r="H18" s="112">
        <f>101037+171709</f>
        <v>272746</v>
      </c>
      <c r="I18" s="127">
        <f>73174+73174</f>
        <v>146348</v>
      </c>
      <c r="J18" s="130">
        <f t="shared" si="5"/>
        <v>8770038</v>
      </c>
      <c r="K18" s="125">
        <f t="shared" si="0"/>
        <v>9910142.9399999995</v>
      </c>
      <c r="L18" s="37"/>
      <c r="M18" s="168">
        <v>0.24</v>
      </c>
      <c r="N18" s="171">
        <f t="shared" si="1"/>
        <v>2378434.3055999996</v>
      </c>
      <c r="O18" s="168">
        <v>0.309</v>
      </c>
      <c r="P18" s="169">
        <f t="shared" si="2"/>
        <v>3062234.1684599998</v>
      </c>
      <c r="Q18" s="179">
        <v>0.45100000000000001</v>
      </c>
      <c r="R18" s="607">
        <f t="shared" si="3"/>
        <v>4469474.4659399996</v>
      </c>
      <c r="S18" s="610">
        <f t="shared" si="6"/>
        <v>1</v>
      </c>
      <c r="U18" s="145">
        <v>53103060000000</v>
      </c>
      <c r="V18" s="142" t="s">
        <v>14</v>
      </c>
      <c r="W18" s="148">
        <v>1000000</v>
      </c>
      <c r="Y18" s="202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4"/>
    </row>
    <row r="19" spans="1:46" s="39" customFormat="1" x14ac:dyDescent="0.2">
      <c r="A19" s="1060"/>
      <c r="B19" s="1063"/>
      <c r="C19" s="749" t="s">
        <v>344</v>
      </c>
      <c r="D19" s="662" t="s">
        <v>345</v>
      </c>
      <c r="E19" s="750" t="s">
        <v>346</v>
      </c>
      <c r="F19" s="751" t="s">
        <v>118</v>
      </c>
      <c r="G19" s="112">
        <f>799250*12</f>
        <v>9591000</v>
      </c>
      <c r="H19" s="112">
        <f>101037+171709</f>
        <v>272746</v>
      </c>
      <c r="I19" s="127">
        <f>73174+73174</f>
        <v>146348</v>
      </c>
      <c r="J19" s="130">
        <f t="shared" si="5"/>
        <v>10010094</v>
      </c>
      <c r="K19" s="125">
        <f t="shared" si="0"/>
        <v>11311406.219999999</v>
      </c>
      <c r="L19" s="37"/>
      <c r="M19" s="168">
        <v>0</v>
      </c>
      <c r="N19" s="171">
        <f t="shared" si="1"/>
        <v>0</v>
      </c>
      <c r="O19" s="168">
        <v>0</v>
      </c>
      <c r="P19" s="169">
        <f t="shared" si="2"/>
        <v>0</v>
      </c>
      <c r="Q19" s="179">
        <v>1</v>
      </c>
      <c r="R19" s="607">
        <f t="shared" si="3"/>
        <v>11311406.219999999</v>
      </c>
      <c r="S19" s="610">
        <f t="shared" si="6"/>
        <v>1</v>
      </c>
      <c r="U19" s="145">
        <v>53103080010000</v>
      </c>
      <c r="V19" s="142" t="s">
        <v>15</v>
      </c>
      <c r="W19" s="148">
        <v>0</v>
      </c>
    </row>
    <row r="20" spans="1:46" s="39" customFormat="1" x14ac:dyDescent="0.2">
      <c r="A20" s="1060"/>
      <c r="B20" s="1063"/>
      <c r="C20" s="749" t="s">
        <v>347</v>
      </c>
      <c r="D20" s="662" t="s">
        <v>348</v>
      </c>
      <c r="E20" s="750" t="s">
        <v>343</v>
      </c>
      <c r="F20" s="751" t="s">
        <v>118</v>
      </c>
      <c r="G20" s="112">
        <f>919371*12</f>
        <v>11032452</v>
      </c>
      <c r="H20" s="112">
        <f>65535+85466</f>
        <v>151001</v>
      </c>
      <c r="I20" s="127">
        <f>72419+72419</f>
        <v>144838</v>
      </c>
      <c r="J20" s="130">
        <f t="shared" si="5"/>
        <v>11328291</v>
      </c>
      <c r="K20" s="125">
        <f t="shared" si="0"/>
        <v>12800968.829999998</v>
      </c>
      <c r="L20" s="37"/>
      <c r="M20" s="168">
        <v>0.93799999999999994</v>
      </c>
      <c r="N20" s="171">
        <f t="shared" si="1"/>
        <v>12007308.762539998</v>
      </c>
      <c r="O20" s="168">
        <v>1.2E-2</v>
      </c>
      <c r="P20" s="169">
        <f t="shared" si="2"/>
        <v>153611.62595999998</v>
      </c>
      <c r="Q20" s="179">
        <v>0.05</v>
      </c>
      <c r="R20" s="607">
        <f t="shared" si="3"/>
        <v>640048.44149999996</v>
      </c>
      <c r="S20" s="610">
        <f t="shared" si="6"/>
        <v>1</v>
      </c>
      <c r="U20" s="144"/>
      <c r="V20" s="141" t="s">
        <v>16</v>
      </c>
      <c r="W20" s="205">
        <f>SUM(W21:W39)</f>
        <v>54813403.810000002</v>
      </c>
    </row>
    <row r="21" spans="1:46" s="39" customFormat="1" x14ac:dyDescent="0.2">
      <c r="A21" s="1060"/>
      <c r="B21" s="1063"/>
      <c r="C21" s="749" t="s">
        <v>341</v>
      </c>
      <c r="D21" s="662" t="s">
        <v>342</v>
      </c>
      <c r="E21" s="750" t="s">
        <v>343</v>
      </c>
      <c r="F21" s="751" t="s">
        <v>118</v>
      </c>
      <c r="G21" s="112">
        <f>778836*12</f>
        <v>9346032</v>
      </c>
      <c r="H21" s="112">
        <f>101037+171709</f>
        <v>272746</v>
      </c>
      <c r="I21" s="127">
        <f>74515+74515</f>
        <v>149030</v>
      </c>
      <c r="J21" s="130">
        <f t="shared" si="5"/>
        <v>9767808</v>
      </c>
      <c r="K21" s="125">
        <f t="shared" si="0"/>
        <v>11037623.039999999</v>
      </c>
      <c r="L21" s="37"/>
      <c r="M21" s="168">
        <v>0.33</v>
      </c>
      <c r="N21" s="171">
        <f t="shared" si="1"/>
        <v>3642415.6031999998</v>
      </c>
      <c r="O21" s="168">
        <v>0.12</v>
      </c>
      <c r="P21" s="169">
        <f t="shared" si="2"/>
        <v>1324514.7647999998</v>
      </c>
      <c r="Q21" s="179">
        <v>0.55000000000000004</v>
      </c>
      <c r="R21" s="607">
        <f t="shared" si="3"/>
        <v>6070692.6720000003</v>
      </c>
      <c r="S21" s="610">
        <f t="shared" si="6"/>
        <v>1</v>
      </c>
      <c r="U21" s="145">
        <v>53201010100000</v>
      </c>
      <c r="V21" s="142" t="s">
        <v>17</v>
      </c>
      <c r="W21" s="148">
        <v>12628540.192857141</v>
      </c>
    </row>
    <row r="22" spans="1:46" s="39" customFormat="1" x14ac:dyDescent="0.2">
      <c r="A22" s="1060"/>
      <c r="B22" s="1063"/>
      <c r="C22" s="88" t="s">
        <v>361</v>
      </c>
      <c r="D22" s="120" t="s">
        <v>362</v>
      </c>
      <c r="E22" s="121" t="s">
        <v>343</v>
      </c>
      <c r="F22" s="122" t="s">
        <v>118</v>
      </c>
      <c r="G22" s="112">
        <f>1026577*12</f>
        <v>12318924</v>
      </c>
      <c r="H22" s="112">
        <f>65535+85466</f>
        <v>151001</v>
      </c>
      <c r="I22" s="127">
        <f>73174+73174</f>
        <v>146348</v>
      </c>
      <c r="J22" s="130">
        <f t="shared" si="5"/>
        <v>12616273</v>
      </c>
      <c r="K22" s="125">
        <f t="shared" si="0"/>
        <v>14256388.489999998</v>
      </c>
      <c r="L22" s="37"/>
      <c r="M22" s="168">
        <v>0.56000000000000005</v>
      </c>
      <c r="N22" s="171">
        <f t="shared" si="1"/>
        <v>7983577.5543999998</v>
      </c>
      <c r="O22" s="168">
        <v>0.27</v>
      </c>
      <c r="P22" s="169">
        <f t="shared" si="2"/>
        <v>3849224.8922999999</v>
      </c>
      <c r="Q22" s="179">
        <v>0.17</v>
      </c>
      <c r="R22" s="607">
        <f t="shared" si="3"/>
        <v>2423586.0433</v>
      </c>
      <c r="S22" s="610">
        <f t="shared" si="6"/>
        <v>1</v>
      </c>
      <c r="U22" s="145">
        <v>53202010100000</v>
      </c>
      <c r="V22" s="142" t="s">
        <v>18</v>
      </c>
      <c r="W22" s="148">
        <v>667763.16857142851</v>
      </c>
    </row>
    <row r="23" spans="1:46" s="39" customFormat="1" x14ac:dyDescent="0.2">
      <c r="A23" s="1060"/>
      <c r="B23" s="1063"/>
      <c r="C23" s="88" t="s">
        <v>365</v>
      </c>
      <c r="D23" s="120" t="s">
        <v>366</v>
      </c>
      <c r="E23" s="121" t="s">
        <v>343</v>
      </c>
      <c r="F23" s="122" t="s">
        <v>118</v>
      </c>
      <c r="G23" s="112">
        <f>881069*12</f>
        <v>10572828</v>
      </c>
      <c r="H23" s="112">
        <f>101037+85466</f>
        <v>186503</v>
      </c>
      <c r="I23" s="127">
        <f>73174+73174</f>
        <v>146348</v>
      </c>
      <c r="J23" s="130">
        <f t="shared" si="5"/>
        <v>10905679</v>
      </c>
      <c r="K23" s="125">
        <f t="shared" si="0"/>
        <v>12323417.27</v>
      </c>
      <c r="L23" s="37"/>
      <c r="M23" s="168">
        <v>0.35</v>
      </c>
      <c r="N23" s="171">
        <f t="shared" si="1"/>
        <v>4313196.0444999998</v>
      </c>
      <c r="O23" s="168">
        <v>0.1</v>
      </c>
      <c r="P23" s="169">
        <f t="shared" si="2"/>
        <v>1232341.727</v>
      </c>
      <c r="Q23" s="179">
        <v>0.55000000000000004</v>
      </c>
      <c r="R23" s="607">
        <f t="shared" si="3"/>
        <v>6777879.4985000007</v>
      </c>
      <c r="S23" s="610">
        <f t="shared" si="6"/>
        <v>1</v>
      </c>
      <c r="U23" s="145">
        <v>53203010100000</v>
      </c>
      <c r="V23" s="142" t="s">
        <v>19</v>
      </c>
      <c r="W23" s="148">
        <v>3842703.344285714</v>
      </c>
    </row>
    <row r="24" spans="1:46" s="39" customFormat="1" ht="13.5" thickBot="1" x14ac:dyDescent="0.25">
      <c r="A24" s="1060"/>
      <c r="B24" s="1064"/>
      <c r="C24" s="137"/>
      <c r="D24" s="113"/>
      <c r="E24" s="114"/>
      <c r="F24" s="115"/>
      <c r="G24" s="116"/>
      <c r="H24" s="116"/>
      <c r="I24" s="128"/>
      <c r="J24" s="131">
        <f t="shared" si="5"/>
        <v>0</v>
      </c>
      <c r="K24" s="123">
        <f t="shared" si="0"/>
        <v>0</v>
      </c>
      <c r="L24" s="37"/>
      <c r="M24" s="173">
        <v>0</v>
      </c>
      <c r="N24" s="172">
        <f t="shared" si="1"/>
        <v>0</v>
      </c>
      <c r="O24" s="173">
        <v>0</v>
      </c>
      <c r="P24" s="182">
        <f t="shared" si="2"/>
        <v>0</v>
      </c>
      <c r="Q24" s="180">
        <v>0</v>
      </c>
      <c r="R24" s="608">
        <f t="shared" si="3"/>
        <v>0</v>
      </c>
      <c r="S24" s="611">
        <f t="shared" si="6"/>
        <v>0</v>
      </c>
      <c r="U24" s="145">
        <v>53203030000000</v>
      </c>
      <c r="V24" s="142" t="s">
        <v>20</v>
      </c>
      <c r="W24" s="148">
        <v>0</v>
      </c>
    </row>
    <row r="25" spans="1:46" s="39" customFormat="1" ht="12.75" customHeight="1" thickBot="1" x14ac:dyDescent="0.25">
      <c r="A25" s="1060"/>
      <c r="B25" s="1062" t="s">
        <v>92</v>
      </c>
      <c r="C25" s="136" t="s">
        <v>349</v>
      </c>
      <c r="D25" s="117" t="s">
        <v>350</v>
      </c>
      <c r="E25" s="118" t="s">
        <v>343</v>
      </c>
      <c r="F25" s="119" t="s">
        <v>118</v>
      </c>
      <c r="G25" s="111">
        <f>853792*12</f>
        <v>10245504</v>
      </c>
      <c r="H25" s="111">
        <f>101037+171709</f>
        <v>272746</v>
      </c>
      <c r="I25" s="126">
        <f>73174+73174</f>
        <v>146348</v>
      </c>
      <c r="J25" s="129">
        <f t="shared" si="5"/>
        <v>10664598</v>
      </c>
      <c r="K25" s="124">
        <f t="shared" si="0"/>
        <v>12050995.739999998</v>
      </c>
      <c r="L25" s="37"/>
      <c r="M25" s="152">
        <v>0.308</v>
      </c>
      <c r="N25" s="170">
        <f t="shared" si="1"/>
        <v>3711706.6879199995</v>
      </c>
      <c r="O25" s="152">
        <v>0.109</v>
      </c>
      <c r="P25" s="181">
        <f t="shared" si="2"/>
        <v>1313558.5356599998</v>
      </c>
      <c r="Q25" s="178">
        <v>0.58299999999999996</v>
      </c>
      <c r="R25" s="606">
        <f t="shared" si="3"/>
        <v>7025730.5164199984</v>
      </c>
      <c r="S25" s="609">
        <f t="shared" si="6"/>
        <v>1</v>
      </c>
      <c r="U25" s="145">
        <v>53204030000000</v>
      </c>
      <c r="V25" s="142" t="s">
        <v>21</v>
      </c>
      <c r="W25" s="148">
        <v>0</v>
      </c>
      <c r="AG25" s="31"/>
    </row>
    <row r="26" spans="1:46" s="39" customFormat="1" ht="12.75" customHeight="1" x14ac:dyDescent="0.2">
      <c r="A26" s="1060"/>
      <c r="B26" s="1063"/>
      <c r="C26" s="88" t="s">
        <v>351</v>
      </c>
      <c r="D26" s="120" t="s">
        <v>352</v>
      </c>
      <c r="E26" s="121" t="s">
        <v>353</v>
      </c>
      <c r="F26" s="748" t="s">
        <v>118</v>
      </c>
      <c r="G26" s="112">
        <f>1739112*12</f>
        <v>20869344</v>
      </c>
      <c r="H26" s="112">
        <f>65535+85466</f>
        <v>151001</v>
      </c>
      <c r="I26" s="127">
        <f>72819+72819</f>
        <v>145638</v>
      </c>
      <c r="J26" s="130">
        <f t="shared" si="5"/>
        <v>21165983</v>
      </c>
      <c r="K26" s="125">
        <f t="shared" si="0"/>
        <v>23917560.789999999</v>
      </c>
      <c r="L26" s="37"/>
      <c r="M26" s="168">
        <v>0.308</v>
      </c>
      <c r="N26" s="171">
        <f t="shared" si="1"/>
        <v>7366608.7233199999</v>
      </c>
      <c r="O26" s="168">
        <v>0.109</v>
      </c>
      <c r="P26" s="169">
        <f t="shared" si="2"/>
        <v>2607014.1261100001</v>
      </c>
      <c r="Q26" s="179">
        <v>0.58299999999999996</v>
      </c>
      <c r="R26" s="607">
        <f t="shared" si="3"/>
        <v>13943937.940569999</v>
      </c>
      <c r="S26" s="610">
        <f t="shared" si="6"/>
        <v>1</v>
      </c>
      <c r="U26" s="145">
        <v>53204100100001</v>
      </c>
      <c r="V26" s="142" t="s">
        <v>22</v>
      </c>
      <c r="W26" s="148">
        <v>5067444.6428571418</v>
      </c>
      <c r="AG26" s="31"/>
    </row>
    <row r="27" spans="1:46" s="39" customFormat="1" ht="12.75" customHeight="1" x14ac:dyDescent="0.2">
      <c r="A27" s="1060"/>
      <c r="B27" s="1063"/>
      <c r="C27" s="749" t="s">
        <v>355</v>
      </c>
      <c r="D27" s="662" t="s">
        <v>354</v>
      </c>
      <c r="E27" s="750" t="s">
        <v>343</v>
      </c>
      <c r="F27" s="751" t="s">
        <v>118</v>
      </c>
      <c r="G27" s="112">
        <f>1126860*12</f>
        <v>13522320</v>
      </c>
      <c r="H27" s="112">
        <f>65535+85466</f>
        <v>151001</v>
      </c>
      <c r="I27" s="127">
        <f>73174+73174</f>
        <v>146348</v>
      </c>
      <c r="J27" s="130">
        <f t="shared" si="5"/>
        <v>13819669</v>
      </c>
      <c r="K27" s="125">
        <f t="shared" si="0"/>
        <v>15616225.969999999</v>
      </c>
      <c r="L27" s="37"/>
      <c r="M27" s="168">
        <v>0.308</v>
      </c>
      <c r="N27" s="171">
        <f t="shared" si="1"/>
        <v>4809797.5987599995</v>
      </c>
      <c r="O27" s="168">
        <v>0.109</v>
      </c>
      <c r="P27" s="169">
        <f t="shared" si="2"/>
        <v>1702168.6307299999</v>
      </c>
      <c r="Q27" s="179">
        <v>0.58299999999999996</v>
      </c>
      <c r="R27" s="607">
        <f t="shared" si="3"/>
        <v>9104259.7405099981</v>
      </c>
      <c r="S27" s="610">
        <f t="shared" si="6"/>
        <v>1</v>
      </c>
      <c r="U27" s="145">
        <v>53204130100000</v>
      </c>
      <c r="V27" s="142" t="s">
        <v>23</v>
      </c>
      <c r="W27" s="148">
        <v>0</v>
      </c>
      <c r="AG27" s="31"/>
    </row>
    <row r="28" spans="1:46" s="39" customFormat="1" ht="12.75" customHeight="1" x14ac:dyDescent="0.2">
      <c r="A28" s="1060"/>
      <c r="B28" s="1063"/>
      <c r="C28" s="749" t="s">
        <v>356</v>
      </c>
      <c r="D28" s="662" t="s">
        <v>357</v>
      </c>
      <c r="E28" s="750" t="s">
        <v>343</v>
      </c>
      <c r="F28" s="751" t="s">
        <v>118</v>
      </c>
      <c r="G28" s="112">
        <f>691069*12</f>
        <v>8292828</v>
      </c>
      <c r="H28" s="112">
        <f>101037+171709</f>
        <v>272746</v>
      </c>
      <c r="I28" s="127">
        <f>73174+73174</f>
        <v>146348</v>
      </c>
      <c r="J28" s="130">
        <f t="shared" si="5"/>
        <v>8711922</v>
      </c>
      <c r="K28" s="125">
        <f t="shared" si="0"/>
        <v>9844471.8599999994</v>
      </c>
      <c r="L28" s="37"/>
      <c r="M28" s="168">
        <v>0.308</v>
      </c>
      <c r="N28" s="171">
        <f t="shared" si="1"/>
        <v>3032097.3328799997</v>
      </c>
      <c r="O28" s="168">
        <v>0.109</v>
      </c>
      <c r="P28" s="169">
        <f t="shared" si="2"/>
        <v>1073047.4327399998</v>
      </c>
      <c r="Q28" s="179">
        <v>0.58299999999999996</v>
      </c>
      <c r="R28" s="607">
        <f t="shared" si="3"/>
        <v>5739327.0943799997</v>
      </c>
      <c r="S28" s="610">
        <f t="shared" si="6"/>
        <v>1</v>
      </c>
      <c r="U28" s="145">
        <v>53205010100000</v>
      </c>
      <c r="V28" s="142" t="s">
        <v>24</v>
      </c>
      <c r="W28" s="148">
        <v>8547931.9757142849</v>
      </c>
      <c r="AG28" s="31"/>
    </row>
    <row r="29" spans="1:46" s="39" customFormat="1" ht="12.75" customHeight="1" x14ac:dyDescent="0.2">
      <c r="A29" s="1060"/>
      <c r="B29" s="1063"/>
      <c r="C29" s="749" t="s">
        <v>359</v>
      </c>
      <c r="D29" s="662" t="s">
        <v>360</v>
      </c>
      <c r="E29" s="750" t="s">
        <v>358</v>
      </c>
      <c r="F29" s="122" t="s">
        <v>118</v>
      </c>
      <c r="G29" s="112">
        <f>1030130*12</f>
        <v>12361560</v>
      </c>
      <c r="H29" s="112">
        <f>65535+85466</f>
        <v>151001</v>
      </c>
      <c r="I29" s="127">
        <f>72819+72819</f>
        <v>145638</v>
      </c>
      <c r="J29" s="130">
        <f t="shared" si="5"/>
        <v>12658199</v>
      </c>
      <c r="K29" s="125">
        <f t="shared" si="0"/>
        <v>14303764.869999999</v>
      </c>
      <c r="L29" s="37"/>
      <c r="M29" s="168">
        <v>0.32800000000000001</v>
      </c>
      <c r="N29" s="171">
        <f t="shared" si="1"/>
        <v>4691634.8773600003</v>
      </c>
      <c r="O29" s="168">
        <v>9.9000000000000005E-2</v>
      </c>
      <c r="P29" s="169">
        <f t="shared" si="2"/>
        <v>1416072.7221299999</v>
      </c>
      <c r="Q29" s="179">
        <v>0.57299999999999995</v>
      </c>
      <c r="R29" s="607">
        <f t="shared" si="3"/>
        <v>8196057.2705099992</v>
      </c>
      <c r="S29" s="610">
        <f t="shared" si="6"/>
        <v>1</v>
      </c>
      <c r="U29" s="145">
        <v>53205020100000</v>
      </c>
      <c r="V29" s="142" t="s">
        <v>25</v>
      </c>
      <c r="W29" s="148">
        <v>1533259.0642857142</v>
      </c>
      <c r="AG29" s="31"/>
    </row>
    <row r="30" spans="1:46" s="39" customFormat="1" ht="12.75" customHeight="1" x14ac:dyDescent="0.2">
      <c r="A30" s="1060"/>
      <c r="B30" s="1063"/>
      <c r="C30" s="88"/>
      <c r="D30" s="120"/>
      <c r="E30" s="121"/>
      <c r="F30" s="122"/>
      <c r="G30" s="112">
        <v>0</v>
      </c>
      <c r="H30" s="112">
        <v>0</v>
      </c>
      <c r="I30" s="127">
        <v>0</v>
      </c>
      <c r="J30" s="130">
        <f t="shared" si="5"/>
        <v>0</v>
      </c>
      <c r="K30" s="125">
        <f t="shared" si="0"/>
        <v>0</v>
      </c>
      <c r="L30" s="37"/>
      <c r="M30" s="168">
        <v>0</v>
      </c>
      <c r="N30" s="171">
        <f t="shared" si="1"/>
        <v>0</v>
      </c>
      <c r="O30" s="168">
        <v>0</v>
      </c>
      <c r="P30" s="169">
        <f t="shared" si="2"/>
        <v>0</v>
      </c>
      <c r="Q30" s="179">
        <v>0</v>
      </c>
      <c r="R30" s="607">
        <f t="shared" si="3"/>
        <v>0</v>
      </c>
      <c r="S30" s="610">
        <f t="shared" si="6"/>
        <v>0</v>
      </c>
      <c r="U30" s="145">
        <v>53205030100000</v>
      </c>
      <c r="V30" s="142" t="s">
        <v>26</v>
      </c>
      <c r="W30" s="148">
        <v>802151.97</v>
      </c>
      <c r="AG30" s="31"/>
    </row>
    <row r="31" spans="1:46" s="39" customFormat="1" ht="12.75" customHeight="1" x14ac:dyDescent="0.2">
      <c r="A31" s="1060"/>
      <c r="B31" s="1063"/>
      <c r="C31" s="88"/>
      <c r="D31" s="120"/>
      <c r="E31" s="121"/>
      <c r="F31" s="122"/>
      <c r="G31" s="112">
        <v>0</v>
      </c>
      <c r="H31" s="112">
        <v>0</v>
      </c>
      <c r="I31" s="127">
        <v>0</v>
      </c>
      <c r="J31" s="130">
        <f t="shared" si="5"/>
        <v>0</v>
      </c>
      <c r="K31" s="125">
        <f t="shared" si="0"/>
        <v>0</v>
      </c>
      <c r="L31" s="37"/>
      <c r="M31" s="168">
        <v>0</v>
      </c>
      <c r="N31" s="171">
        <f t="shared" si="1"/>
        <v>0</v>
      </c>
      <c r="O31" s="168">
        <v>0</v>
      </c>
      <c r="P31" s="169">
        <f t="shared" si="2"/>
        <v>0</v>
      </c>
      <c r="Q31" s="179">
        <v>0</v>
      </c>
      <c r="R31" s="607">
        <f t="shared" si="3"/>
        <v>0</v>
      </c>
      <c r="S31" s="610">
        <f t="shared" si="6"/>
        <v>0</v>
      </c>
      <c r="U31" s="145">
        <v>53205050100000</v>
      </c>
      <c r="V31" s="142" t="s">
        <v>27</v>
      </c>
      <c r="W31" s="148">
        <v>1866897.537142857</v>
      </c>
      <c r="AG31" s="31"/>
    </row>
    <row r="32" spans="1:46" s="39" customFormat="1" ht="12.75" customHeight="1" x14ac:dyDescent="0.2">
      <c r="A32" s="1060"/>
      <c r="B32" s="1063"/>
      <c r="C32" s="88"/>
      <c r="D32" s="120"/>
      <c r="E32" s="121"/>
      <c r="F32" s="122"/>
      <c r="G32" s="112">
        <v>0</v>
      </c>
      <c r="H32" s="112">
        <v>0</v>
      </c>
      <c r="I32" s="127">
        <v>0</v>
      </c>
      <c r="J32" s="130">
        <f t="shared" si="5"/>
        <v>0</v>
      </c>
      <c r="K32" s="125">
        <f t="shared" si="0"/>
        <v>0</v>
      </c>
      <c r="L32" s="37"/>
      <c r="M32" s="168">
        <v>0</v>
      </c>
      <c r="N32" s="171">
        <f t="shared" si="1"/>
        <v>0</v>
      </c>
      <c r="O32" s="168">
        <v>0</v>
      </c>
      <c r="P32" s="169">
        <f t="shared" si="2"/>
        <v>0</v>
      </c>
      <c r="Q32" s="179">
        <v>0</v>
      </c>
      <c r="R32" s="607">
        <f t="shared" si="3"/>
        <v>0</v>
      </c>
      <c r="S32" s="610">
        <f t="shared" si="6"/>
        <v>0</v>
      </c>
      <c r="U32" s="145">
        <v>53205060100000</v>
      </c>
      <c r="V32" s="142" t="s">
        <v>28</v>
      </c>
      <c r="W32" s="148">
        <v>0</v>
      </c>
      <c r="AG32" s="31"/>
    </row>
    <row r="33" spans="1:33" s="39" customFormat="1" ht="12.75" customHeight="1" x14ac:dyDescent="0.2">
      <c r="A33" s="1060"/>
      <c r="B33" s="1063"/>
      <c r="C33" s="88"/>
      <c r="D33" s="120"/>
      <c r="E33" s="121"/>
      <c r="F33" s="122"/>
      <c r="G33" s="112">
        <v>0</v>
      </c>
      <c r="H33" s="112">
        <v>0</v>
      </c>
      <c r="I33" s="127">
        <v>0</v>
      </c>
      <c r="J33" s="130">
        <f t="shared" si="5"/>
        <v>0</v>
      </c>
      <c r="K33" s="125">
        <f t="shared" si="0"/>
        <v>0</v>
      </c>
      <c r="L33" s="37"/>
      <c r="M33" s="168">
        <v>0</v>
      </c>
      <c r="N33" s="171">
        <f t="shared" si="1"/>
        <v>0</v>
      </c>
      <c r="O33" s="168">
        <v>0</v>
      </c>
      <c r="P33" s="169">
        <f t="shared" si="2"/>
        <v>0</v>
      </c>
      <c r="Q33" s="179">
        <v>0</v>
      </c>
      <c r="R33" s="607">
        <f t="shared" si="3"/>
        <v>0</v>
      </c>
      <c r="S33" s="610">
        <f t="shared" si="6"/>
        <v>0</v>
      </c>
      <c r="U33" s="145">
        <v>53205070100000</v>
      </c>
      <c r="V33" s="142" t="s">
        <v>29</v>
      </c>
      <c r="W33" s="148">
        <v>815997.69857142854</v>
      </c>
      <c r="AG33" s="31"/>
    </row>
    <row r="34" spans="1:33" s="39" customFormat="1" ht="12.75" customHeight="1" thickBot="1" x14ac:dyDescent="0.25">
      <c r="A34" s="1060"/>
      <c r="B34" s="1064"/>
      <c r="C34" s="137"/>
      <c r="D34" s="113"/>
      <c r="E34" s="114"/>
      <c r="F34" s="115"/>
      <c r="G34" s="116">
        <v>0</v>
      </c>
      <c r="H34" s="116">
        <v>0</v>
      </c>
      <c r="I34" s="128">
        <v>0</v>
      </c>
      <c r="J34" s="131">
        <f t="shared" si="5"/>
        <v>0</v>
      </c>
      <c r="K34" s="123">
        <f t="shared" si="0"/>
        <v>0</v>
      </c>
      <c r="L34" s="37"/>
      <c r="M34" s="173">
        <v>0</v>
      </c>
      <c r="N34" s="172">
        <f t="shared" si="1"/>
        <v>0</v>
      </c>
      <c r="O34" s="173">
        <v>0</v>
      </c>
      <c r="P34" s="182">
        <f t="shared" si="2"/>
        <v>0</v>
      </c>
      <c r="Q34" s="180">
        <v>0</v>
      </c>
      <c r="R34" s="608">
        <f t="shared" si="3"/>
        <v>0</v>
      </c>
      <c r="S34" s="611">
        <f t="shared" si="6"/>
        <v>0</v>
      </c>
      <c r="U34" s="145">
        <v>53208010100000</v>
      </c>
      <c r="V34" s="142" t="s">
        <v>30</v>
      </c>
      <c r="W34" s="148">
        <v>1369458.7842857142</v>
      </c>
      <c r="AG34" s="31"/>
    </row>
    <row r="35" spans="1:33" s="39" customFormat="1" ht="12.75" customHeight="1" x14ac:dyDescent="0.2">
      <c r="A35" s="1060"/>
      <c r="B35" s="1062" t="s">
        <v>91</v>
      </c>
      <c r="C35" s="670" t="s">
        <v>370</v>
      </c>
      <c r="D35" s="660" t="s">
        <v>371</v>
      </c>
      <c r="E35" s="747" t="s">
        <v>372</v>
      </c>
      <c r="F35" s="748" t="s">
        <v>118</v>
      </c>
      <c r="G35" s="111">
        <f>1191070*12</f>
        <v>14292840</v>
      </c>
      <c r="H35" s="111">
        <f>65535+85466</f>
        <v>151001</v>
      </c>
      <c r="I35" s="126">
        <f>74515+74515</f>
        <v>149030</v>
      </c>
      <c r="J35" s="129">
        <f t="shared" si="5"/>
        <v>14592871</v>
      </c>
      <c r="K35" s="124">
        <f t="shared" si="0"/>
        <v>16489944.229999999</v>
      </c>
      <c r="L35" s="37"/>
      <c r="M35" s="152">
        <v>0.215</v>
      </c>
      <c r="N35" s="170">
        <f t="shared" si="1"/>
        <v>3545338.0094499998</v>
      </c>
      <c r="O35" s="152">
        <v>6.0999999999999999E-2</v>
      </c>
      <c r="P35" s="181">
        <f t="shared" si="2"/>
        <v>1005886.5980299999</v>
      </c>
      <c r="Q35" s="178">
        <v>0.72399999999999998</v>
      </c>
      <c r="R35" s="606">
        <f t="shared" si="3"/>
        <v>11938719.622519998</v>
      </c>
      <c r="S35" s="609">
        <f t="shared" si="6"/>
        <v>1</v>
      </c>
      <c r="U35" s="145">
        <v>53208070100001</v>
      </c>
      <c r="V35" s="142" t="s">
        <v>31</v>
      </c>
      <c r="W35" s="148">
        <v>1367491.9385714284</v>
      </c>
      <c r="AG35" s="31"/>
    </row>
    <row r="36" spans="1:33" s="39" customFormat="1" ht="12.75" customHeight="1" x14ac:dyDescent="0.2">
      <c r="A36" s="1060"/>
      <c r="B36" s="1063"/>
      <c r="C36" s="88"/>
      <c r="D36" s="120"/>
      <c r="E36" s="121"/>
      <c r="F36" s="122"/>
      <c r="G36" s="112">
        <v>0</v>
      </c>
      <c r="H36" s="112">
        <v>0</v>
      </c>
      <c r="I36" s="127">
        <v>0</v>
      </c>
      <c r="J36" s="130">
        <f t="shared" si="5"/>
        <v>0</v>
      </c>
      <c r="K36" s="125">
        <f t="shared" si="0"/>
        <v>0</v>
      </c>
      <c r="L36" s="37"/>
      <c r="M36" s="168">
        <v>0</v>
      </c>
      <c r="N36" s="171">
        <f t="shared" si="1"/>
        <v>0</v>
      </c>
      <c r="O36" s="168">
        <v>0</v>
      </c>
      <c r="P36" s="169">
        <f t="shared" si="2"/>
        <v>0</v>
      </c>
      <c r="Q36" s="179">
        <v>0</v>
      </c>
      <c r="R36" s="607">
        <f t="shared" si="3"/>
        <v>0</v>
      </c>
      <c r="S36" s="610">
        <f t="shared" si="6"/>
        <v>0</v>
      </c>
      <c r="U36" s="145">
        <v>53208100100001</v>
      </c>
      <c r="V36" s="142" t="s">
        <v>128</v>
      </c>
      <c r="W36" s="148">
        <v>0</v>
      </c>
      <c r="AG36" s="31"/>
    </row>
    <row r="37" spans="1:33" s="39" customFormat="1" ht="12.75" customHeight="1" x14ac:dyDescent="0.2">
      <c r="A37" s="1060"/>
      <c r="B37" s="1063"/>
      <c r="C37" s="88"/>
      <c r="D37" s="120"/>
      <c r="E37" s="121"/>
      <c r="F37" s="122"/>
      <c r="G37" s="112">
        <v>0</v>
      </c>
      <c r="H37" s="112">
        <v>0</v>
      </c>
      <c r="I37" s="127">
        <v>0</v>
      </c>
      <c r="J37" s="130">
        <f t="shared" si="5"/>
        <v>0</v>
      </c>
      <c r="K37" s="125">
        <f t="shared" si="0"/>
        <v>0</v>
      </c>
      <c r="L37" s="37"/>
      <c r="M37" s="168">
        <v>0</v>
      </c>
      <c r="N37" s="171">
        <f t="shared" si="1"/>
        <v>0</v>
      </c>
      <c r="O37" s="168">
        <v>0</v>
      </c>
      <c r="P37" s="169">
        <f t="shared" si="2"/>
        <v>0</v>
      </c>
      <c r="Q37" s="179">
        <v>0</v>
      </c>
      <c r="R37" s="607">
        <f t="shared" si="3"/>
        <v>0</v>
      </c>
      <c r="S37" s="610">
        <f t="shared" si="6"/>
        <v>0</v>
      </c>
      <c r="U37" s="145">
        <v>53211030000000</v>
      </c>
      <c r="V37" s="142" t="s">
        <v>32</v>
      </c>
      <c r="W37" s="148">
        <v>0</v>
      </c>
      <c r="AG37" s="31"/>
    </row>
    <row r="38" spans="1:33" s="39" customFormat="1" ht="12.75" customHeight="1" x14ac:dyDescent="0.2">
      <c r="A38" s="1060"/>
      <c r="B38" s="1063"/>
      <c r="C38" s="88"/>
      <c r="D38" s="120"/>
      <c r="E38" s="121"/>
      <c r="F38" s="122"/>
      <c r="G38" s="112">
        <v>0</v>
      </c>
      <c r="H38" s="112">
        <v>0</v>
      </c>
      <c r="I38" s="127">
        <v>0</v>
      </c>
      <c r="J38" s="130">
        <f t="shared" si="5"/>
        <v>0</v>
      </c>
      <c r="K38" s="125">
        <f t="shared" si="0"/>
        <v>0</v>
      </c>
      <c r="L38" s="37"/>
      <c r="M38" s="168">
        <v>0</v>
      </c>
      <c r="N38" s="171">
        <f t="shared" si="1"/>
        <v>0</v>
      </c>
      <c r="O38" s="168">
        <v>0</v>
      </c>
      <c r="P38" s="169">
        <f t="shared" si="2"/>
        <v>0</v>
      </c>
      <c r="Q38" s="179">
        <v>0</v>
      </c>
      <c r="R38" s="607">
        <f t="shared" si="3"/>
        <v>0</v>
      </c>
      <c r="S38" s="610">
        <f t="shared" si="6"/>
        <v>0</v>
      </c>
      <c r="U38" s="145">
        <v>53212020100000</v>
      </c>
      <c r="V38" s="142" t="s">
        <v>98</v>
      </c>
      <c r="W38" s="148">
        <v>16303763.492857141</v>
      </c>
      <c r="AG38" s="31"/>
    </row>
    <row r="39" spans="1:33" s="39" customFormat="1" ht="12.75" customHeight="1" thickBot="1" x14ac:dyDescent="0.25">
      <c r="A39" s="1060"/>
      <c r="B39" s="1064"/>
      <c r="C39" s="137"/>
      <c r="D39" s="113"/>
      <c r="E39" s="114"/>
      <c r="F39" s="115"/>
      <c r="G39" s="116">
        <v>0</v>
      </c>
      <c r="H39" s="116">
        <v>0</v>
      </c>
      <c r="I39" s="128">
        <v>0</v>
      </c>
      <c r="J39" s="131">
        <f t="shared" si="5"/>
        <v>0</v>
      </c>
      <c r="K39" s="123">
        <f t="shared" si="0"/>
        <v>0</v>
      </c>
      <c r="L39" s="37"/>
      <c r="M39" s="173">
        <v>0</v>
      </c>
      <c r="N39" s="172">
        <f t="shared" si="1"/>
        <v>0</v>
      </c>
      <c r="O39" s="173">
        <v>0</v>
      </c>
      <c r="P39" s="182">
        <f t="shared" si="2"/>
        <v>0</v>
      </c>
      <c r="Q39" s="180">
        <v>0</v>
      </c>
      <c r="R39" s="608">
        <f t="shared" si="3"/>
        <v>0</v>
      </c>
      <c r="S39" s="611">
        <f t="shared" si="6"/>
        <v>0</v>
      </c>
      <c r="U39" s="145">
        <v>53214020000000</v>
      </c>
      <c r="V39" s="142" t="s">
        <v>33</v>
      </c>
      <c r="W39" s="148">
        <v>0</v>
      </c>
      <c r="AG39" s="31"/>
    </row>
    <row r="40" spans="1:33" s="39" customFormat="1" ht="12.75" customHeight="1" x14ac:dyDescent="0.2">
      <c r="A40" s="1060"/>
      <c r="B40" s="1065" t="s">
        <v>119</v>
      </c>
      <c r="C40" s="138" t="s">
        <v>367</v>
      </c>
      <c r="D40" s="754" t="s">
        <v>368</v>
      </c>
      <c r="E40" s="755" t="s">
        <v>369</v>
      </c>
      <c r="F40" s="756" t="s">
        <v>118</v>
      </c>
      <c r="G40" s="111">
        <f>643449*12</f>
        <v>7721388</v>
      </c>
      <c r="H40" s="111">
        <f t="shared" ref="H40:H45" si="7">101037+171709</f>
        <v>272746</v>
      </c>
      <c r="I40" s="126">
        <f>73174+73174</f>
        <v>146348</v>
      </c>
      <c r="J40" s="132">
        <f t="shared" ref="J40:J61" si="8">SUM(G40:I40)</f>
        <v>8140482</v>
      </c>
      <c r="K40" s="134">
        <f t="shared" si="0"/>
        <v>9198744.6599999983</v>
      </c>
      <c r="L40" s="37"/>
      <c r="M40" s="152">
        <v>0.35</v>
      </c>
      <c r="N40" s="170">
        <f t="shared" si="1"/>
        <v>3219560.6309999991</v>
      </c>
      <c r="O40" s="152">
        <v>0.1</v>
      </c>
      <c r="P40" s="181">
        <f t="shared" si="2"/>
        <v>919874.4659999999</v>
      </c>
      <c r="Q40" s="178">
        <v>0.55000000000000004</v>
      </c>
      <c r="R40" s="606">
        <f t="shared" si="3"/>
        <v>5059309.5629999992</v>
      </c>
      <c r="S40" s="609">
        <f t="shared" si="6"/>
        <v>1</v>
      </c>
      <c r="U40" s="143"/>
      <c r="V40" s="140" t="s">
        <v>34</v>
      </c>
      <c r="W40" s="146">
        <f>SUM(W41,W46,W49,W60,W70,W78)</f>
        <v>34712367.977142856</v>
      </c>
      <c r="AG40" s="31"/>
    </row>
    <row r="41" spans="1:33" s="39" customFormat="1" ht="12.75" customHeight="1" x14ac:dyDescent="0.2">
      <c r="A41" s="1060"/>
      <c r="B41" s="1066"/>
      <c r="C41" s="89" t="s">
        <v>373</v>
      </c>
      <c r="D41" s="91" t="s">
        <v>374</v>
      </c>
      <c r="E41" s="92" t="s">
        <v>375</v>
      </c>
      <c r="F41" s="98" t="s">
        <v>118</v>
      </c>
      <c r="G41" s="112">
        <f>1024570*12</f>
        <v>12294840</v>
      </c>
      <c r="H41" s="112">
        <f t="shared" si="7"/>
        <v>272746</v>
      </c>
      <c r="I41" s="127">
        <f>72819+72819</f>
        <v>145638</v>
      </c>
      <c r="J41" s="133">
        <f t="shared" ref="J41:J48" si="9">SUM(G41:I41)</f>
        <v>12713224</v>
      </c>
      <c r="K41" s="135">
        <f t="shared" si="0"/>
        <v>14365943.119999999</v>
      </c>
      <c r="L41" s="37"/>
      <c r="M41" s="168">
        <v>0.48799999999999999</v>
      </c>
      <c r="N41" s="171">
        <f t="shared" si="1"/>
        <v>7010580.2425599992</v>
      </c>
      <c r="O41" s="168">
        <v>0.09</v>
      </c>
      <c r="P41" s="169">
        <f t="shared" si="2"/>
        <v>1292934.8807999999</v>
      </c>
      <c r="Q41" s="179">
        <v>0.42199999999999999</v>
      </c>
      <c r="R41" s="607">
        <f t="shared" si="3"/>
        <v>6062427.9966399996</v>
      </c>
      <c r="S41" s="610">
        <f t="shared" si="6"/>
        <v>1</v>
      </c>
      <c r="U41" s="144"/>
      <c r="V41" s="141" t="s">
        <v>35</v>
      </c>
      <c r="W41" s="147">
        <f>SUM(W42:W45)</f>
        <v>2361492.7257142854</v>
      </c>
      <c r="AG41" s="31"/>
    </row>
    <row r="42" spans="1:33" s="39" customFormat="1" ht="12.75" customHeight="1" x14ac:dyDescent="0.2">
      <c r="A42" s="1060"/>
      <c r="B42" s="1066"/>
      <c r="C42" s="89" t="s">
        <v>376</v>
      </c>
      <c r="D42" s="91" t="s">
        <v>377</v>
      </c>
      <c r="E42" s="92" t="s">
        <v>378</v>
      </c>
      <c r="F42" s="98" t="s">
        <v>118</v>
      </c>
      <c r="G42" s="112">
        <f>1949125*12</f>
        <v>23389500</v>
      </c>
      <c r="H42" s="112">
        <f t="shared" si="7"/>
        <v>272746</v>
      </c>
      <c r="I42" s="127">
        <f t="shared" ref="I42:I43" si="10">72819+72819</f>
        <v>145638</v>
      </c>
      <c r="J42" s="133">
        <f t="shared" si="9"/>
        <v>23807884</v>
      </c>
      <c r="K42" s="135">
        <f t="shared" si="0"/>
        <v>26902908.919999998</v>
      </c>
      <c r="L42" s="37"/>
      <c r="M42" s="168">
        <v>0.25</v>
      </c>
      <c r="N42" s="171">
        <f t="shared" si="1"/>
        <v>6725727.2299999995</v>
      </c>
      <c r="O42" s="168">
        <v>4.4999999999999998E-2</v>
      </c>
      <c r="P42" s="169">
        <f t="shared" si="2"/>
        <v>1210630.9013999999</v>
      </c>
      <c r="Q42" s="179">
        <v>0.70499999999999996</v>
      </c>
      <c r="R42" s="607">
        <f t="shared" si="3"/>
        <v>18966550.788599998</v>
      </c>
      <c r="S42" s="610">
        <f t="shared" si="6"/>
        <v>1</v>
      </c>
      <c r="U42" s="145">
        <v>53202020100000</v>
      </c>
      <c r="V42" s="142" t="s">
        <v>39</v>
      </c>
      <c r="W42" s="148">
        <v>0</v>
      </c>
      <c r="AG42" s="31"/>
    </row>
    <row r="43" spans="1:33" s="39" customFormat="1" ht="12.75" customHeight="1" x14ac:dyDescent="0.2">
      <c r="A43" s="1060"/>
      <c r="B43" s="1066"/>
      <c r="C43" s="89" t="s">
        <v>379</v>
      </c>
      <c r="D43" s="91" t="s">
        <v>380</v>
      </c>
      <c r="E43" s="92" t="s">
        <v>381</v>
      </c>
      <c r="F43" s="98" t="s">
        <v>118</v>
      </c>
      <c r="G43" s="112">
        <f>1565916*12</f>
        <v>18790992</v>
      </c>
      <c r="H43" s="112">
        <f t="shared" si="7"/>
        <v>272746</v>
      </c>
      <c r="I43" s="127">
        <f t="shared" si="10"/>
        <v>145638</v>
      </c>
      <c r="J43" s="133">
        <f t="shared" si="9"/>
        <v>19209376</v>
      </c>
      <c r="K43" s="135">
        <f t="shared" si="0"/>
        <v>21706594.879999999</v>
      </c>
      <c r="L43" s="37"/>
      <c r="M43" s="168">
        <v>0.2</v>
      </c>
      <c r="N43" s="171">
        <f t="shared" si="1"/>
        <v>4341318.9759999998</v>
      </c>
      <c r="O43" s="168">
        <v>0.04</v>
      </c>
      <c r="P43" s="169">
        <f t="shared" si="2"/>
        <v>868263.79519999993</v>
      </c>
      <c r="Q43" s="179">
        <v>0.76</v>
      </c>
      <c r="R43" s="607">
        <f t="shared" si="3"/>
        <v>16497012.1088</v>
      </c>
      <c r="S43" s="610">
        <f t="shared" si="6"/>
        <v>1</v>
      </c>
      <c r="U43" s="145">
        <v>53202030000000</v>
      </c>
      <c r="V43" s="142" t="s">
        <v>40</v>
      </c>
      <c r="W43" s="148">
        <v>0</v>
      </c>
      <c r="AG43" s="31"/>
    </row>
    <row r="44" spans="1:33" s="39" customFormat="1" ht="12.75" customHeight="1" x14ac:dyDescent="0.2">
      <c r="A44" s="1060"/>
      <c r="B44" s="1066"/>
      <c r="C44" s="89" t="s">
        <v>382</v>
      </c>
      <c r="D44" s="91" t="s">
        <v>383</v>
      </c>
      <c r="E44" s="750" t="s">
        <v>343</v>
      </c>
      <c r="F44" s="98" t="s">
        <v>118</v>
      </c>
      <c r="G44" s="112">
        <f>807119*12</f>
        <v>9685428</v>
      </c>
      <c r="H44" s="112">
        <f t="shared" si="7"/>
        <v>272746</v>
      </c>
      <c r="I44" s="127">
        <f>73174+73174</f>
        <v>146348</v>
      </c>
      <c r="J44" s="133">
        <f t="shared" si="9"/>
        <v>10104522</v>
      </c>
      <c r="K44" s="135">
        <f t="shared" si="0"/>
        <v>11418109.859999999</v>
      </c>
      <c r="L44" s="37"/>
      <c r="M44" s="168">
        <v>0.2</v>
      </c>
      <c r="N44" s="171">
        <f t="shared" si="1"/>
        <v>2283621.9720000001</v>
      </c>
      <c r="O44" s="168">
        <v>0.04</v>
      </c>
      <c r="P44" s="169">
        <f t="shared" si="2"/>
        <v>456724.39439999999</v>
      </c>
      <c r="Q44" s="179">
        <v>0.76</v>
      </c>
      <c r="R44" s="607">
        <f t="shared" si="3"/>
        <v>8677763.4935999997</v>
      </c>
      <c r="S44" s="610">
        <f t="shared" si="6"/>
        <v>1</v>
      </c>
      <c r="U44" s="145">
        <v>53211020000000</v>
      </c>
      <c r="V44" s="142" t="s">
        <v>41</v>
      </c>
      <c r="W44" s="148">
        <v>0</v>
      </c>
      <c r="AG44" s="31"/>
    </row>
    <row r="45" spans="1:33" s="39" customFormat="1" ht="12.75" customHeight="1" x14ac:dyDescent="0.2">
      <c r="A45" s="1060"/>
      <c r="B45" s="1066"/>
      <c r="C45" s="89" t="s">
        <v>384</v>
      </c>
      <c r="D45" s="91" t="s">
        <v>385</v>
      </c>
      <c r="E45" s="750" t="s">
        <v>343</v>
      </c>
      <c r="F45" s="98" t="s">
        <v>386</v>
      </c>
      <c r="G45" s="664">
        <f>743050*12</f>
        <v>8916600</v>
      </c>
      <c r="H45" s="112">
        <f t="shared" si="7"/>
        <v>272746</v>
      </c>
      <c r="I45" s="127">
        <f>73174+73174</f>
        <v>146348</v>
      </c>
      <c r="J45" s="133">
        <f t="shared" si="9"/>
        <v>9335694</v>
      </c>
      <c r="K45" s="135">
        <f t="shared" si="0"/>
        <v>10549334.219999999</v>
      </c>
      <c r="L45" s="37"/>
      <c r="M45" s="168">
        <v>0.11</v>
      </c>
      <c r="N45" s="171">
        <f t="shared" si="1"/>
        <v>1160426.7641999999</v>
      </c>
      <c r="O45" s="168">
        <v>0.03</v>
      </c>
      <c r="P45" s="169">
        <f t="shared" si="2"/>
        <v>316480.02659999992</v>
      </c>
      <c r="Q45" s="179">
        <v>0.86</v>
      </c>
      <c r="R45" s="607">
        <f t="shared" si="3"/>
        <v>9072427.4291999992</v>
      </c>
      <c r="S45" s="610">
        <f t="shared" si="6"/>
        <v>1</v>
      </c>
      <c r="U45" s="145">
        <v>53101004030000</v>
      </c>
      <c r="V45" s="142" t="s">
        <v>38</v>
      </c>
      <c r="W45" s="148">
        <v>2361492.7257142854</v>
      </c>
      <c r="AG45" s="31"/>
    </row>
    <row r="46" spans="1:33" s="39" customFormat="1" ht="12.75" customHeight="1" x14ac:dyDescent="0.2">
      <c r="A46" s="1060"/>
      <c r="B46" s="1066"/>
      <c r="C46" s="89"/>
      <c r="D46" s="91"/>
      <c r="E46" s="92"/>
      <c r="F46" s="98"/>
      <c r="G46" s="112">
        <v>0</v>
      </c>
      <c r="H46" s="112">
        <v>0</v>
      </c>
      <c r="I46" s="127">
        <v>0</v>
      </c>
      <c r="J46" s="133">
        <f t="shared" si="9"/>
        <v>0</v>
      </c>
      <c r="K46" s="135">
        <f t="shared" si="0"/>
        <v>0</v>
      </c>
      <c r="L46" s="37"/>
      <c r="M46" s="168">
        <v>0</v>
      </c>
      <c r="N46" s="171">
        <f t="shared" si="1"/>
        <v>0</v>
      </c>
      <c r="O46" s="168">
        <v>0</v>
      </c>
      <c r="P46" s="169">
        <f t="shared" si="2"/>
        <v>0</v>
      </c>
      <c r="Q46" s="179">
        <v>0</v>
      </c>
      <c r="R46" s="607">
        <f t="shared" si="3"/>
        <v>0</v>
      </c>
      <c r="S46" s="610">
        <f t="shared" si="6"/>
        <v>0</v>
      </c>
      <c r="U46" s="144"/>
      <c r="V46" s="141" t="s">
        <v>42</v>
      </c>
      <c r="W46" s="147">
        <f>SUM(W47:W48)</f>
        <v>585691.26857142849</v>
      </c>
      <c r="AG46" s="31"/>
    </row>
    <row r="47" spans="1:33" s="39" customFormat="1" ht="12.75" customHeight="1" x14ac:dyDescent="0.2">
      <c r="A47" s="1060"/>
      <c r="B47" s="1066"/>
      <c r="C47" s="89"/>
      <c r="D47" s="91"/>
      <c r="E47" s="92"/>
      <c r="F47" s="98"/>
      <c r="G47" s="112">
        <v>0</v>
      </c>
      <c r="H47" s="112">
        <v>0</v>
      </c>
      <c r="I47" s="127">
        <v>0</v>
      </c>
      <c r="J47" s="133">
        <f t="shared" si="9"/>
        <v>0</v>
      </c>
      <c r="K47" s="135">
        <f t="shared" si="0"/>
        <v>0</v>
      </c>
      <c r="L47" s="37"/>
      <c r="M47" s="168">
        <v>0</v>
      </c>
      <c r="N47" s="171">
        <f t="shared" si="1"/>
        <v>0</v>
      </c>
      <c r="O47" s="168">
        <v>0</v>
      </c>
      <c r="P47" s="169">
        <f t="shared" si="2"/>
        <v>0</v>
      </c>
      <c r="Q47" s="179">
        <v>0</v>
      </c>
      <c r="R47" s="607">
        <f t="shared" si="3"/>
        <v>0</v>
      </c>
      <c r="S47" s="610">
        <f t="shared" si="6"/>
        <v>0</v>
      </c>
      <c r="U47" s="145">
        <v>53205080000000</v>
      </c>
      <c r="V47" s="142" t="s">
        <v>43</v>
      </c>
      <c r="W47" s="148">
        <v>0</v>
      </c>
      <c r="AG47" s="31"/>
    </row>
    <row r="48" spans="1:33" s="39" customFormat="1" ht="12.75" customHeight="1" x14ac:dyDescent="0.2">
      <c r="A48" s="1060"/>
      <c r="B48" s="1066"/>
      <c r="C48" s="89"/>
      <c r="D48" s="91"/>
      <c r="E48" s="92"/>
      <c r="F48" s="98"/>
      <c r="G48" s="112">
        <v>0</v>
      </c>
      <c r="H48" s="112">
        <v>0</v>
      </c>
      <c r="I48" s="127">
        <v>0</v>
      </c>
      <c r="J48" s="133">
        <f t="shared" si="9"/>
        <v>0</v>
      </c>
      <c r="K48" s="135">
        <f t="shared" si="0"/>
        <v>0</v>
      </c>
      <c r="L48" s="37"/>
      <c r="M48" s="168">
        <v>0</v>
      </c>
      <c r="N48" s="171">
        <f t="shared" si="1"/>
        <v>0</v>
      </c>
      <c r="O48" s="168">
        <v>0</v>
      </c>
      <c r="P48" s="169">
        <f t="shared" si="2"/>
        <v>0</v>
      </c>
      <c r="Q48" s="179">
        <v>0</v>
      </c>
      <c r="R48" s="607">
        <f t="shared" si="3"/>
        <v>0</v>
      </c>
      <c r="S48" s="610">
        <f t="shared" si="6"/>
        <v>0</v>
      </c>
      <c r="U48" s="145">
        <v>53205990000000</v>
      </c>
      <c r="V48" s="142" t="s">
        <v>44</v>
      </c>
      <c r="W48" s="148">
        <v>585691.26857142849</v>
      </c>
      <c r="AG48" s="31"/>
    </row>
    <row r="49" spans="1:33" s="39" customFormat="1" ht="12.75" customHeight="1" x14ac:dyDescent="0.2">
      <c r="A49" s="1060"/>
      <c r="B49" s="1067"/>
      <c r="C49" s="89"/>
      <c r="D49" s="91"/>
      <c r="E49" s="92"/>
      <c r="F49" s="98"/>
      <c r="G49" s="112">
        <v>0</v>
      </c>
      <c r="H49" s="112">
        <v>0</v>
      </c>
      <c r="I49" s="127">
        <v>0</v>
      </c>
      <c r="J49" s="133">
        <f t="shared" si="8"/>
        <v>0</v>
      </c>
      <c r="K49" s="135">
        <f t="shared" si="0"/>
        <v>0</v>
      </c>
      <c r="L49" s="37"/>
      <c r="M49" s="168">
        <v>0</v>
      </c>
      <c r="N49" s="171">
        <f t="shared" si="1"/>
        <v>0</v>
      </c>
      <c r="O49" s="168">
        <v>0</v>
      </c>
      <c r="P49" s="169">
        <f t="shared" si="2"/>
        <v>0</v>
      </c>
      <c r="Q49" s="179">
        <v>0</v>
      </c>
      <c r="R49" s="607">
        <f t="shared" si="3"/>
        <v>0</v>
      </c>
      <c r="S49" s="610">
        <f t="shared" si="6"/>
        <v>0</v>
      </c>
      <c r="U49" s="144"/>
      <c r="V49" s="141" t="s">
        <v>45</v>
      </c>
      <c r="W49" s="147">
        <f>SUM(W50:W59)</f>
        <v>12037979.43142857</v>
      </c>
      <c r="AG49" s="31"/>
    </row>
    <row r="50" spans="1:33" s="39" customFormat="1" ht="12.75" customHeight="1" x14ac:dyDescent="0.2">
      <c r="A50" s="1060"/>
      <c r="B50" s="1066"/>
      <c r="C50" s="89"/>
      <c r="D50" s="91"/>
      <c r="E50" s="92"/>
      <c r="F50" s="98"/>
      <c r="G50" s="112">
        <v>0</v>
      </c>
      <c r="H50" s="112">
        <v>0</v>
      </c>
      <c r="I50" s="127">
        <v>0</v>
      </c>
      <c r="J50" s="133">
        <f t="shared" ref="J50:J53" si="11">SUM(G50:I50)</f>
        <v>0</v>
      </c>
      <c r="K50" s="135">
        <f t="shared" si="0"/>
        <v>0</v>
      </c>
      <c r="L50" s="37"/>
      <c r="M50" s="168">
        <v>0</v>
      </c>
      <c r="N50" s="171">
        <f t="shared" si="1"/>
        <v>0</v>
      </c>
      <c r="O50" s="168">
        <v>0</v>
      </c>
      <c r="P50" s="169">
        <f t="shared" si="2"/>
        <v>0</v>
      </c>
      <c r="Q50" s="179">
        <v>0</v>
      </c>
      <c r="R50" s="607">
        <f t="shared" si="3"/>
        <v>0</v>
      </c>
      <c r="S50" s="610">
        <f t="shared" si="6"/>
        <v>0</v>
      </c>
      <c r="U50" s="145">
        <v>53203010200000</v>
      </c>
      <c r="V50" s="142" t="s">
        <v>46</v>
      </c>
      <c r="W50" s="148">
        <v>0</v>
      </c>
      <c r="AG50" s="31"/>
    </row>
    <row r="51" spans="1:33" s="39" customFormat="1" ht="12.75" customHeight="1" x14ac:dyDescent="0.2">
      <c r="A51" s="1060"/>
      <c r="B51" s="1066"/>
      <c r="C51" s="89"/>
      <c r="D51" s="91"/>
      <c r="E51" s="92"/>
      <c r="F51" s="98"/>
      <c r="G51" s="112">
        <v>0</v>
      </c>
      <c r="H51" s="112">
        <v>0</v>
      </c>
      <c r="I51" s="127">
        <v>0</v>
      </c>
      <c r="J51" s="133">
        <f t="shared" si="11"/>
        <v>0</v>
      </c>
      <c r="K51" s="135">
        <f t="shared" si="0"/>
        <v>0</v>
      </c>
      <c r="L51" s="37"/>
      <c r="M51" s="168">
        <v>0</v>
      </c>
      <c r="N51" s="171">
        <f t="shared" si="1"/>
        <v>0</v>
      </c>
      <c r="O51" s="168">
        <v>0</v>
      </c>
      <c r="P51" s="169">
        <f t="shared" si="2"/>
        <v>0</v>
      </c>
      <c r="Q51" s="179">
        <v>0</v>
      </c>
      <c r="R51" s="607">
        <f t="shared" si="3"/>
        <v>0</v>
      </c>
      <c r="S51" s="610">
        <f t="shared" si="6"/>
        <v>0</v>
      </c>
      <c r="U51" s="145">
        <v>53204010000000</v>
      </c>
      <c r="V51" s="142" t="s">
        <v>47</v>
      </c>
      <c r="W51" s="148">
        <v>3752282.3585714283</v>
      </c>
      <c r="AG51" s="31"/>
    </row>
    <row r="52" spans="1:33" s="39" customFormat="1" ht="12.75" customHeight="1" x14ac:dyDescent="0.2">
      <c r="A52" s="1060"/>
      <c r="B52" s="1066"/>
      <c r="C52" s="89"/>
      <c r="D52" s="91"/>
      <c r="E52" s="92"/>
      <c r="F52" s="98"/>
      <c r="G52" s="112">
        <v>0</v>
      </c>
      <c r="H52" s="112">
        <v>0</v>
      </c>
      <c r="I52" s="127">
        <v>0</v>
      </c>
      <c r="J52" s="133">
        <f t="shared" si="11"/>
        <v>0</v>
      </c>
      <c r="K52" s="135">
        <f t="shared" si="0"/>
        <v>0</v>
      </c>
      <c r="L52" s="37"/>
      <c r="M52" s="168">
        <v>0</v>
      </c>
      <c r="N52" s="171">
        <f t="shared" si="1"/>
        <v>0</v>
      </c>
      <c r="O52" s="168">
        <v>0</v>
      </c>
      <c r="P52" s="169">
        <f t="shared" si="2"/>
        <v>0</v>
      </c>
      <c r="Q52" s="179">
        <v>0</v>
      </c>
      <c r="R52" s="607">
        <f t="shared" si="3"/>
        <v>0</v>
      </c>
      <c r="S52" s="610">
        <f t="shared" si="6"/>
        <v>0</v>
      </c>
      <c r="U52" s="145">
        <v>53204040200000</v>
      </c>
      <c r="V52" s="142" t="s">
        <v>48</v>
      </c>
      <c r="W52" s="148">
        <v>0</v>
      </c>
      <c r="AG52" s="31"/>
    </row>
    <row r="53" spans="1:33" s="39" customFormat="1" ht="12.75" customHeight="1" x14ac:dyDescent="0.2">
      <c r="A53" s="1060"/>
      <c r="B53" s="1066"/>
      <c r="C53" s="89"/>
      <c r="D53" s="91"/>
      <c r="E53" s="92"/>
      <c r="F53" s="98"/>
      <c r="G53" s="112">
        <v>0</v>
      </c>
      <c r="H53" s="112">
        <v>0</v>
      </c>
      <c r="I53" s="127">
        <v>0</v>
      </c>
      <c r="J53" s="133">
        <f t="shared" si="11"/>
        <v>0</v>
      </c>
      <c r="K53" s="135">
        <f t="shared" si="0"/>
        <v>0</v>
      </c>
      <c r="L53" s="37"/>
      <c r="M53" s="168">
        <v>0</v>
      </c>
      <c r="N53" s="171">
        <f t="shared" si="1"/>
        <v>0</v>
      </c>
      <c r="O53" s="168">
        <v>0</v>
      </c>
      <c r="P53" s="169">
        <f t="shared" si="2"/>
        <v>0</v>
      </c>
      <c r="Q53" s="179">
        <v>0</v>
      </c>
      <c r="R53" s="607">
        <f t="shared" si="3"/>
        <v>0</v>
      </c>
      <c r="S53" s="610">
        <f t="shared" si="6"/>
        <v>0</v>
      </c>
      <c r="U53" s="145">
        <v>53204060000000</v>
      </c>
      <c r="V53" s="142" t="s">
        <v>49</v>
      </c>
      <c r="W53" s="148">
        <v>0</v>
      </c>
      <c r="AG53" s="31"/>
    </row>
    <row r="54" spans="1:33" s="39" customFormat="1" ht="12.75" customHeight="1" x14ac:dyDescent="0.2">
      <c r="A54" s="1060"/>
      <c r="B54" s="1067"/>
      <c r="C54" s="89"/>
      <c r="D54" s="91"/>
      <c r="E54" s="92"/>
      <c r="F54" s="98"/>
      <c r="G54" s="112">
        <v>0</v>
      </c>
      <c r="H54" s="112">
        <v>0</v>
      </c>
      <c r="I54" s="127">
        <v>0</v>
      </c>
      <c r="J54" s="133">
        <f t="shared" si="8"/>
        <v>0</v>
      </c>
      <c r="K54" s="135">
        <f t="shared" si="0"/>
        <v>0</v>
      </c>
      <c r="L54" s="37"/>
      <c r="M54" s="168">
        <v>0</v>
      </c>
      <c r="N54" s="171">
        <f t="shared" si="1"/>
        <v>0</v>
      </c>
      <c r="O54" s="168">
        <v>0</v>
      </c>
      <c r="P54" s="169">
        <f t="shared" si="2"/>
        <v>0</v>
      </c>
      <c r="Q54" s="179">
        <v>0</v>
      </c>
      <c r="R54" s="607">
        <f t="shared" si="3"/>
        <v>0</v>
      </c>
      <c r="S54" s="610">
        <f t="shared" si="6"/>
        <v>0</v>
      </c>
      <c r="U54" s="145">
        <v>53204070000000</v>
      </c>
      <c r="V54" s="142" t="s">
        <v>50</v>
      </c>
      <c r="W54" s="148">
        <v>4562446.9971428569</v>
      </c>
      <c r="AG54" s="31"/>
    </row>
    <row r="55" spans="1:33" s="39" customFormat="1" ht="12.75" customHeight="1" x14ac:dyDescent="0.2">
      <c r="A55" s="1060"/>
      <c r="B55" s="1067"/>
      <c r="C55" s="89"/>
      <c r="D55" s="91"/>
      <c r="E55" s="92"/>
      <c r="F55" s="98"/>
      <c r="G55" s="112">
        <v>0</v>
      </c>
      <c r="H55" s="112">
        <v>0</v>
      </c>
      <c r="I55" s="127">
        <v>0</v>
      </c>
      <c r="J55" s="133">
        <f t="shared" si="8"/>
        <v>0</v>
      </c>
      <c r="K55" s="135">
        <f t="shared" si="0"/>
        <v>0</v>
      </c>
      <c r="L55" s="37"/>
      <c r="M55" s="168">
        <v>0</v>
      </c>
      <c r="N55" s="171">
        <f t="shared" si="1"/>
        <v>0</v>
      </c>
      <c r="O55" s="168">
        <v>0</v>
      </c>
      <c r="P55" s="169">
        <f t="shared" si="2"/>
        <v>0</v>
      </c>
      <c r="Q55" s="179">
        <v>0</v>
      </c>
      <c r="R55" s="607">
        <f t="shared" si="3"/>
        <v>0</v>
      </c>
      <c r="S55" s="610">
        <f t="shared" si="6"/>
        <v>0</v>
      </c>
      <c r="U55" s="145">
        <v>53204080000000</v>
      </c>
      <c r="V55" s="142" t="s">
        <v>51</v>
      </c>
      <c r="W55" s="148">
        <v>3723250.0757142855</v>
      </c>
      <c r="AG55" s="31"/>
    </row>
    <row r="56" spans="1:33" s="39" customFormat="1" ht="12.75" customHeight="1" x14ac:dyDescent="0.2">
      <c r="A56" s="1060"/>
      <c r="B56" s="1067"/>
      <c r="C56" s="89"/>
      <c r="D56" s="91"/>
      <c r="E56" s="92"/>
      <c r="F56" s="98"/>
      <c r="G56" s="112">
        <v>0</v>
      </c>
      <c r="H56" s="112">
        <v>0</v>
      </c>
      <c r="I56" s="127">
        <v>0</v>
      </c>
      <c r="J56" s="133">
        <f t="shared" si="8"/>
        <v>0</v>
      </c>
      <c r="K56" s="135">
        <f t="shared" si="0"/>
        <v>0</v>
      </c>
      <c r="L56" s="37"/>
      <c r="M56" s="168">
        <v>0</v>
      </c>
      <c r="N56" s="171">
        <f t="shared" si="1"/>
        <v>0</v>
      </c>
      <c r="O56" s="168">
        <v>0</v>
      </c>
      <c r="P56" s="169">
        <f t="shared" si="2"/>
        <v>0</v>
      </c>
      <c r="Q56" s="179">
        <v>0</v>
      </c>
      <c r="R56" s="607">
        <f t="shared" si="3"/>
        <v>0</v>
      </c>
      <c r="S56" s="610">
        <f t="shared" si="6"/>
        <v>0</v>
      </c>
      <c r="U56" s="145">
        <v>53214010000000</v>
      </c>
      <c r="V56" s="142" t="s">
        <v>52</v>
      </c>
      <c r="W56" s="148">
        <v>0</v>
      </c>
      <c r="AG56" s="31"/>
    </row>
    <row r="57" spans="1:33" s="39" customFormat="1" ht="12.75" customHeight="1" x14ac:dyDescent="0.2">
      <c r="A57" s="1060"/>
      <c r="B57" s="1067"/>
      <c r="C57" s="89"/>
      <c r="D57" s="91"/>
      <c r="E57" s="92"/>
      <c r="F57" s="98"/>
      <c r="G57" s="112">
        <v>0</v>
      </c>
      <c r="H57" s="112">
        <v>0</v>
      </c>
      <c r="I57" s="127">
        <v>0</v>
      </c>
      <c r="J57" s="133">
        <f t="shared" si="8"/>
        <v>0</v>
      </c>
      <c r="K57" s="135">
        <f t="shared" si="0"/>
        <v>0</v>
      </c>
      <c r="L57" s="37"/>
      <c r="M57" s="168">
        <v>0</v>
      </c>
      <c r="N57" s="171">
        <f t="shared" si="1"/>
        <v>0</v>
      </c>
      <c r="O57" s="168">
        <v>0</v>
      </c>
      <c r="P57" s="169">
        <f t="shared" si="2"/>
        <v>0</v>
      </c>
      <c r="Q57" s="179">
        <v>0</v>
      </c>
      <c r="R57" s="607">
        <f t="shared" si="3"/>
        <v>0</v>
      </c>
      <c r="S57" s="610">
        <f t="shared" si="6"/>
        <v>0</v>
      </c>
      <c r="U57" s="145">
        <v>53214040000000</v>
      </c>
      <c r="V57" s="142" t="s">
        <v>129</v>
      </c>
      <c r="W57" s="148">
        <v>0</v>
      </c>
      <c r="AG57" s="31"/>
    </row>
    <row r="58" spans="1:33" s="39" customFormat="1" ht="12.75" customHeight="1" x14ac:dyDescent="0.2">
      <c r="A58" s="1060"/>
      <c r="B58" s="1067"/>
      <c r="C58" s="89"/>
      <c r="D58" s="91"/>
      <c r="E58" s="92"/>
      <c r="F58" s="98"/>
      <c r="G58" s="112">
        <v>0</v>
      </c>
      <c r="H58" s="112">
        <v>0</v>
      </c>
      <c r="I58" s="127">
        <v>0</v>
      </c>
      <c r="J58" s="133">
        <f t="shared" si="8"/>
        <v>0</v>
      </c>
      <c r="K58" s="135">
        <f t="shared" si="0"/>
        <v>0</v>
      </c>
      <c r="L58" s="37"/>
      <c r="M58" s="168">
        <v>0</v>
      </c>
      <c r="N58" s="171">
        <f t="shared" si="1"/>
        <v>0</v>
      </c>
      <c r="O58" s="168">
        <v>0</v>
      </c>
      <c r="P58" s="169">
        <f t="shared" si="2"/>
        <v>0</v>
      </c>
      <c r="Q58" s="179">
        <v>0</v>
      </c>
      <c r="R58" s="607">
        <f t="shared" si="3"/>
        <v>0</v>
      </c>
      <c r="S58" s="610">
        <f t="shared" si="6"/>
        <v>0</v>
      </c>
      <c r="U58" s="145">
        <v>55201010100004</v>
      </c>
      <c r="V58" s="142" t="s">
        <v>53</v>
      </c>
      <c r="W58" s="148">
        <v>0</v>
      </c>
      <c r="AG58" s="31"/>
    </row>
    <row r="59" spans="1:33" s="39" customFormat="1" ht="12.75" customHeight="1" x14ac:dyDescent="0.2">
      <c r="A59" s="1060"/>
      <c r="B59" s="1067"/>
      <c r="C59" s="89"/>
      <c r="D59" s="91"/>
      <c r="E59" s="92"/>
      <c r="F59" s="98"/>
      <c r="G59" s="112">
        <v>0</v>
      </c>
      <c r="H59" s="112">
        <v>0</v>
      </c>
      <c r="I59" s="127">
        <v>0</v>
      </c>
      <c r="J59" s="133">
        <f t="shared" si="8"/>
        <v>0</v>
      </c>
      <c r="K59" s="135">
        <f t="shared" si="0"/>
        <v>0</v>
      </c>
      <c r="L59" s="37"/>
      <c r="M59" s="168">
        <v>0</v>
      </c>
      <c r="N59" s="171">
        <f t="shared" si="1"/>
        <v>0</v>
      </c>
      <c r="O59" s="168">
        <v>0</v>
      </c>
      <c r="P59" s="169">
        <f t="shared" si="2"/>
        <v>0</v>
      </c>
      <c r="Q59" s="179">
        <v>0</v>
      </c>
      <c r="R59" s="607">
        <f t="shared" si="3"/>
        <v>0</v>
      </c>
      <c r="S59" s="610">
        <f t="shared" si="6"/>
        <v>0</v>
      </c>
      <c r="U59" s="145">
        <v>55201010100005</v>
      </c>
      <c r="V59" s="142" t="s">
        <v>54</v>
      </c>
      <c r="W59" s="148">
        <v>0</v>
      </c>
      <c r="AG59" s="31"/>
    </row>
    <row r="60" spans="1:33" s="39" customFormat="1" ht="12.75" customHeight="1" x14ac:dyDescent="0.2">
      <c r="A60" s="1060"/>
      <c r="B60" s="1067"/>
      <c r="C60" s="89"/>
      <c r="D60" s="91"/>
      <c r="E60" s="92"/>
      <c r="F60" s="98"/>
      <c r="G60" s="112">
        <v>0</v>
      </c>
      <c r="H60" s="112">
        <v>0</v>
      </c>
      <c r="I60" s="127">
        <v>0</v>
      </c>
      <c r="J60" s="133">
        <f t="shared" si="8"/>
        <v>0</v>
      </c>
      <c r="K60" s="135">
        <f t="shared" si="0"/>
        <v>0</v>
      </c>
      <c r="L60" s="37"/>
      <c r="M60" s="168">
        <v>0</v>
      </c>
      <c r="N60" s="171">
        <f t="shared" si="1"/>
        <v>0</v>
      </c>
      <c r="O60" s="168">
        <v>0</v>
      </c>
      <c r="P60" s="169">
        <f t="shared" si="2"/>
        <v>0</v>
      </c>
      <c r="Q60" s="179">
        <v>0</v>
      </c>
      <c r="R60" s="607">
        <f t="shared" si="3"/>
        <v>0</v>
      </c>
      <c r="S60" s="610">
        <f t="shared" si="6"/>
        <v>0</v>
      </c>
      <c r="U60" s="144"/>
      <c r="V60" s="141" t="s">
        <v>55</v>
      </c>
      <c r="W60" s="147">
        <f>SUM(W61:W69)</f>
        <v>9708051.8028571401</v>
      </c>
      <c r="AG60" s="31"/>
    </row>
    <row r="61" spans="1:33" s="39" customFormat="1" ht="12.75" customHeight="1" thickBot="1" x14ac:dyDescent="0.25">
      <c r="A61" s="1061"/>
      <c r="B61" s="1068"/>
      <c r="C61" s="137"/>
      <c r="D61" s="113"/>
      <c r="E61" s="114"/>
      <c r="F61" s="115" t="s">
        <v>118</v>
      </c>
      <c r="G61" s="116">
        <v>0</v>
      </c>
      <c r="H61" s="116">
        <v>0</v>
      </c>
      <c r="I61" s="128">
        <v>0</v>
      </c>
      <c r="J61" s="131">
        <f t="shared" si="8"/>
        <v>0</v>
      </c>
      <c r="K61" s="123">
        <f t="shared" si="0"/>
        <v>0</v>
      </c>
      <c r="L61" s="37"/>
      <c r="M61" s="173">
        <v>0</v>
      </c>
      <c r="N61" s="172">
        <f t="shared" si="1"/>
        <v>0</v>
      </c>
      <c r="O61" s="173">
        <v>0</v>
      </c>
      <c r="P61" s="182">
        <f t="shared" si="2"/>
        <v>0</v>
      </c>
      <c r="Q61" s="180">
        <v>0</v>
      </c>
      <c r="R61" s="608">
        <f t="shared" si="3"/>
        <v>0</v>
      </c>
      <c r="S61" s="611">
        <f t="shared" si="6"/>
        <v>0</v>
      </c>
      <c r="U61" s="145">
        <v>53207010000000</v>
      </c>
      <c r="V61" s="142" t="s">
        <v>56</v>
      </c>
      <c r="W61" s="148">
        <v>0</v>
      </c>
      <c r="AG61" s="31"/>
    </row>
    <row r="62" spans="1:33" s="39" customFormat="1" ht="12.75" customHeight="1" thickBot="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251">
        <f>SUM(K15:K61)</f>
        <v>299223997.74000001</v>
      </c>
      <c r="L62" s="31"/>
      <c r="M62" s="252">
        <f>+N62/$K$62</f>
        <v>0.30445447173681622</v>
      </c>
      <c r="N62" s="253">
        <f>SUM(N15:N61)</f>
        <v>91100084.162909999</v>
      </c>
      <c r="O62" s="252">
        <f>+P62/$K$62</f>
        <v>8.5941941532794122E-2</v>
      </c>
      <c r="P62" s="253">
        <f>SUM(P15:P61)</f>
        <v>25715891.318980001</v>
      </c>
      <c r="Q62" s="252">
        <f>+R62/$K$62</f>
        <v>0.60960358673038961</v>
      </c>
      <c r="R62" s="253">
        <f>SUM(R15:R61)</f>
        <v>182408022.25810999</v>
      </c>
      <c r="S62" s="31"/>
      <c r="U62" s="145">
        <v>53207020000000</v>
      </c>
      <c r="V62" s="142" t="s">
        <v>57</v>
      </c>
      <c r="W62" s="148">
        <v>636051.17142857134</v>
      </c>
      <c r="AG62" s="31"/>
    </row>
    <row r="63" spans="1:33" s="39" customFormat="1" ht="12.75" customHeight="1" x14ac:dyDescent="0.2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80">
        <v>1</v>
      </c>
      <c r="L63" s="31"/>
      <c r="M63" s="31"/>
      <c r="O63" s="31"/>
      <c r="P63" s="31"/>
      <c r="Q63" s="31"/>
      <c r="R63" s="31"/>
      <c r="S63" s="31"/>
      <c r="U63" s="145">
        <v>53208020000000</v>
      </c>
      <c r="V63" s="142" t="s">
        <v>58</v>
      </c>
      <c r="W63" s="148">
        <v>0</v>
      </c>
      <c r="AG63" s="31"/>
    </row>
    <row r="64" spans="1:33" s="39" customFormat="1" ht="12.75" customHeight="1" thickBot="1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U64" s="145">
        <v>53208990000000</v>
      </c>
      <c r="V64" s="142" t="s">
        <v>59</v>
      </c>
      <c r="W64" s="148">
        <v>4871541.0628571417</v>
      </c>
      <c r="AG64" s="31"/>
    </row>
    <row r="65" spans="1:33" s="39" customFormat="1" ht="12.75" customHeight="1" x14ac:dyDescent="0.2">
      <c r="A65" s="1030" t="s">
        <v>136</v>
      </c>
      <c r="B65" s="1033" t="s">
        <v>466</v>
      </c>
      <c r="C65" s="879" t="s">
        <v>459</v>
      </c>
      <c r="D65" s="880" t="s">
        <v>460</v>
      </c>
      <c r="E65" s="881" t="s">
        <v>461</v>
      </c>
      <c r="F65" s="882" t="s">
        <v>462</v>
      </c>
      <c r="G65" s="883">
        <f>1100864*12</f>
        <v>13210368</v>
      </c>
      <c r="H65" s="883">
        <f>65535+85466</f>
        <v>151001</v>
      </c>
      <c r="I65" s="884">
        <f>74515*2</f>
        <v>149030</v>
      </c>
      <c r="J65" s="254">
        <f t="shared" ref="J65:J69" si="12">SUM(G65:I65)</f>
        <v>13510399</v>
      </c>
      <c r="K65" s="255">
        <f t="shared" ref="K65:K69" si="13">+J65*(1+$K$11)</f>
        <v>15266750.869999999</v>
      </c>
      <c r="L65" s="37"/>
      <c r="M65" s="31"/>
      <c r="N65" s="31"/>
      <c r="O65" s="31"/>
      <c r="P65" s="31"/>
      <c r="Q65" s="31"/>
      <c r="R65" s="31"/>
      <c r="S65" s="31"/>
      <c r="U65" s="145">
        <v>53209010000000</v>
      </c>
      <c r="V65" s="142" t="s">
        <v>60</v>
      </c>
      <c r="W65" s="148">
        <v>0</v>
      </c>
      <c r="AG65" s="31"/>
    </row>
    <row r="66" spans="1:33" s="39" customFormat="1" ht="12.75" customHeight="1" x14ac:dyDescent="0.2">
      <c r="A66" s="1031"/>
      <c r="B66" s="1034"/>
      <c r="C66" s="885" t="s">
        <v>463</v>
      </c>
      <c r="D66" s="886" t="s">
        <v>464</v>
      </c>
      <c r="E66" s="887" t="s">
        <v>465</v>
      </c>
      <c r="F66" s="888" t="s">
        <v>462</v>
      </c>
      <c r="G66" s="889">
        <f>881589*12</f>
        <v>10579068</v>
      </c>
      <c r="H66" s="889">
        <f>101037+85466</f>
        <v>186503</v>
      </c>
      <c r="I66" s="890">
        <f>73174*2</f>
        <v>146348</v>
      </c>
      <c r="J66" s="260">
        <f t="shared" si="12"/>
        <v>10911919</v>
      </c>
      <c r="K66" s="261">
        <f t="shared" si="13"/>
        <v>12330468.469999999</v>
      </c>
      <c r="L66" s="37"/>
      <c r="M66" s="31"/>
      <c r="N66" s="31"/>
      <c r="O66" s="31"/>
      <c r="P66" s="31"/>
      <c r="Q66" s="31"/>
      <c r="R66" s="31"/>
      <c r="S66" s="31"/>
      <c r="U66" s="145">
        <v>53209040000000</v>
      </c>
      <c r="V66" s="142" t="s">
        <v>61</v>
      </c>
      <c r="W66" s="148">
        <v>0</v>
      </c>
      <c r="AG66" s="31"/>
    </row>
    <row r="67" spans="1:33" x14ac:dyDescent="0.2">
      <c r="A67" s="1031"/>
      <c r="B67" s="1034"/>
      <c r="C67" s="90"/>
      <c r="D67" s="256"/>
      <c r="E67" s="257"/>
      <c r="F67" s="258"/>
      <c r="G67" s="167">
        <v>0</v>
      </c>
      <c r="H67" s="167">
        <v>0</v>
      </c>
      <c r="I67" s="259">
        <v>0</v>
      </c>
      <c r="J67" s="260">
        <f t="shared" si="12"/>
        <v>0</v>
      </c>
      <c r="K67" s="261">
        <f t="shared" si="13"/>
        <v>0</v>
      </c>
      <c r="L67" s="37"/>
      <c r="U67" s="145">
        <v>53209050000000</v>
      </c>
      <c r="V67" s="142" t="s">
        <v>62</v>
      </c>
      <c r="W67" s="148">
        <v>3027632.8914285712</v>
      </c>
    </row>
    <row r="68" spans="1:33" x14ac:dyDescent="0.2">
      <c r="A68" s="1031"/>
      <c r="B68" s="1034"/>
      <c r="C68" s="262"/>
      <c r="D68" s="207"/>
      <c r="E68" s="263"/>
      <c r="F68" s="264"/>
      <c r="G68" s="167">
        <v>0</v>
      </c>
      <c r="H68" s="167">
        <v>0</v>
      </c>
      <c r="I68" s="259">
        <v>0</v>
      </c>
      <c r="J68" s="260">
        <f t="shared" si="12"/>
        <v>0</v>
      </c>
      <c r="K68" s="261">
        <f t="shared" si="13"/>
        <v>0</v>
      </c>
      <c r="L68" s="37"/>
      <c r="U68" s="145">
        <v>53209990000000</v>
      </c>
      <c r="V68" s="142" t="s">
        <v>63</v>
      </c>
      <c r="W68" s="148">
        <v>0</v>
      </c>
    </row>
    <row r="69" spans="1:33" ht="13.5" thickBot="1" x14ac:dyDescent="0.25">
      <c r="A69" s="1032"/>
      <c r="B69" s="1035"/>
      <c r="C69" s="223"/>
      <c r="D69" s="210"/>
      <c r="E69" s="265"/>
      <c r="F69" s="266"/>
      <c r="G69" s="211">
        <v>0</v>
      </c>
      <c r="H69" s="211">
        <v>0</v>
      </c>
      <c r="I69" s="267">
        <v>0</v>
      </c>
      <c r="J69" s="268">
        <f t="shared" si="12"/>
        <v>0</v>
      </c>
      <c r="K69" s="269">
        <f t="shared" si="13"/>
        <v>0</v>
      </c>
      <c r="L69" s="37"/>
      <c r="U69" s="145">
        <v>53210020100000</v>
      </c>
      <c r="V69" s="142" t="s">
        <v>64</v>
      </c>
      <c r="W69" s="148">
        <v>1172826.6771428571</v>
      </c>
    </row>
    <row r="70" spans="1:33" ht="16.5" thickBot="1" x14ac:dyDescent="0.25">
      <c r="C70" s="29"/>
      <c r="D70" s="29"/>
      <c r="E70" s="41"/>
      <c r="F70" s="41"/>
      <c r="G70" s="41"/>
      <c r="H70" s="41"/>
      <c r="I70" s="41"/>
      <c r="K70" s="251">
        <f>SUM(K65:K69)</f>
        <v>27597219.339999996</v>
      </c>
      <c r="L70" s="37"/>
      <c r="U70" s="144"/>
      <c r="V70" s="141" t="s">
        <v>65</v>
      </c>
      <c r="W70" s="147">
        <f>SUM(W71:W77)</f>
        <v>4049696.4214285715</v>
      </c>
    </row>
    <row r="71" spans="1:33" x14ac:dyDescent="0.2">
      <c r="K71" s="80">
        <v>1</v>
      </c>
      <c r="L71" s="37"/>
      <c r="M71" s="42"/>
      <c r="O71" s="42"/>
      <c r="Q71" s="42"/>
      <c r="U71" s="145">
        <v>53206030000000</v>
      </c>
      <c r="V71" s="142" t="s">
        <v>99</v>
      </c>
      <c r="W71" s="148">
        <v>0</v>
      </c>
    </row>
    <row r="72" spans="1:33" ht="15.75" customHeight="1" x14ac:dyDescent="0.2">
      <c r="H72" s="139"/>
      <c r="U72" s="145">
        <v>53206040000000</v>
      </c>
      <c r="V72" s="142" t="s">
        <v>100</v>
      </c>
      <c r="W72" s="148">
        <v>0</v>
      </c>
    </row>
    <row r="73" spans="1:33" x14ac:dyDescent="0.2">
      <c r="U73" s="145">
        <v>53206060000000</v>
      </c>
      <c r="V73" s="142" t="s">
        <v>101</v>
      </c>
      <c r="W73" s="148">
        <v>0</v>
      </c>
    </row>
    <row r="74" spans="1:33" x14ac:dyDescent="0.2">
      <c r="U74" s="145">
        <v>53206070000000</v>
      </c>
      <c r="V74" s="142" t="s">
        <v>102</v>
      </c>
      <c r="W74" s="148">
        <v>0</v>
      </c>
    </row>
    <row r="75" spans="1:33" x14ac:dyDescent="0.2">
      <c r="U75" s="145">
        <v>53206990000000</v>
      </c>
      <c r="V75" s="142" t="s">
        <v>103</v>
      </c>
      <c r="W75" s="148">
        <v>583846.78571428568</v>
      </c>
    </row>
    <row r="76" spans="1:33" x14ac:dyDescent="0.2">
      <c r="U76" s="145">
        <v>53208030000000</v>
      </c>
      <c r="V76" s="142" t="s">
        <v>104</v>
      </c>
      <c r="W76" s="148">
        <v>0</v>
      </c>
    </row>
    <row r="77" spans="1:33" x14ac:dyDescent="0.2">
      <c r="U77" s="145">
        <v>53212060000000</v>
      </c>
      <c r="V77" s="142" t="s">
        <v>97</v>
      </c>
      <c r="W77" s="148">
        <v>3465849.6357142855</v>
      </c>
    </row>
    <row r="78" spans="1:33" x14ac:dyDescent="0.2">
      <c r="U78" s="144"/>
      <c r="V78" s="141" t="s">
        <v>66</v>
      </c>
      <c r="W78" s="147">
        <f>SUM(W79:W79)</f>
        <v>5969456.327142857</v>
      </c>
    </row>
    <row r="79" spans="1:33" x14ac:dyDescent="0.2">
      <c r="U79" s="145">
        <v>53204999000000</v>
      </c>
      <c r="V79" s="142" t="s">
        <v>96</v>
      </c>
      <c r="W79" s="148">
        <v>5969456.327142857</v>
      </c>
    </row>
    <row r="80" spans="1:33" ht="15.75" customHeight="1" x14ac:dyDescent="0.2">
      <c r="U80" s="149"/>
      <c r="V80" s="150" t="s">
        <v>139</v>
      </c>
      <c r="W80" s="151">
        <f>+W40+W15</f>
        <v>90525771.787142858</v>
      </c>
    </row>
    <row r="94" spans="11:12" x14ac:dyDescent="0.2">
      <c r="L94" s="153"/>
    </row>
    <row r="96" spans="11:12" x14ac:dyDescent="0.2">
      <c r="K96" s="165"/>
    </row>
    <row r="98" spans="11:11" x14ac:dyDescent="0.2">
      <c r="K98" s="154"/>
    </row>
  </sheetData>
  <sheetProtection algorithmName="SHA-512" hashValue="GStHj8Z58qp2V4humJXzZ2Kmo2DN7nhyp+dLjb+dDMfmKD/0bTad2w1EotDThCBXBAXHtRIX/clCJneiFRfnUA==" saltValue="yy+Ng+k3hvuPGgU6Ach+/Q==" spinCount="100000" sheet="1" objects="1" scenarios="1"/>
  <mergeCells count="43">
    <mergeCell ref="AN15:AO15"/>
    <mergeCell ref="AP14:AQ14"/>
    <mergeCell ref="AP15:AQ15"/>
    <mergeCell ref="AR14:AS14"/>
    <mergeCell ref="AR15:AS15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G13:AH13"/>
    <mergeCell ref="G13:J13"/>
    <mergeCell ref="A15:A61"/>
    <mergeCell ref="B15:B24"/>
    <mergeCell ref="B25:B34"/>
    <mergeCell ref="B35:B39"/>
    <mergeCell ref="B40:B61"/>
    <mergeCell ref="M12:R12"/>
    <mergeCell ref="A65:A69"/>
    <mergeCell ref="B65:B69"/>
    <mergeCell ref="A9:H9"/>
    <mergeCell ref="U9:W10"/>
    <mergeCell ref="U13:U14"/>
    <mergeCell ref="V13:V14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</mergeCells>
  <conditionalFormatting sqref="S15:S61">
    <cfRule type="cellIs" dxfId="1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002060"/>
    <pageSetUpPr fitToPage="1"/>
  </sheetPr>
  <dimension ref="A1:IK16"/>
  <sheetViews>
    <sheetView showGridLines="0" topLeftCell="H1" zoomScale="80" zoomScaleNormal="80" workbookViewId="0">
      <selection activeCell="R31" sqref="R31"/>
    </sheetView>
  </sheetViews>
  <sheetFormatPr baseColWidth="10" defaultColWidth="11.42578125" defaultRowHeight="12.75" x14ac:dyDescent="0.2"/>
  <cols>
    <col min="1" max="1" width="43.5703125" style="4" customWidth="1"/>
    <col min="2" max="2" width="23.42578125" style="4" bestFit="1" customWidth="1"/>
    <col min="3" max="3" width="14.140625" style="25" customWidth="1"/>
    <col min="4" max="4" width="14.140625" style="25" bestFit="1" customWidth="1"/>
    <col min="5" max="5" width="16.140625" style="25" customWidth="1"/>
    <col min="6" max="9" width="14.140625" style="25" customWidth="1"/>
    <col min="10" max="10" width="15.7109375" style="25" customWidth="1"/>
    <col min="11" max="14" width="14.140625" style="25" customWidth="1"/>
    <col min="15" max="15" width="15.28515625" style="25" customWidth="1"/>
    <col min="16" max="17" width="14.140625" style="25" customWidth="1"/>
    <col min="18" max="18" width="13.28515625" style="4" customWidth="1"/>
    <col min="19" max="19" width="14.140625" style="4" bestFit="1" customWidth="1"/>
    <col min="20" max="20" width="16.42578125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44" t="s">
        <v>204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44" t="s">
        <v>196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5"/>
      <c r="C4" s="106"/>
      <c r="F4" s="106" t="s">
        <v>0</v>
      </c>
      <c r="G4" s="1095" t="str">
        <f>+'B) Reajuste Tarifas y Ocupación'!F5</f>
        <v>(DEPTO./DELEG.)</v>
      </c>
      <c r="H4" s="1096"/>
      <c r="I4" s="106"/>
      <c r="J4" s="106"/>
      <c r="K4" s="106"/>
      <c r="L4" s="106"/>
      <c r="M4" s="106"/>
      <c r="N4" s="106"/>
      <c r="O4" s="106"/>
      <c r="P4" s="106"/>
      <c r="Q4" s="106"/>
      <c r="IA4" s="4"/>
      <c r="IB4" s="4"/>
      <c r="IC4" s="4"/>
      <c r="ID4" s="4"/>
      <c r="IE4" s="4"/>
      <c r="IF4" s="4"/>
    </row>
    <row r="5" spans="1:245" s="6" customFormat="1" x14ac:dyDescent="0.2">
      <c r="B5" s="25"/>
      <c r="C5" s="106"/>
      <c r="F5" s="106"/>
      <c r="G5" s="109"/>
      <c r="H5" s="109"/>
      <c r="I5" s="106"/>
      <c r="J5" s="106"/>
      <c r="K5" s="106"/>
      <c r="L5" s="106"/>
      <c r="M5" s="106"/>
      <c r="N5" s="106"/>
      <c r="O5" s="106"/>
      <c r="P5" s="106"/>
      <c r="Q5" s="106"/>
      <c r="IA5" s="4"/>
      <c r="IB5" s="4"/>
      <c r="IC5" s="4"/>
      <c r="ID5" s="4"/>
      <c r="IE5" s="4"/>
      <c r="IF5" s="4"/>
    </row>
    <row r="6" spans="1:245" s="6" customFormat="1" ht="15.75" x14ac:dyDescent="0.2">
      <c r="A6" s="1103" t="s">
        <v>157</v>
      </c>
      <c r="B6" s="1103"/>
      <c r="C6" s="1103"/>
      <c r="D6" s="1103"/>
      <c r="E6" s="108"/>
      <c r="F6" s="106"/>
      <c r="G6" s="109"/>
      <c r="H6" s="109"/>
      <c r="I6" s="106"/>
      <c r="J6" s="106"/>
      <c r="K6" s="106"/>
      <c r="L6" s="106"/>
      <c r="M6" s="106"/>
      <c r="N6" s="106"/>
      <c r="O6" s="106"/>
      <c r="P6" s="106"/>
      <c r="Q6" s="106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x14ac:dyDescent="0.2">
      <c r="A8" s="1104" t="s">
        <v>114</v>
      </c>
      <c r="B8" s="1106" t="s">
        <v>5</v>
      </c>
      <c r="C8" s="1100" t="s">
        <v>266</v>
      </c>
      <c r="D8" s="1101"/>
      <c r="E8" s="1101"/>
      <c r="F8" s="1101"/>
      <c r="G8" s="1102"/>
      <c r="H8" s="1097" t="s">
        <v>228</v>
      </c>
      <c r="I8" s="1098"/>
      <c r="J8" s="1098"/>
      <c r="K8" s="1098"/>
      <c r="L8" s="1099"/>
      <c r="M8" s="1091" t="s">
        <v>122</v>
      </c>
      <c r="N8" s="1092"/>
      <c r="O8" s="1092"/>
      <c r="P8" s="1092"/>
      <c r="Q8" s="1093"/>
      <c r="R8" s="1091" t="s">
        <v>123</v>
      </c>
      <c r="S8" s="1092"/>
      <c r="T8" s="1092"/>
      <c r="U8" s="1092"/>
      <c r="V8" s="1093"/>
    </row>
    <row r="9" spans="1:245" ht="71.25" customHeight="1" thickBot="1" x14ac:dyDescent="0.25">
      <c r="A9" s="1105" t="e">
        <f>NA()</f>
        <v>#N/A</v>
      </c>
      <c r="B9" s="1107" t="e">
        <f>NA()</f>
        <v>#N/A</v>
      </c>
      <c r="C9" s="485" t="s">
        <v>86</v>
      </c>
      <c r="D9" s="479" t="s">
        <v>134</v>
      </c>
      <c r="E9" s="479" t="s">
        <v>135</v>
      </c>
      <c r="F9" s="479" t="s">
        <v>87</v>
      </c>
      <c r="G9" s="486" t="s">
        <v>88</v>
      </c>
      <c r="H9" s="491" t="s">
        <v>86</v>
      </c>
      <c r="I9" s="480" t="s">
        <v>134</v>
      </c>
      <c r="J9" s="480" t="s">
        <v>135</v>
      </c>
      <c r="K9" s="480" t="s">
        <v>87</v>
      </c>
      <c r="L9" s="481" t="s">
        <v>88</v>
      </c>
      <c r="M9" s="491" t="s">
        <v>86</v>
      </c>
      <c r="N9" s="480" t="s">
        <v>134</v>
      </c>
      <c r="O9" s="480" t="s">
        <v>135</v>
      </c>
      <c r="P9" s="480" t="s">
        <v>87</v>
      </c>
      <c r="Q9" s="481" t="s">
        <v>88</v>
      </c>
      <c r="R9" s="491" t="s">
        <v>86</v>
      </c>
      <c r="S9" s="480" t="s">
        <v>134</v>
      </c>
      <c r="T9" s="480" t="s">
        <v>135</v>
      </c>
      <c r="U9" s="480" t="s">
        <v>87</v>
      </c>
      <c r="V9" s="481" t="s">
        <v>88</v>
      </c>
    </row>
    <row r="10" spans="1:245" s="10" customFormat="1" ht="19.5" customHeight="1" x14ac:dyDescent="0.2">
      <c r="A10" s="1089" t="str">
        <f>+'B) Reajuste Tarifas y Ocupación'!A12</f>
        <v>Jardín Infantil Tortuguita Marina</v>
      </c>
      <c r="B10" s="482" t="str">
        <f>+'B) Reajuste Tarifas y Ocupación'!B12</f>
        <v>Media jornada</v>
      </c>
      <c r="C10" s="614">
        <f>+'B) Reajuste Tarifas y Ocupación'!M12</f>
        <v>71500</v>
      </c>
      <c r="D10" s="470">
        <f>+'B) Reajuste Tarifas y Ocupación'!N12</f>
        <v>96500</v>
      </c>
      <c r="E10" s="470">
        <f>+'B) Reajuste Tarifas y Ocupación'!O12</f>
        <v>100000</v>
      </c>
      <c r="F10" s="470">
        <f>+'B) Reajuste Tarifas y Ocupación'!P12</f>
        <v>97600</v>
      </c>
      <c r="G10" s="615">
        <f>+'B) Reajuste Tarifas y Ocupación'!Q12</f>
        <v>124100</v>
      </c>
      <c r="H10" s="618">
        <f>+'B) Reajuste Tarifas y Ocupación'!C12</f>
        <v>61300</v>
      </c>
      <c r="I10" s="471">
        <f>+'B) Reajuste Tarifas y Ocupación'!D12</f>
        <v>73500</v>
      </c>
      <c r="J10" s="471">
        <f>+'B) Reajuste Tarifas y Ocupación'!E12</f>
        <v>73500</v>
      </c>
      <c r="K10" s="471">
        <f>+'B) Reajuste Tarifas y Ocupación'!F12</f>
        <v>83700</v>
      </c>
      <c r="L10" s="492">
        <f>+'B) Reajuste Tarifas y Ocupación'!G12</f>
        <v>106500</v>
      </c>
      <c r="M10" s="617">
        <f t="shared" ref="M10:Q11" si="0">C10-H10</f>
        <v>10200</v>
      </c>
      <c r="N10" s="472">
        <f t="shared" si="0"/>
        <v>23000</v>
      </c>
      <c r="O10" s="472">
        <f t="shared" si="0"/>
        <v>26500</v>
      </c>
      <c r="P10" s="472">
        <f t="shared" si="0"/>
        <v>13900</v>
      </c>
      <c r="Q10" s="627">
        <f t="shared" si="0"/>
        <v>17600</v>
      </c>
      <c r="R10" s="628">
        <f>+'B) Reajuste Tarifas y Ocupación'!H12</f>
        <v>0.16500000000000001</v>
      </c>
      <c r="S10" s="473">
        <f>+'B) Reajuste Tarifas y Ocupación'!I12</f>
        <v>0.16500000000000001</v>
      </c>
      <c r="T10" s="473">
        <f>+'B) Reajuste Tarifas y Ocupación'!J12</f>
        <v>0.16500000000000001</v>
      </c>
      <c r="U10" s="473">
        <f>+'B) Reajuste Tarifas y Ocupación'!K12</f>
        <v>0.16500000000000001</v>
      </c>
      <c r="V10" s="474">
        <f>+'B) Reajuste Tarifas y Ocupación'!L12</f>
        <v>0.16500000000000001</v>
      </c>
    </row>
    <row r="11" spans="1:245" s="10" customFormat="1" ht="19.5" customHeight="1" thickBot="1" x14ac:dyDescent="0.25">
      <c r="A11" s="1090"/>
      <c r="B11" s="483" t="str">
        <f>+'B) Reajuste Tarifas y Ocupación'!B13</f>
        <v xml:space="preserve">Doble Jornada </v>
      </c>
      <c r="C11" s="488">
        <f>+'B) Reajuste Tarifas y Ocupación'!M13</f>
        <v>90900</v>
      </c>
      <c r="D11" s="475">
        <f>+'B) Reajuste Tarifas y Ocupación'!N13</f>
        <v>122700</v>
      </c>
      <c r="E11" s="475">
        <f>+'B) Reajuste Tarifas y Ocupación'!O13</f>
        <v>127300</v>
      </c>
      <c r="F11" s="475">
        <f>+'B) Reajuste Tarifas y Ocupación'!P13</f>
        <v>136400</v>
      </c>
      <c r="G11" s="616">
        <f>+'B) Reajuste Tarifas y Ocupación'!Q13</f>
        <v>181700</v>
      </c>
      <c r="H11" s="493">
        <f>+'B) Reajuste Tarifas y Ocupación'!C13</f>
        <v>78000</v>
      </c>
      <c r="I11" s="619">
        <f>+'B) Reajuste Tarifas y Ocupación'!D13</f>
        <v>93500</v>
      </c>
      <c r="J11" s="619">
        <f>+'B) Reajuste Tarifas y Ocupación'!E13</f>
        <v>93500</v>
      </c>
      <c r="K11" s="619">
        <f>+'B) Reajuste Tarifas y Ocupación'!F13</f>
        <v>117000</v>
      </c>
      <c r="L11" s="620">
        <f>+'B) Reajuste Tarifas y Ocupación'!G13</f>
        <v>155900</v>
      </c>
      <c r="M11" s="634">
        <f t="shared" si="0"/>
        <v>12900</v>
      </c>
      <c r="N11" s="635">
        <f t="shared" si="0"/>
        <v>29200</v>
      </c>
      <c r="O11" s="635">
        <f t="shared" si="0"/>
        <v>33800</v>
      </c>
      <c r="P11" s="635">
        <f t="shared" si="0"/>
        <v>19400</v>
      </c>
      <c r="Q11" s="636">
        <f t="shared" si="0"/>
        <v>25800</v>
      </c>
      <c r="R11" s="637">
        <f>+'B) Reajuste Tarifas y Ocupación'!H13</f>
        <v>0.16500000000000001</v>
      </c>
      <c r="S11" s="638">
        <f>+'B) Reajuste Tarifas y Ocupación'!I13</f>
        <v>0.16500000000000001</v>
      </c>
      <c r="T11" s="638">
        <f>+'B) Reajuste Tarifas y Ocupación'!J13</f>
        <v>0.16500000000000001</v>
      </c>
      <c r="U11" s="638">
        <f>+'B) Reajuste Tarifas y Ocupación'!K13</f>
        <v>0.16500000000000001</v>
      </c>
      <c r="V11" s="639">
        <f>+'B) Reajuste Tarifas y Ocupación'!L13</f>
        <v>0.16500000000000001</v>
      </c>
    </row>
    <row r="12" spans="1:245" s="10" customFormat="1" ht="19.5" customHeight="1" x14ac:dyDescent="0.2">
      <c r="A12" s="1089" t="str">
        <f>+'B) Reajuste Tarifas y Ocupación'!A14</f>
        <v>Jardín Infantil Burbujitas de Mar</v>
      </c>
      <c r="B12" s="482" t="str">
        <f>+'B) Reajuste Tarifas y Ocupación'!B14</f>
        <v>Media jornada</v>
      </c>
      <c r="C12" s="612">
        <f>+'B) Reajuste Tarifas y Ocupación'!M14</f>
        <v>100600</v>
      </c>
      <c r="D12" s="613">
        <f>+'B) Reajuste Tarifas y Ocupación'!N14</f>
        <v>135800</v>
      </c>
      <c r="E12" s="613">
        <f>+'B) Reajuste Tarifas y Ocupación'!O14</f>
        <v>140800</v>
      </c>
      <c r="F12" s="613">
        <f>+'B) Reajuste Tarifas y Ocupación'!P14</f>
        <v>125800</v>
      </c>
      <c r="G12" s="629">
        <f>+'B) Reajuste Tarifas y Ocupación'!Q14</f>
        <v>150800</v>
      </c>
      <c r="H12" s="630">
        <f>+'B) Reajuste Tarifas y Ocupación'!C14</f>
        <v>86300</v>
      </c>
      <c r="I12" s="631">
        <f>+'B) Reajuste Tarifas y Ocupación'!D14</f>
        <v>103600</v>
      </c>
      <c r="J12" s="631">
        <f>+'B) Reajuste Tarifas y Ocupación'!E14</f>
        <v>103600</v>
      </c>
      <c r="K12" s="631">
        <f>+'B) Reajuste Tarifas y Ocupación'!F14</f>
        <v>107900</v>
      </c>
      <c r="L12" s="633">
        <f>+'B) Reajuste Tarifas y Ocupación'!G14</f>
        <v>129400</v>
      </c>
      <c r="M12" s="626">
        <f t="shared" ref="M12:M13" si="1">C12-H12</f>
        <v>14300</v>
      </c>
      <c r="N12" s="472">
        <f t="shared" ref="N12:N13" si="2">D12-I12</f>
        <v>32200</v>
      </c>
      <c r="O12" s="472">
        <f t="shared" ref="O12:O13" si="3">E12-J12</f>
        <v>37200</v>
      </c>
      <c r="P12" s="472">
        <f t="shared" ref="P12:P13" si="4">F12-K12</f>
        <v>17900</v>
      </c>
      <c r="Q12" s="627">
        <f t="shared" ref="Q12:Q13" si="5">G12-L12</f>
        <v>21400</v>
      </c>
      <c r="R12" s="628">
        <f>+'B) Reajuste Tarifas y Ocupación'!H14</f>
        <v>0.16500000000000001</v>
      </c>
      <c r="S12" s="473">
        <f>+'B) Reajuste Tarifas y Ocupación'!I14</f>
        <v>0.16500000000000001</v>
      </c>
      <c r="T12" s="473">
        <f>+'B) Reajuste Tarifas y Ocupación'!J14</f>
        <v>0.16500000000000001</v>
      </c>
      <c r="U12" s="473">
        <f>+'B) Reajuste Tarifas y Ocupación'!K14</f>
        <v>0.16500000000000001</v>
      </c>
      <c r="V12" s="474">
        <f>+'B) Reajuste Tarifas y Ocupación'!L14</f>
        <v>0.16500000000000001</v>
      </c>
    </row>
    <row r="13" spans="1:245" s="10" customFormat="1" ht="19.5" customHeight="1" thickBot="1" x14ac:dyDescent="0.25">
      <c r="A13" s="1090"/>
      <c r="B13" s="483" t="str">
        <f>+'B) Reajuste Tarifas y Ocupación'!B15</f>
        <v>Jornada  Completa</v>
      </c>
      <c r="C13" s="501">
        <f>+'B) Reajuste Tarifas y Ocupación'!M15</f>
        <v>159200</v>
      </c>
      <c r="D13" s="502">
        <f>+'B) Reajuste Tarifas y Ocupación'!N15</f>
        <v>214900</v>
      </c>
      <c r="E13" s="502">
        <f>+'B) Reajuste Tarifas y Ocupación'!O15</f>
        <v>222800</v>
      </c>
      <c r="F13" s="502">
        <f>+'B) Reajuste Tarifas y Ocupación'!P15</f>
        <v>199000</v>
      </c>
      <c r="G13" s="503">
        <f>+'B) Reajuste Tarifas y Ocupación'!Q15</f>
        <v>238800</v>
      </c>
      <c r="H13" s="640">
        <f>+'B) Reajuste Tarifas y Ocupación'!C15</f>
        <v>136600</v>
      </c>
      <c r="I13" s="641">
        <f>+'B) Reajuste Tarifas y Ocupación'!D15</f>
        <v>163900</v>
      </c>
      <c r="J13" s="641">
        <f>+'B) Reajuste Tarifas y Ocupación'!E15</f>
        <v>163900</v>
      </c>
      <c r="K13" s="641">
        <f>+'B) Reajuste Tarifas y Ocupación'!F15</f>
        <v>170800</v>
      </c>
      <c r="L13" s="642">
        <f>+'B) Reajuste Tarifas y Ocupación'!G15</f>
        <v>204900</v>
      </c>
      <c r="M13" s="643">
        <f t="shared" si="1"/>
        <v>22600</v>
      </c>
      <c r="N13" s="635">
        <f t="shared" si="2"/>
        <v>51000</v>
      </c>
      <c r="O13" s="635">
        <f t="shared" si="3"/>
        <v>58900</v>
      </c>
      <c r="P13" s="635">
        <f t="shared" si="4"/>
        <v>28200</v>
      </c>
      <c r="Q13" s="636">
        <f t="shared" si="5"/>
        <v>33900</v>
      </c>
      <c r="R13" s="637">
        <f>+'B) Reajuste Tarifas y Ocupación'!H15</f>
        <v>0.16500000000000001</v>
      </c>
      <c r="S13" s="638">
        <f>+'B) Reajuste Tarifas y Ocupación'!I15</f>
        <v>0.16500000000000001</v>
      </c>
      <c r="T13" s="638">
        <f>+'B) Reajuste Tarifas y Ocupación'!J15</f>
        <v>0.16500000000000001</v>
      </c>
      <c r="U13" s="638">
        <f>+'B) Reajuste Tarifas y Ocupación'!K15</f>
        <v>0.16500000000000001</v>
      </c>
      <c r="V13" s="639">
        <f>+'B) Reajuste Tarifas y Ocupación'!L15</f>
        <v>0.16500000000000001</v>
      </c>
    </row>
    <row r="14" spans="1:245" s="10" customFormat="1" ht="19.5" customHeight="1" x14ac:dyDescent="0.2">
      <c r="A14" s="1089" t="str">
        <f>+'B) Reajuste Tarifas y Ocupación'!A19</f>
        <v>Sala Cuna Burbujitas de Mar</v>
      </c>
      <c r="B14" s="482" t="str">
        <f>+'B) Reajuste Tarifas y Ocupación'!B19</f>
        <v>Jornada Completa Diurna</v>
      </c>
      <c r="C14" s="614">
        <f>+'B) Reajuste Tarifas y Ocupación'!M19</f>
        <v>347400</v>
      </c>
      <c r="D14" s="470">
        <f>+'B) Reajuste Tarifas y Ocupación'!N19</f>
        <v>469000</v>
      </c>
      <c r="E14" s="470">
        <f>+'B) Reajuste Tarifas y Ocupación'!O19</f>
        <v>486400</v>
      </c>
      <c r="F14" s="470">
        <f>+'B) Reajuste Tarifas y Ocupación'!P19</f>
        <v>434200</v>
      </c>
      <c r="G14" s="487">
        <f>+'B) Reajuste Tarifas y Ocupación'!Q19</f>
        <v>521100</v>
      </c>
      <c r="H14" s="618">
        <f>+'B) Reajuste Tarifas y Ocupación'!C19</f>
        <v>327700</v>
      </c>
      <c r="I14" s="471">
        <f>+'B) Reajuste Tarifas y Ocupación'!D19</f>
        <v>393300</v>
      </c>
      <c r="J14" s="471">
        <f>+'B) Reajuste Tarifas y Ocupación'!E19</f>
        <v>393300</v>
      </c>
      <c r="K14" s="471">
        <f>+'B) Reajuste Tarifas y Ocupación'!F19</f>
        <v>409600</v>
      </c>
      <c r="L14" s="621">
        <f>+'B) Reajuste Tarifas y Ocupación'!G19</f>
        <v>491600</v>
      </c>
      <c r="M14" s="626">
        <f t="shared" ref="M14:M16" si="6">C14-H14</f>
        <v>19700</v>
      </c>
      <c r="N14" s="472">
        <f t="shared" ref="N14" si="7">D14-I14</f>
        <v>75700</v>
      </c>
      <c r="O14" s="472">
        <f t="shared" ref="O14" si="8">E14-J14</f>
        <v>93100</v>
      </c>
      <c r="P14" s="472">
        <f t="shared" ref="P14" si="9">F14-K14</f>
        <v>24600</v>
      </c>
      <c r="Q14" s="494">
        <f t="shared" ref="Q14" si="10">G14-L14</f>
        <v>29500</v>
      </c>
      <c r="R14" s="623">
        <f>+'B) Reajuste Tarifas y Ocupación'!H19</f>
        <v>0.06</v>
      </c>
      <c r="S14" s="473">
        <f>+'B) Reajuste Tarifas y Ocupación'!I19</f>
        <v>0.06</v>
      </c>
      <c r="T14" s="473">
        <f>+'B) Reajuste Tarifas y Ocupación'!J19</f>
        <v>0.06</v>
      </c>
      <c r="U14" s="473">
        <f>+'B) Reajuste Tarifas y Ocupación'!K19</f>
        <v>0.06</v>
      </c>
      <c r="V14" s="474">
        <f>+'B) Reajuste Tarifas y Ocupación'!L19</f>
        <v>0.06</v>
      </c>
    </row>
    <row r="15" spans="1:245" s="10" customFormat="1" ht="19.5" customHeight="1" x14ac:dyDescent="0.2">
      <c r="A15" s="1094"/>
      <c r="B15" s="484" t="str">
        <f>+'B) Reajuste Tarifas y Ocupación'!B20</f>
        <v>Nocturna</v>
      </c>
      <c r="C15" s="644">
        <f>+'B) Reajuste Tarifas y Ocupación'!M20</f>
        <v>280200</v>
      </c>
      <c r="D15" s="646"/>
      <c r="E15" s="646"/>
      <c r="F15" s="646"/>
      <c r="G15" s="490"/>
      <c r="H15" s="632">
        <f>+'B) Reajuste Tarifas y Ocupación'!C20</f>
        <v>264300</v>
      </c>
      <c r="I15" s="647"/>
      <c r="J15" s="647"/>
      <c r="K15" s="647"/>
      <c r="L15" s="648"/>
      <c r="M15" s="511">
        <f t="shared" si="6"/>
        <v>15900</v>
      </c>
      <c r="N15" s="649"/>
      <c r="O15" s="649"/>
      <c r="P15" s="649"/>
      <c r="Q15" s="650"/>
      <c r="R15" s="645">
        <f>+'B) Reajuste Tarifas y Ocupación'!H20</f>
        <v>0.06</v>
      </c>
      <c r="S15" s="651"/>
      <c r="T15" s="651"/>
      <c r="U15" s="651"/>
      <c r="V15" s="652"/>
    </row>
    <row r="16" spans="1:245" s="10" customFormat="1" ht="19.5" customHeight="1" thickBot="1" x14ac:dyDescent="0.25">
      <c r="A16" s="1090"/>
      <c r="B16" s="483" t="str">
        <f>+'B) Reajuste Tarifas y Ocupación'!B21</f>
        <v>Media Jornada</v>
      </c>
      <c r="C16" s="488">
        <f>+'B) Reajuste Tarifas y Ocupación'!M21</f>
        <v>208600</v>
      </c>
      <c r="D16" s="475">
        <f>+'B) Reajuste Tarifas y Ocupación'!N21</f>
        <v>281500</v>
      </c>
      <c r="E16" s="475">
        <f>+'B) Reajuste Tarifas y Ocupación'!O21</f>
        <v>292000</v>
      </c>
      <c r="F16" s="475">
        <f>+'B) Reajuste Tarifas y Ocupación'!P21</f>
        <v>312700</v>
      </c>
      <c r="G16" s="489">
        <f>+'B) Reajuste Tarifas y Ocupación'!Q21</f>
        <v>416900</v>
      </c>
      <c r="H16" s="493">
        <f>+'B) Reajuste Tarifas y Ocupación'!C21</f>
        <v>196700</v>
      </c>
      <c r="I16" s="619">
        <f>+'B) Reajuste Tarifas y Ocupación'!D21</f>
        <v>236000</v>
      </c>
      <c r="J16" s="619">
        <f>+'B) Reajuste Tarifas y Ocupación'!E21</f>
        <v>236000</v>
      </c>
      <c r="K16" s="619">
        <f>+'B) Reajuste Tarifas y Ocupación'!F21</f>
        <v>295000</v>
      </c>
      <c r="L16" s="622">
        <f>+'B) Reajuste Tarifas y Ocupación'!G21</f>
        <v>393300</v>
      </c>
      <c r="M16" s="495">
        <f t="shared" si="6"/>
        <v>11900</v>
      </c>
      <c r="N16" s="476">
        <f t="shared" ref="N16" si="11">D16-I16</f>
        <v>45500</v>
      </c>
      <c r="O16" s="476">
        <f t="shared" ref="O16" si="12">E16-J16</f>
        <v>56000</v>
      </c>
      <c r="P16" s="476">
        <f t="shared" ref="P16" si="13">F16-K16</f>
        <v>17700</v>
      </c>
      <c r="Q16" s="497">
        <f t="shared" ref="Q16" si="14">G16-L16</f>
        <v>23600</v>
      </c>
      <c r="R16" s="624">
        <f>+'B) Reajuste Tarifas y Ocupación'!H21</f>
        <v>0.06</v>
      </c>
      <c r="S16" s="477">
        <f>+'B) Reajuste Tarifas y Ocupación'!I21</f>
        <v>0.06</v>
      </c>
      <c r="T16" s="477">
        <f>+'B) Reajuste Tarifas y Ocupación'!J21</f>
        <v>0.06</v>
      </c>
      <c r="U16" s="477">
        <f>+'B) Reajuste Tarifas y Ocupación'!K21</f>
        <v>0.06</v>
      </c>
      <c r="V16" s="478">
        <f>+'B) Reajuste Tarifas y Ocupación'!L21</f>
        <v>0.06</v>
      </c>
    </row>
  </sheetData>
  <sheetProtection algorithmName="SHA-512" hashValue="8ikV9AxoyCdtz4NwwpvWXvm7wItcYvMjszZzFJqPhWJKCLVLLnbQJJgUElkLUSXDqiAzd8unIaIi9OY4TtC9mg==" saltValue="IN1d1FV0KHhF0IAiZp2PMw==" spinCount="100000" sheet="1" objects="1" scenarios="1"/>
  <mergeCells count="11">
    <mergeCell ref="A10:A11"/>
    <mergeCell ref="R8:V8"/>
    <mergeCell ref="A14:A16"/>
    <mergeCell ref="G4:H4"/>
    <mergeCell ref="H8:L8"/>
    <mergeCell ref="M8:Q8"/>
    <mergeCell ref="C8:G8"/>
    <mergeCell ref="A6:D6"/>
    <mergeCell ref="A8:A9"/>
    <mergeCell ref="B8:B9"/>
    <mergeCell ref="A12:A13"/>
  </mergeCells>
  <conditionalFormatting sqref="M10:Q16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D.B.S.A.ORDINARIA&amp;R02-BS0307/02Pag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FFC000"/>
  </sheetPr>
  <dimension ref="B1:IY67"/>
  <sheetViews>
    <sheetView showGridLines="0" topLeftCell="A7" zoomScale="80" zoomScaleNormal="80" workbookViewId="0">
      <selection activeCell="K67" sqref="K67"/>
    </sheetView>
  </sheetViews>
  <sheetFormatPr baseColWidth="10" defaultColWidth="11.42578125" defaultRowHeight="12.75" x14ac:dyDescent="0.2"/>
  <cols>
    <col min="1" max="1" width="7.140625" style="31" customWidth="1"/>
    <col min="2" max="2" width="37.28515625" style="31" customWidth="1"/>
    <col min="3" max="3" width="28" style="31" customWidth="1"/>
    <col min="4" max="4" width="24.140625" style="31" customWidth="1"/>
    <col min="5" max="5" width="25.140625" style="31" customWidth="1"/>
    <col min="6" max="6" width="28.140625" style="31" bestFit="1" customWidth="1"/>
    <col min="7" max="8" width="14.85546875" style="31" customWidth="1"/>
    <col min="9" max="9" width="15" style="31" customWidth="1"/>
    <col min="10" max="10" width="15.140625" style="31" customWidth="1"/>
    <col min="11" max="11" width="19.140625" style="31" customWidth="1"/>
    <col min="12" max="12" width="24.28515625" style="31" customWidth="1"/>
    <col min="13" max="13" width="16.140625" style="31" customWidth="1"/>
    <col min="14" max="14" width="17.140625" style="31" customWidth="1"/>
    <col min="15" max="15" width="14.85546875" style="31" customWidth="1"/>
    <col min="16" max="16" width="17.7109375" style="31" customWidth="1"/>
    <col min="17" max="17" width="17.140625" style="31" customWidth="1"/>
    <col min="18" max="18" width="18.140625" style="43" customWidth="1"/>
    <col min="19" max="19" width="16.28515625" style="31" customWidth="1"/>
    <col min="20" max="20" width="15.85546875" style="31" customWidth="1"/>
    <col min="21" max="21" width="14.85546875" style="31" customWidth="1"/>
    <col min="22" max="22" width="15.85546875" style="31" customWidth="1"/>
    <col min="23" max="23" width="14.28515625" style="31" customWidth="1"/>
    <col min="24" max="24" width="14.85546875" style="31" customWidth="1"/>
    <col min="25" max="25" width="14.140625" style="31" customWidth="1"/>
    <col min="26" max="26" width="16.85546875" style="31" customWidth="1"/>
    <col min="27" max="27" width="17.5703125" style="31" customWidth="1"/>
    <col min="28" max="28" width="15.28515625" style="31" customWidth="1"/>
    <col min="29" max="29" width="19.7109375" style="31" customWidth="1"/>
    <col min="30" max="30" width="17.42578125" style="31" customWidth="1"/>
    <col min="31" max="31" width="12" style="31" customWidth="1"/>
    <col min="32" max="16384" width="11.42578125" style="31"/>
  </cols>
  <sheetData>
    <row r="1" spans="2:248" s="6" customFormat="1" x14ac:dyDescent="0.2">
      <c r="C1" s="7"/>
      <c r="D1" s="7"/>
      <c r="E1" s="44" t="s">
        <v>205</v>
      </c>
      <c r="F1" s="44"/>
      <c r="G1" s="44"/>
      <c r="H1" s="44"/>
      <c r="I1" s="44"/>
      <c r="J1" s="44"/>
      <c r="K1" s="7"/>
      <c r="IM1" s="4"/>
      <c r="IN1" s="4"/>
    </row>
    <row r="2" spans="2:248" s="6" customFormat="1" x14ac:dyDescent="0.2">
      <c r="E2" s="44" t="s">
        <v>197</v>
      </c>
      <c r="F2" s="44"/>
      <c r="G2" s="44"/>
      <c r="H2" s="44"/>
      <c r="I2" s="44"/>
      <c r="J2" s="44"/>
      <c r="IM2" s="4"/>
      <c r="IN2" s="4"/>
    </row>
    <row r="3" spans="2:248" s="6" customFormat="1" x14ac:dyDescent="0.2">
      <c r="B3" s="2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ID3" s="4"/>
      <c r="IE3" s="4"/>
      <c r="IF3" s="4"/>
      <c r="IG3" s="4"/>
      <c r="IH3" s="4"/>
      <c r="II3" s="4"/>
    </row>
    <row r="4" spans="2:248" s="6" customFormat="1" ht="18.75" customHeight="1" x14ac:dyDescent="0.2">
      <c r="B4" s="26"/>
      <c r="D4" s="105" t="s">
        <v>0</v>
      </c>
      <c r="E4" s="166" t="str">
        <f>+'B) Reajuste Tarifas y Ocupación'!F5</f>
        <v>(DEPTO./DELEG.)</v>
      </c>
      <c r="F4" s="72"/>
      <c r="G4" s="73"/>
      <c r="H4" s="73"/>
      <c r="I4" s="73"/>
      <c r="J4" s="73"/>
      <c r="N4" s="3"/>
      <c r="ID4" s="4"/>
      <c r="IE4" s="4"/>
      <c r="IF4" s="4"/>
      <c r="IG4" s="4"/>
      <c r="IH4" s="4"/>
      <c r="II4" s="4"/>
    </row>
    <row r="5" spans="2:248" s="6" customFormat="1" x14ac:dyDescent="0.2">
      <c r="B5" s="26"/>
      <c r="D5" s="106"/>
      <c r="E5" s="109"/>
      <c r="F5" s="109"/>
      <c r="G5" s="109"/>
      <c r="H5" s="520"/>
      <c r="I5" s="109"/>
      <c r="J5" s="109"/>
      <c r="N5" s="3"/>
      <c r="ID5" s="4"/>
      <c r="IE5" s="4"/>
      <c r="IF5" s="4"/>
      <c r="IG5" s="4"/>
      <c r="IH5" s="4"/>
      <c r="II5" s="4"/>
    </row>
    <row r="6" spans="2:248" s="6" customFormat="1" x14ac:dyDescent="0.2">
      <c r="B6" s="26"/>
      <c r="D6" s="106"/>
      <c r="E6" s="109"/>
      <c r="F6" s="109"/>
      <c r="G6" s="109"/>
      <c r="H6" s="520"/>
      <c r="I6" s="109"/>
      <c r="J6" s="109"/>
      <c r="N6" s="3"/>
      <c r="ID6" s="4"/>
      <c r="IE6" s="4"/>
      <c r="IF6" s="4"/>
      <c r="IG6" s="4"/>
      <c r="IH6" s="4"/>
      <c r="II6" s="4"/>
    </row>
    <row r="7" spans="2:248" s="17" customFormat="1" ht="15.75" x14ac:dyDescent="0.2">
      <c r="B7" s="947" t="s">
        <v>158</v>
      </c>
      <c r="C7" s="947"/>
      <c r="D7" s="947"/>
      <c r="E7" s="947"/>
      <c r="F7" s="107"/>
      <c r="G7" s="74" t="s">
        <v>4</v>
      </c>
      <c r="H7" s="75">
        <v>0.13</v>
      </c>
      <c r="I7" s="107"/>
      <c r="J7" s="107"/>
      <c r="N7" s="28"/>
      <c r="ID7" s="10"/>
      <c r="IE7" s="10"/>
      <c r="IF7" s="10"/>
      <c r="IG7" s="10"/>
      <c r="IH7" s="10"/>
      <c r="II7" s="10"/>
    </row>
    <row r="8" spans="2:248" ht="13.5" thickBot="1" x14ac:dyDescent="0.25"/>
    <row r="9" spans="2:248" ht="15" customHeight="1" x14ac:dyDescent="0.2">
      <c r="B9" s="1069" t="s">
        <v>114</v>
      </c>
      <c r="C9" s="1124" t="s">
        <v>73</v>
      </c>
      <c r="D9" s="1053" t="s">
        <v>74</v>
      </c>
      <c r="E9" s="1055" t="s">
        <v>3</v>
      </c>
      <c r="F9" s="1130" t="s">
        <v>81</v>
      </c>
      <c r="G9" s="1116" t="s">
        <v>252</v>
      </c>
      <c r="H9" s="1118" t="s">
        <v>271</v>
      </c>
      <c r="I9" s="1120" t="s">
        <v>115</v>
      </c>
      <c r="J9" s="1122" t="s">
        <v>116</v>
      </c>
      <c r="K9" s="1126" t="s">
        <v>270</v>
      </c>
      <c r="L9" s="1128" t="s">
        <v>274</v>
      </c>
      <c r="O9" s="30"/>
      <c r="P9" s="30"/>
      <c r="Q9" s="30"/>
      <c r="R9" s="30"/>
      <c r="S9" s="30"/>
      <c r="T9" s="30"/>
    </row>
    <row r="10" spans="2:248" ht="50.25" customHeight="1" thickBot="1" x14ac:dyDescent="0.25">
      <c r="B10" s="1070"/>
      <c r="C10" s="1125"/>
      <c r="D10" s="1054"/>
      <c r="E10" s="1056"/>
      <c r="F10" s="1131"/>
      <c r="G10" s="1117"/>
      <c r="H10" s="1119"/>
      <c r="I10" s="1121"/>
      <c r="J10" s="1123"/>
      <c r="K10" s="1127"/>
      <c r="L10" s="1129"/>
      <c r="M10" s="32"/>
      <c r="N10" s="60"/>
      <c r="O10" s="60"/>
      <c r="P10" s="23"/>
      <c r="Q10" s="23"/>
      <c r="R10" s="23"/>
      <c r="S10" s="32"/>
      <c r="T10" s="1114"/>
      <c r="U10" s="1114"/>
      <c r="V10" s="1114"/>
      <c r="W10" s="1114"/>
      <c r="X10" s="32"/>
    </row>
    <row r="11" spans="2:248" x14ac:dyDescent="0.2">
      <c r="B11" s="1108" t="str">
        <f>+'B) Reajuste Tarifas y Ocupación'!A12</f>
        <v>Jardín Infantil Tortuguita Marina</v>
      </c>
      <c r="C11" s="857" t="s">
        <v>363</v>
      </c>
      <c r="D11" s="857" t="s">
        <v>320</v>
      </c>
      <c r="E11" s="858" t="s">
        <v>258</v>
      </c>
      <c r="F11" s="859" t="s">
        <v>207</v>
      </c>
      <c r="G11" s="860">
        <f>(701414+101414+14990)*12</f>
        <v>9813816</v>
      </c>
      <c r="H11" s="861">
        <f t="shared" ref="H11:H26" si="0">+G11*(1+$H$7)</f>
        <v>11089612.079999998</v>
      </c>
      <c r="I11" s="853">
        <f>101037+171709</f>
        <v>272746</v>
      </c>
      <c r="J11" s="862">
        <f>72819+72819</f>
        <v>145638</v>
      </c>
      <c r="K11" s="863">
        <f>SUM(H11:J11)</f>
        <v>11507996.079999998</v>
      </c>
      <c r="L11" s="1111">
        <f>SUM(K11:K18)</f>
        <v>31263215.759999998</v>
      </c>
      <c r="M11" s="856"/>
      <c r="N11" s="60"/>
      <c r="O11" s="60"/>
      <c r="P11" s="23"/>
      <c r="Q11" s="23"/>
      <c r="R11" s="23"/>
      <c r="S11" s="32"/>
      <c r="T11" s="310"/>
      <c r="U11" s="310"/>
      <c r="V11" s="310"/>
      <c r="W11" s="310"/>
      <c r="X11" s="32"/>
    </row>
    <row r="12" spans="2:248" x14ac:dyDescent="0.2">
      <c r="B12" s="1109"/>
      <c r="C12" s="741" t="s">
        <v>277</v>
      </c>
      <c r="D12" s="741" t="s">
        <v>276</v>
      </c>
      <c r="E12" s="662" t="s">
        <v>259</v>
      </c>
      <c r="F12" s="663" t="s">
        <v>207</v>
      </c>
      <c r="G12" s="673">
        <v>6493332</v>
      </c>
      <c r="H12" s="260">
        <f t="shared" si="0"/>
        <v>7337465.1599999992</v>
      </c>
      <c r="I12" s="654">
        <f>101037+171709</f>
        <v>272746</v>
      </c>
      <c r="J12" s="664">
        <f>74515+74515</f>
        <v>149030</v>
      </c>
      <c r="K12" s="215">
        <f>SUM(H12:J12)</f>
        <v>7759241.1599999992</v>
      </c>
      <c r="L12" s="1112"/>
      <c r="M12" s="32"/>
      <c r="N12" s="60"/>
      <c r="O12" s="60"/>
      <c r="P12" s="23"/>
      <c r="Q12" s="23"/>
      <c r="R12" s="23"/>
      <c r="S12" s="32"/>
      <c r="T12" s="310"/>
      <c r="U12" s="310"/>
      <c r="V12" s="310"/>
      <c r="W12" s="310"/>
      <c r="X12" s="32"/>
    </row>
    <row r="13" spans="2:248" x14ac:dyDescent="0.2">
      <c r="B13" s="1109"/>
      <c r="C13" s="741" t="s">
        <v>278</v>
      </c>
      <c r="D13" s="741" t="s">
        <v>279</v>
      </c>
      <c r="E13" s="662" t="s">
        <v>259</v>
      </c>
      <c r="F13" s="663" t="s">
        <v>207</v>
      </c>
      <c r="G13" s="673">
        <v>7291812</v>
      </c>
      <c r="H13" s="260">
        <f t="shared" si="0"/>
        <v>8239747.5599999996</v>
      </c>
      <c r="I13" s="654">
        <f t="shared" ref="I13:I14" si="1">101037+171709</f>
        <v>272746</v>
      </c>
      <c r="J13" s="664">
        <f t="shared" ref="J13:J14" si="2">74515+74515</f>
        <v>149030</v>
      </c>
      <c r="K13" s="215">
        <f t="shared" ref="K13:K26" si="3">SUM(H13:J13)</f>
        <v>8661523.5599999987</v>
      </c>
      <c r="L13" s="1112"/>
      <c r="M13" s="32"/>
      <c r="N13" s="60"/>
      <c r="O13" s="60"/>
      <c r="P13" s="23"/>
      <c r="Q13" s="23"/>
      <c r="R13" s="23"/>
      <c r="S13" s="32"/>
      <c r="T13" s="310"/>
      <c r="U13" s="310"/>
      <c r="V13" s="310"/>
      <c r="W13" s="310"/>
      <c r="X13" s="32"/>
    </row>
    <row r="14" spans="2:248" x14ac:dyDescent="0.2">
      <c r="B14" s="1109"/>
      <c r="C14" s="741" t="s">
        <v>280</v>
      </c>
      <c r="D14" s="741" t="s">
        <v>281</v>
      </c>
      <c r="E14" s="662" t="s">
        <v>260</v>
      </c>
      <c r="F14" s="663" t="s">
        <v>207</v>
      </c>
      <c r="G14" s="673">
        <v>2577592</v>
      </c>
      <c r="H14" s="260">
        <f t="shared" si="0"/>
        <v>2912678.9599999995</v>
      </c>
      <c r="I14" s="654">
        <f t="shared" si="1"/>
        <v>272746</v>
      </c>
      <c r="J14" s="664">
        <f t="shared" si="2"/>
        <v>149030</v>
      </c>
      <c r="K14" s="215">
        <f t="shared" si="3"/>
        <v>3334454.9599999995</v>
      </c>
      <c r="L14" s="1112"/>
      <c r="M14" s="32"/>
      <c r="N14" s="60"/>
      <c r="O14" s="60"/>
      <c r="P14" s="23"/>
      <c r="Q14" s="23"/>
      <c r="R14" s="23"/>
      <c r="S14" s="32"/>
      <c r="T14" s="310"/>
      <c r="U14" s="310"/>
      <c r="V14" s="310"/>
      <c r="W14" s="310"/>
      <c r="X14" s="32"/>
    </row>
    <row r="15" spans="2:248" x14ac:dyDescent="0.2">
      <c r="B15" s="1109"/>
      <c r="C15" s="848" t="s">
        <v>325</v>
      </c>
      <c r="D15" s="849" t="s">
        <v>364</v>
      </c>
      <c r="E15" s="849" t="s">
        <v>259</v>
      </c>
      <c r="F15" s="850" t="s">
        <v>207</v>
      </c>
      <c r="G15" s="851">
        <v>0</v>
      </c>
      <c r="H15" s="852">
        <f t="shared" si="0"/>
        <v>0</v>
      </c>
      <c r="I15" s="853">
        <v>0</v>
      </c>
      <c r="J15" s="854">
        <v>0</v>
      </c>
      <c r="K15" s="855">
        <f t="shared" si="3"/>
        <v>0</v>
      </c>
      <c r="L15" s="1112"/>
      <c r="M15" s="856"/>
      <c r="N15" s="60"/>
      <c r="O15" s="60"/>
      <c r="P15" s="23"/>
      <c r="Q15" s="23"/>
      <c r="R15" s="23"/>
      <c r="S15" s="32"/>
      <c r="T15" s="310"/>
      <c r="U15" s="310"/>
      <c r="V15" s="310"/>
      <c r="W15" s="310"/>
      <c r="X15" s="32"/>
    </row>
    <row r="16" spans="2:248" x14ac:dyDescent="0.2">
      <c r="B16" s="1109"/>
      <c r="C16" s="752"/>
      <c r="D16" s="753"/>
      <c r="E16" s="662"/>
      <c r="F16" s="663"/>
      <c r="G16" s="673">
        <v>0</v>
      </c>
      <c r="H16" s="260">
        <f t="shared" si="0"/>
        <v>0</v>
      </c>
      <c r="I16" s="654">
        <v>0</v>
      </c>
      <c r="J16" s="664">
        <v>0</v>
      </c>
      <c r="K16" s="215">
        <f t="shared" si="3"/>
        <v>0</v>
      </c>
      <c r="L16" s="1112"/>
      <c r="M16" s="32"/>
      <c r="N16" s="60"/>
      <c r="O16" s="60"/>
      <c r="P16" s="23"/>
      <c r="Q16" s="23"/>
      <c r="R16" s="23"/>
      <c r="S16" s="32"/>
      <c r="T16" s="310"/>
      <c r="U16" s="310"/>
      <c r="V16" s="310"/>
      <c r="W16" s="310"/>
      <c r="X16" s="32"/>
    </row>
    <row r="17" spans="2:259" x14ac:dyDescent="0.2">
      <c r="B17" s="1109"/>
      <c r="C17" s="671"/>
      <c r="D17" s="662"/>
      <c r="E17" s="662"/>
      <c r="F17" s="663"/>
      <c r="G17" s="673">
        <v>0</v>
      </c>
      <c r="H17" s="260">
        <f t="shared" si="0"/>
        <v>0</v>
      </c>
      <c r="I17" s="654">
        <v>0</v>
      </c>
      <c r="J17" s="664">
        <v>0</v>
      </c>
      <c r="K17" s="215">
        <f t="shared" si="3"/>
        <v>0</v>
      </c>
      <c r="L17" s="1112"/>
      <c r="M17" s="32"/>
      <c r="N17" s="60"/>
      <c r="O17" s="60"/>
      <c r="P17" s="23"/>
      <c r="Q17" s="23"/>
      <c r="R17" s="23"/>
      <c r="S17" s="32"/>
      <c r="T17" s="310"/>
      <c r="U17" s="310"/>
      <c r="V17" s="310"/>
      <c r="W17" s="310"/>
      <c r="X17" s="32"/>
    </row>
    <row r="18" spans="2:259" ht="13.5" thickBot="1" x14ac:dyDescent="0.25">
      <c r="B18" s="1109"/>
      <c r="C18" s="223"/>
      <c r="D18" s="336"/>
      <c r="E18" s="336"/>
      <c r="F18" s="337"/>
      <c r="G18" s="674">
        <v>0</v>
      </c>
      <c r="H18" s="268">
        <f t="shared" si="0"/>
        <v>0</v>
      </c>
      <c r="I18" s="655">
        <v>0</v>
      </c>
      <c r="J18" s="338">
        <v>0</v>
      </c>
      <c r="K18" s="339">
        <f t="shared" si="3"/>
        <v>0</v>
      </c>
      <c r="L18" s="1113"/>
      <c r="M18" s="32"/>
      <c r="N18" s="60"/>
      <c r="O18" s="60"/>
      <c r="P18" s="23"/>
      <c r="Q18" s="23"/>
      <c r="R18" s="23"/>
      <c r="S18" s="32"/>
      <c r="T18" s="310"/>
      <c r="U18" s="310"/>
      <c r="V18" s="310"/>
      <c r="W18" s="310"/>
      <c r="X18" s="32"/>
    </row>
    <row r="19" spans="2:259" s="2" customFormat="1" ht="12.75" customHeight="1" x14ac:dyDescent="0.2">
      <c r="B19" s="1108" t="str">
        <f>'B) Reajuste Tarifas y Ocupación'!A29</f>
        <v>Jardín Infantil Burbujitas de Mar</v>
      </c>
      <c r="C19" s="744" t="s">
        <v>314</v>
      </c>
      <c r="D19" s="744" t="s">
        <v>315</v>
      </c>
      <c r="E19" s="657" t="s">
        <v>258</v>
      </c>
      <c r="F19" s="658" t="s">
        <v>253</v>
      </c>
      <c r="G19" s="675">
        <v>10796676</v>
      </c>
      <c r="H19" s="679">
        <f t="shared" si="0"/>
        <v>12200243.879999999</v>
      </c>
      <c r="I19" s="877">
        <v>272746</v>
      </c>
      <c r="J19" s="656">
        <f>72819+72819</f>
        <v>145638</v>
      </c>
      <c r="K19" s="659">
        <f t="shared" si="3"/>
        <v>12618627.879999999</v>
      </c>
      <c r="L19" s="1112">
        <f>SUM(K19:K26)</f>
        <v>36622435.119999997</v>
      </c>
      <c r="M19" s="32"/>
      <c r="N19" s="36"/>
      <c r="O19" s="36"/>
      <c r="P19" s="61"/>
      <c r="Q19" s="61"/>
      <c r="R19" s="61"/>
      <c r="S19" s="34"/>
      <c r="T19" s="33"/>
      <c r="U19" s="33"/>
      <c r="V19" s="33"/>
      <c r="W19" s="33"/>
      <c r="X19" s="35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59" s="2" customFormat="1" ht="12.75" customHeight="1" x14ac:dyDescent="0.2">
      <c r="B20" s="1109"/>
      <c r="C20" s="739" t="s">
        <v>282</v>
      </c>
      <c r="D20" s="739" t="s">
        <v>283</v>
      </c>
      <c r="E20" s="333" t="s">
        <v>261</v>
      </c>
      <c r="F20" s="334" t="s">
        <v>253</v>
      </c>
      <c r="G20" s="673">
        <v>6906060</v>
      </c>
      <c r="H20" s="260">
        <f t="shared" si="0"/>
        <v>7803847.7999999989</v>
      </c>
      <c r="I20" s="654">
        <f>101037+171709</f>
        <v>272746</v>
      </c>
      <c r="J20" s="664">
        <f>74515+74515</f>
        <v>149030</v>
      </c>
      <c r="K20" s="215">
        <f t="shared" si="3"/>
        <v>8225623.7999999989</v>
      </c>
      <c r="L20" s="1112"/>
      <c r="M20" s="32"/>
      <c r="N20" s="36"/>
      <c r="O20" s="36"/>
      <c r="P20" s="23"/>
      <c r="Q20" s="23"/>
      <c r="R20" s="23"/>
      <c r="S20" s="34"/>
      <c r="T20" s="33"/>
      <c r="U20" s="33"/>
      <c r="V20" s="33"/>
      <c r="W20" s="33"/>
      <c r="X20" s="35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59" s="2" customFormat="1" ht="12.75" customHeight="1" x14ac:dyDescent="0.2">
      <c r="B21" s="1109"/>
      <c r="C21" s="739" t="s">
        <v>275</v>
      </c>
      <c r="D21" s="739" t="s">
        <v>284</v>
      </c>
      <c r="E21" s="333" t="s">
        <v>261</v>
      </c>
      <c r="F21" s="334" t="s">
        <v>253</v>
      </c>
      <c r="G21" s="673">
        <v>7229880</v>
      </c>
      <c r="H21" s="260">
        <f t="shared" si="0"/>
        <v>8169764.3999999994</v>
      </c>
      <c r="I21" s="654">
        <f t="shared" ref="I21:I22" si="4">101037+171709</f>
        <v>272746</v>
      </c>
      <c r="J21" s="664">
        <f t="shared" ref="J21:J22" si="5">74515+74515</f>
        <v>149030</v>
      </c>
      <c r="K21" s="215">
        <f t="shared" si="3"/>
        <v>8591540.3999999985</v>
      </c>
      <c r="L21" s="1112"/>
      <c r="M21" s="32"/>
      <c r="N21" s="36"/>
      <c r="O21" s="36"/>
      <c r="P21" s="23"/>
      <c r="Q21" s="23"/>
      <c r="R21" s="23"/>
      <c r="S21" s="34"/>
      <c r="T21" s="33"/>
      <c r="U21" s="33"/>
      <c r="V21" s="33"/>
      <c r="W21" s="33"/>
      <c r="X21" s="35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59" s="2" customFormat="1" ht="12.75" customHeight="1" x14ac:dyDescent="0.2">
      <c r="B22" s="1109"/>
      <c r="C22" s="671" t="s">
        <v>316</v>
      </c>
      <c r="D22" s="333" t="s">
        <v>317</v>
      </c>
      <c r="E22" s="333" t="s">
        <v>262</v>
      </c>
      <c r="F22" s="334" t="s">
        <v>253</v>
      </c>
      <c r="G22" s="673">
        <v>5986608</v>
      </c>
      <c r="H22" s="260">
        <f t="shared" si="0"/>
        <v>6764867.0399999991</v>
      </c>
      <c r="I22" s="654">
        <f t="shared" si="4"/>
        <v>272746</v>
      </c>
      <c r="J22" s="664">
        <f t="shared" si="5"/>
        <v>149030</v>
      </c>
      <c r="K22" s="215">
        <f t="shared" si="3"/>
        <v>7186643.0399999991</v>
      </c>
      <c r="L22" s="1112"/>
      <c r="M22" s="32"/>
      <c r="N22" s="36"/>
      <c r="O22" s="36"/>
      <c r="P22" s="23"/>
      <c r="Q22" s="23"/>
      <c r="R22" s="23"/>
      <c r="S22" s="34"/>
      <c r="T22" s="33"/>
      <c r="U22" s="33"/>
      <c r="V22" s="33"/>
      <c r="W22" s="33"/>
      <c r="X22" s="35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</row>
    <row r="23" spans="2:259" s="2" customFormat="1" ht="12.75" customHeight="1" x14ac:dyDescent="0.2">
      <c r="B23" s="1109"/>
      <c r="C23" s="671"/>
      <c r="D23" s="333"/>
      <c r="E23" s="333"/>
      <c r="F23" s="334"/>
      <c r="G23" s="673">
        <v>0</v>
      </c>
      <c r="H23" s="260">
        <f t="shared" si="0"/>
        <v>0</v>
      </c>
      <c r="I23" s="654">
        <v>0</v>
      </c>
      <c r="J23" s="335">
        <v>0</v>
      </c>
      <c r="K23" s="215">
        <f t="shared" si="3"/>
        <v>0</v>
      </c>
      <c r="L23" s="1112"/>
      <c r="M23" s="32"/>
      <c r="N23" s="36"/>
      <c r="O23" s="36"/>
      <c r="P23" s="23"/>
      <c r="Q23" s="23"/>
      <c r="R23" s="23"/>
      <c r="S23" s="34"/>
      <c r="T23" s="33"/>
      <c r="U23" s="33"/>
      <c r="V23" s="33"/>
      <c r="W23" s="33"/>
      <c r="X23" s="35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</row>
    <row r="24" spans="2:259" s="2" customFormat="1" ht="12.75" customHeight="1" x14ac:dyDescent="0.2">
      <c r="B24" s="1109"/>
      <c r="C24" s="671"/>
      <c r="D24" s="333"/>
      <c r="E24" s="333"/>
      <c r="F24" s="334"/>
      <c r="G24" s="673">
        <v>0</v>
      </c>
      <c r="H24" s="260">
        <f t="shared" si="0"/>
        <v>0</v>
      </c>
      <c r="I24" s="654">
        <v>0</v>
      </c>
      <c r="J24" s="335">
        <v>0</v>
      </c>
      <c r="K24" s="215">
        <f t="shared" si="3"/>
        <v>0</v>
      </c>
      <c r="L24" s="1112"/>
      <c r="M24" s="32"/>
      <c r="N24" s="36"/>
      <c r="O24" s="36"/>
      <c r="P24" s="23"/>
      <c r="Q24" s="23"/>
      <c r="R24" s="23"/>
      <c r="S24" s="34"/>
      <c r="T24" s="33"/>
      <c r="U24" s="33"/>
      <c r="V24" s="33"/>
      <c r="W24" s="33"/>
      <c r="X24" s="35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</row>
    <row r="25" spans="2:259" s="2" customFormat="1" ht="12.75" customHeight="1" x14ac:dyDescent="0.2">
      <c r="B25" s="1109"/>
      <c r="C25" s="671"/>
      <c r="D25" s="333"/>
      <c r="E25" s="333"/>
      <c r="F25" s="334"/>
      <c r="G25" s="673">
        <v>0</v>
      </c>
      <c r="H25" s="260">
        <f t="shared" si="0"/>
        <v>0</v>
      </c>
      <c r="I25" s="654">
        <v>0</v>
      </c>
      <c r="J25" s="335">
        <v>0</v>
      </c>
      <c r="K25" s="215">
        <f t="shared" si="3"/>
        <v>0</v>
      </c>
      <c r="L25" s="1112"/>
      <c r="M25" s="32"/>
      <c r="N25" s="36"/>
      <c r="O25" s="36"/>
      <c r="P25" s="23"/>
      <c r="Q25" s="23"/>
      <c r="R25" s="23"/>
      <c r="S25" s="34"/>
      <c r="T25" s="33"/>
      <c r="U25" s="33"/>
      <c r="V25" s="33"/>
      <c r="W25" s="33"/>
      <c r="X25" s="35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</row>
    <row r="26" spans="2:259" s="2" customFormat="1" ht="12.75" customHeight="1" thickBot="1" x14ac:dyDescent="0.25">
      <c r="B26" s="1110"/>
      <c r="C26" s="223"/>
      <c r="D26" s="336"/>
      <c r="E26" s="336"/>
      <c r="F26" s="337"/>
      <c r="G26" s="674">
        <v>0</v>
      </c>
      <c r="H26" s="260">
        <f t="shared" si="0"/>
        <v>0</v>
      </c>
      <c r="I26" s="655">
        <v>0</v>
      </c>
      <c r="J26" s="338">
        <v>0</v>
      </c>
      <c r="K26" s="215">
        <f t="shared" si="3"/>
        <v>0</v>
      </c>
      <c r="L26" s="1113"/>
      <c r="M26" s="32"/>
      <c r="N26" s="36"/>
      <c r="O26" s="36"/>
      <c r="P26" s="23"/>
      <c r="Q26" s="23"/>
      <c r="R26" s="23"/>
      <c r="S26" s="34"/>
      <c r="T26" s="33"/>
      <c r="U26" s="33"/>
      <c r="V26" s="33"/>
      <c r="W26" s="33"/>
      <c r="X26" s="35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</row>
    <row r="27" spans="2:259" ht="15" customHeight="1" x14ac:dyDescent="0.2">
      <c r="B27" s="1132" t="s">
        <v>114</v>
      </c>
      <c r="C27" s="1133" t="s">
        <v>73</v>
      </c>
      <c r="D27" s="1135" t="s">
        <v>74</v>
      </c>
      <c r="E27" s="1137" t="s">
        <v>3</v>
      </c>
      <c r="F27" s="1139" t="s">
        <v>81</v>
      </c>
      <c r="G27" s="1116" t="s">
        <v>252</v>
      </c>
      <c r="H27" s="1118" t="s">
        <v>271</v>
      </c>
      <c r="I27" s="1120" t="s">
        <v>115</v>
      </c>
      <c r="J27" s="1122" t="s">
        <v>116</v>
      </c>
      <c r="K27" s="1042" t="s">
        <v>270</v>
      </c>
      <c r="L27" s="1128" t="s">
        <v>274</v>
      </c>
      <c r="O27" s="30"/>
      <c r="P27" s="30"/>
      <c r="Q27" s="30"/>
      <c r="R27" s="30"/>
      <c r="S27" s="30"/>
      <c r="T27" s="30"/>
    </row>
    <row r="28" spans="2:259" ht="42" customHeight="1" thickBot="1" x14ac:dyDescent="0.25">
      <c r="B28" s="1132"/>
      <c r="C28" s="1134"/>
      <c r="D28" s="1136"/>
      <c r="E28" s="1138"/>
      <c r="F28" s="1140"/>
      <c r="G28" s="1117"/>
      <c r="H28" s="1119"/>
      <c r="I28" s="1121"/>
      <c r="J28" s="1123"/>
      <c r="K28" s="1043"/>
      <c r="L28" s="1129"/>
      <c r="M28" s="32"/>
      <c r="N28" s="60"/>
      <c r="O28" s="60"/>
      <c r="P28" s="23"/>
      <c r="Q28" s="23"/>
      <c r="R28" s="23"/>
      <c r="S28" s="32"/>
      <c r="T28" s="1114"/>
      <c r="U28" s="1114"/>
      <c r="V28" s="1114"/>
      <c r="W28" s="1114"/>
      <c r="X28" s="32"/>
    </row>
    <row r="29" spans="2:259" ht="13.5" thickBot="1" x14ac:dyDescent="0.25">
      <c r="B29" s="1108" t="str">
        <f>+'A) Resumen Ingresos y Egresos'!A11</f>
        <v>Sala Cuna Burbujitas de Mar Diurna</v>
      </c>
      <c r="C29" s="745" t="s">
        <v>286</v>
      </c>
      <c r="D29" s="739" t="s">
        <v>285</v>
      </c>
      <c r="E29" s="660" t="s">
        <v>258</v>
      </c>
      <c r="F29" s="212" t="s">
        <v>254</v>
      </c>
      <c r="G29" s="672">
        <f>818248*12</f>
        <v>9818976</v>
      </c>
      <c r="H29" s="260">
        <f>+G29*(1+$H$7)</f>
        <v>11095442.879999999</v>
      </c>
      <c r="I29" s="654">
        <f>101037+171709</f>
        <v>272746</v>
      </c>
      <c r="J29" s="656">
        <f>72819+72819</f>
        <v>145638</v>
      </c>
      <c r="K29" s="214">
        <f>SUM(H29:J29)</f>
        <v>11513826.879999999</v>
      </c>
      <c r="L29" s="1111">
        <f>SUM(K29:K44)</f>
        <v>112412215.39999999</v>
      </c>
      <c r="M29" s="32"/>
      <c r="N29" s="36"/>
      <c r="O29" s="36"/>
      <c r="P29" s="23"/>
      <c r="Q29" s="23"/>
      <c r="R29" s="23"/>
      <c r="S29" s="37"/>
      <c r="T29" s="37"/>
      <c r="U29" s="38"/>
      <c r="V29" s="38"/>
      <c r="W29" s="39"/>
      <c r="X29" s="39"/>
    </row>
    <row r="30" spans="2:259" x14ac:dyDescent="0.2">
      <c r="B30" s="1109"/>
      <c r="C30" s="864" t="s">
        <v>458</v>
      </c>
      <c r="D30" s="864" t="s">
        <v>318</v>
      </c>
      <c r="E30" s="865" t="s">
        <v>258</v>
      </c>
      <c r="F30" s="866" t="s">
        <v>254</v>
      </c>
      <c r="G30" s="672">
        <f>818248*12</f>
        <v>9818976</v>
      </c>
      <c r="H30" s="260">
        <f>+G30*(1+$H$7)</f>
        <v>11095442.879999999</v>
      </c>
      <c r="I30" s="654">
        <f>101037+171709</f>
        <v>272746</v>
      </c>
      <c r="J30" s="656"/>
      <c r="K30" s="215">
        <f>SUM(H30:J30)</f>
        <v>11368188.879999999</v>
      </c>
      <c r="L30" s="1115"/>
      <c r="M30" s="856"/>
      <c r="N30" s="867"/>
      <c r="O30" s="867"/>
      <c r="P30" s="867"/>
      <c r="Q30" s="867"/>
      <c r="R30" s="36"/>
      <c r="S30" s="37"/>
      <c r="T30" s="37"/>
      <c r="U30" s="38"/>
      <c r="V30" s="38"/>
      <c r="W30" s="39"/>
      <c r="X30" s="39"/>
    </row>
    <row r="31" spans="2:259" x14ac:dyDescent="0.2">
      <c r="B31" s="1109"/>
      <c r="C31" s="739" t="s">
        <v>288</v>
      </c>
      <c r="D31" s="739" t="s">
        <v>287</v>
      </c>
      <c r="E31" s="657" t="s">
        <v>258</v>
      </c>
      <c r="F31" s="213" t="s">
        <v>254</v>
      </c>
      <c r="G31" s="673">
        <f>818248*12</f>
        <v>9818976</v>
      </c>
      <c r="H31" s="260">
        <f t="shared" ref="H31:H59" si="6">+G31*(1+$H$7)</f>
        <v>11095442.879999999</v>
      </c>
      <c r="I31" s="654">
        <f>101037+171709</f>
        <v>272746</v>
      </c>
      <c r="J31" s="656">
        <f>72819+72819</f>
        <v>145638</v>
      </c>
      <c r="K31" s="215">
        <f t="shared" ref="K31:K44" si="7">SUM(H31:J31)</f>
        <v>11513826.879999999</v>
      </c>
      <c r="L31" s="1115"/>
      <c r="M31" s="856"/>
      <c r="N31" s="867"/>
      <c r="O31" s="867"/>
      <c r="P31" s="868"/>
      <c r="Q31" s="868"/>
      <c r="R31" s="61"/>
      <c r="T31" s="110"/>
      <c r="U31" s="110"/>
      <c r="V31" s="110"/>
      <c r="W31" s="110"/>
    </row>
    <row r="32" spans="2:259" x14ac:dyDescent="0.2">
      <c r="B32" s="1109"/>
      <c r="C32" s="864" t="s">
        <v>290</v>
      </c>
      <c r="D32" s="864" t="s">
        <v>289</v>
      </c>
      <c r="E32" s="865" t="s">
        <v>258</v>
      </c>
      <c r="F32" s="866" t="s">
        <v>254</v>
      </c>
      <c r="G32" s="851">
        <v>0</v>
      </c>
      <c r="H32" s="852">
        <f t="shared" si="6"/>
        <v>0</v>
      </c>
      <c r="I32" s="853">
        <v>0</v>
      </c>
      <c r="J32" s="862">
        <v>0</v>
      </c>
      <c r="K32" s="855">
        <f t="shared" si="7"/>
        <v>0</v>
      </c>
      <c r="L32" s="1115"/>
      <c r="M32" s="856"/>
      <c r="N32" s="867"/>
      <c r="O32" s="867"/>
      <c r="P32" s="869"/>
      <c r="Q32" s="869"/>
      <c r="R32" s="23"/>
      <c r="S32" s="37"/>
      <c r="T32" s="37"/>
      <c r="U32" s="38"/>
      <c r="V32" s="38"/>
      <c r="W32" s="39"/>
      <c r="X32" s="39"/>
    </row>
    <row r="33" spans="2:24" x14ac:dyDescent="0.2">
      <c r="B33" s="1109"/>
      <c r="C33" s="739" t="s">
        <v>311</v>
      </c>
      <c r="D33" s="739" t="s">
        <v>310</v>
      </c>
      <c r="E33" s="657" t="s">
        <v>258</v>
      </c>
      <c r="F33" s="213" t="s">
        <v>254</v>
      </c>
      <c r="G33" s="673">
        <f>818248*12</f>
        <v>9818976</v>
      </c>
      <c r="H33" s="260">
        <f t="shared" ref="H33" si="8">+G33*(1+$H$7)</f>
        <v>11095442.879999999</v>
      </c>
      <c r="I33" s="654">
        <f>101037+171709</f>
        <v>272746</v>
      </c>
      <c r="J33" s="656">
        <f>72819+72819</f>
        <v>145638</v>
      </c>
      <c r="K33" s="855">
        <f t="shared" si="7"/>
        <v>11513826.879999999</v>
      </c>
      <c r="L33" s="1112"/>
      <c r="M33" s="856"/>
      <c r="N33" s="867"/>
      <c r="O33" s="867"/>
      <c r="P33" s="869"/>
      <c r="Q33" s="869"/>
      <c r="R33" s="23"/>
      <c r="S33" s="37"/>
      <c r="T33" s="37"/>
      <c r="U33" s="38"/>
      <c r="V33" s="38"/>
      <c r="W33" s="39"/>
      <c r="X33" s="39"/>
    </row>
    <row r="34" spans="2:24" x14ac:dyDescent="0.2">
      <c r="B34" s="1109"/>
      <c r="C34" s="739" t="s">
        <v>292</v>
      </c>
      <c r="D34" s="739" t="s">
        <v>291</v>
      </c>
      <c r="E34" s="333" t="s">
        <v>261</v>
      </c>
      <c r="F34" s="213" t="s">
        <v>254</v>
      </c>
      <c r="G34" s="673">
        <f>(575505-26984)*12</f>
        <v>6582252</v>
      </c>
      <c r="H34" s="260">
        <f t="shared" si="6"/>
        <v>7437944.7599999988</v>
      </c>
      <c r="I34" s="654">
        <f>101037+171709</f>
        <v>272746</v>
      </c>
      <c r="J34" s="167">
        <f>74515+74515</f>
        <v>149030</v>
      </c>
      <c r="K34" s="215">
        <f t="shared" si="7"/>
        <v>7859720.7599999988</v>
      </c>
      <c r="L34" s="1115"/>
      <c r="M34" s="856"/>
      <c r="N34" s="867"/>
      <c r="O34" s="867"/>
      <c r="P34" s="869"/>
      <c r="Q34" s="869"/>
      <c r="R34" s="23"/>
      <c r="S34" s="37"/>
      <c r="T34" s="37"/>
      <c r="U34" s="38"/>
      <c r="V34" s="38"/>
      <c r="W34" s="39"/>
      <c r="X34" s="39"/>
    </row>
    <row r="35" spans="2:24" x14ac:dyDescent="0.2">
      <c r="B35" s="1109"/>
      <c r="C35" s="742" t="s">
        <v>293</v>
      </c>
      <c r="D35" s="742" t="s">
        <v>326</v>
      </c>
      <c r="E35" s="333" t="s">
        <v>261</v>
      </c>
      <c r="F35" s="213" t="s">
        <v>254</v>
      </c>
      <c r="G35" s="673">
        <f>(575505-26984)*12</f>
        <v>6582252</v>
      </c>
      <c r="H35" s="260">
        <f t="shared" si="6"/>
        <v>7437944.7599999988</v>
      </c>
      <c r="I35" s="654">
        <f t="shared" ref="I35:I41" si="9">101037+171709</f>
        <v>272746</v>
      </c>
      <c r="J35" s="167">
        <f t="shared" ref="J35:J39" si="10">74515+74515</f>
        <v>149030</v>
      </c>
      <c r="K35" s="215">
        <f t="shared" si="7"/>
        <v>7859720.7599999988</v>
      </c>
      <c r="L35" s="1115"/>
      <c r="M35" s="32"/>
      <c r="N35" s="36"/>
      <c r="O35" s="36"/>
      <c r="P35" s="23"/>
      <c r="Q35" s="23"/>
      <c r="R35" s="23"/>
      <c r="S35" s="37"/>
      <c r="T35" s="37"/>
      <c r="U35" s="38"/>
      <c r="V35" s="38"/>
      <c r="W35" s="39"/>
      <c r="X35" s="39"/>
    </row>
    <row r="36" spans="2:24" x14ac:dyDescent="0.2">
      <c r="B36" s="1109"/>
      <c r="C36" s="739" t="s">
        <v>295</v>
      </c>
      <c r="D36" s="739" t="s">
        <v>294</v>
      </c>
      <c r="E36" s="333" t="s">
        <v>261</v>
      </c>
      <c r="F36" s="213" t="s">
        <v>254</v>
      </c>
      <c r="G36" s="673">
        <f>(575505-26984)*12</f>
        <v>6582252</v>
      </c>
      <c r="H36" s="260">
        <f t="shared" si="6"/>
        <v>7437944.7599999988</v>
      </c>
      <c r="I36" s="654">
        <f t="shared" si="9"/>
        <v>272746</v>
      </c>
      <c r="J36" s="167">
        <f t="shared" si="10"/>
        <v>149030</v>
      </c>
      <c r="K36" s="215">
        <f t="shared" si="7"/>
        <v>7859720.7599999988</v>
      </c>
      <c r="L36" s="1115"/>
      <c r="M36" s="32"/>
      <c r="N36" s="36"/>
      <c r="O36" s="36"/>
      <c r="P36" s="23"/>
      <c r="Q36" s="23"/>
      <c r="R36" s="23"/>
      <c r="S36" s="37"/>
      <c r="T36" s="37"/>
      <c r="U36" s="38"/>
      <c r="V36" s="38"/>
      <c r="W36" s="39"/>
      <c r="X36" s="39"/>
    </row>
    <row r="37" spans="2:24" x14ac:dyDescent="0.2">
      <c r="B37" s="1109"/>
      <c r="C37" s="739" t="s">
        <v>297</v>
      </c>
      <c r="D37" s="739" t="s">
        <v>296</v>
      </c>
      <c r="E37" s="333" t="s">
        <v>261</v>
      </c>
      <c r="F37" s="213" t="s">
        <v>254</v>
      </c>
      <c r="G37" s="673">
        <f>683804*12</f>
        <v>8205648</v>
      </c>
      <c r="H37" s="260">
        <f t="shared" si="6"/>
        <v>9272382.2399999984</v>
      </c>
      <c r="I37" s="654">
        <f t="shared" si="9"/>
        <v>272746</v>
      </c>
      <c r="J37" s="167">
        <f t="shared" si="10"/>
        <v>149030</v>
      </c>
      <c r="K37" s="215">
        <f t="shared" si="7"/>
        <v>9694158.2399999984</v>
      </c>
      <c r="L37" s="1115"/>
      <c r="M37" s="32"/>
      <c r="N37" s="36"/>
      <c r="O37" s="36"/>
      <c r="P37" s="23"/>
      <c r="Q37" s="23"/>
      <c r="R37" s="23"/>
      <c r="S37" s="37"/>
      <c r="T37" s="37"/>
      <c r="U37" s="38"/>
      <c r="V37" s="38"/>
      <c r="W37" s="39"/>
      <c r="X37" s="39"/>
    </row>
    <row r="38" spans="2:24" x14ac:dyDescent="0.2">
      <c r="B38" s="1109"/>
      <c r="C38" s="739" t="s">
        <v>299</v>
      </c>
      <c r="D38" s="739" t="s">
        <v>298</v>
      </c>
      <c r="E38" s="333" t="s">
        <v>261</v>
      </c>
      <c r="F38" s="213" t="s">
        <v>254</v>
      </c>
      <c r="G38" s="673">
        <f>618738*12</f>
        <v>7424856</v>
      </c>
      <c r="H38" s="260">
        <f t="shared" si="6"/>
        <v>8390087.2799999993</v>
      </c>
      <c r="I38" s="654">
        <f t="shared" si="9"/>
        <v>272746</v>
      </c>
      <c r="J38" s="167">
        <f t="shared" si="10"/>
        <v>149030</v>
      </c>
      <c r="K38" s="215">
        <f t="shared" si="7"/>
        <v>8811863.2799999993</v>
      </c>
      <c r="L38" s="1115"/>
      <c r="M38" s="32"/>
      <c r="N38" s="36"/>
      <c r="O38" s="36"/>
      <c r="P38" s="23"/>
      <c r="Q38" s="23"/>
      <c r="R38" s="23"/>
      <c r="S38" s="37"/>
      <c r="T38" s="37"/>
      <c r="U38" s="38"/>
      <c r="V38" s="38"/>
      <c r="W38" s="39"/>
      <c r="X38" s="39"/>
    </row>
    <row r="39" spans="2:24" x14ac:dyDescent="0.2">
      <c r="B39" s="1109"/>
      <c r="C39" s="739" t="s">
        <v>300</v>
      </c>
      <c r="D39" s="739" t="s">
        <v>301</v>
      </c>
      <c r="E39" s="333" t="s">
        <v>261</v>
      </c>
      <c r="F39" s="213" t="s">
        <v>254</v>
      </c>
      <c r="G39" s="673">
        <f>575505*12</f>
        <v>6906060</v>
      </c>
      <c r="H39" s="260">
        <f t="shared" si="6"/>
        <v>7803847.7999999989</v>
      </c>
      <c r="I39" s="654">
        <f t="shared" si="9"/>
        <v>272746</v>
      </c>
      <c r="J39" s="167">
        <f t="shared" si="10"/>
        <v>149030</v>
      </c>
      <c r="K39" s="215">
        <f t="shared" si="7"/>
        <v>8225623.7999999989</v>
      </c>
      <c r="L39" s="1115"/>
      <c r="M39" s="32"/>
      <c r="N39" s="36"/>
      <c r="O39" s="36"/>
      <c r="P39" s="23"/>
      <c r="Q39" s="23"/>
      <c r="R39" s="23"/>
      <c r="S39" s="37"/>
      <c r="T39" s="37"/>
      <c r="U39" s="38"/>
      <c r="V39" s="38"/>
      <c r="W39" s="39"/>
      <c r="X39" s="39"/>
    </row>
    <row r="40" spans="2:24" x14ac:dyDescent="0.2">
      <c r="B40" s="1109"/>
      <c r="C40" s="739" t="s">
        <v>303</v>
      </c>
      <c r="D40" s="739" t="s">
        <v>302</v>
      </c>
      <c r="E40" s="333" t="s">
        <v>260</v>
      </c>
      <c r="F40" s="213" t="s">
        <v>254</v>
      </c>
      <c r="G40" s="673">
        <f>544439*12</f>
        <v>6533268</v>
      </c>
      <c r="H40" s="260">
        <f t="shared" si="6"/>
        <v>7382592.8399999989</v>
      </c>
      <c r="I40" s="654">
        <f t="shared" si="9"/>
        <v>272746</v>
      </c>
      <c r="J40" s="167">
        <f>74207+74207</f>
        <v>148414</v>
      </c>
      <c r="K40" s="215">
        <f t="shared" si="7"/>
        <v>7803752.8399999989</v>
      </c>
      <c r="L40" s="1115"/>
      <c r="M40" s="32"/>
      <c r="N40" s="36"/>
      <c r="O40" s="36"/>
      <c r="P40" s="23"/>
      <c r="Q40" s="23"/>
      <c r="R40" s="23"/>
      <c r="S40" s="37"/>
      <c r="T40" s="37"/>
      <c r="U40" s="38"/>
      <c r="V40" s="38"/>
      <c r="W40" s="39"/>
      <c r="X40" s="39"/>
    </row>
    <row r="41" spans="2:24" x14ac:dyDescent="0.2">
      <c r="B41" s="1109"/>
      <c r="C41" s="739" t="s">
        <v>304</v>
      </c>
      <c r="D41" s="739" t="s">
        <v>305</v>
      </c>
      <c r="E41" s="333" t="s">
        <v>262</v>
      </c>
      <c r="F41" s="213" t="s">
        <v>254</v>
      </c>
      <c r="G41" s="673">
        <f>587524*12</f>
        <v>7050288</v>
      </c>
      <c r="H41" s="260">
        <f t="shared" si="6"/>
        <v>7966825.4399999995</v>
      </c>
      <c r="I41" s="654">
        <f t="shared" si="9"/>
        <v>272746</v>
      </c>
      <c r="J41" s="167">
        <f>74207+74207</f>
        <v>148414</v>
      </c>
      <c r="K41" s="215">
        <f t="shared" si="7"/>
        <v>8387985.4399999995</v>
      </c>
      <c r="L41" s="1115"/>
      <c r="M41" s="32"/>
      <c r="N41" s="36"/>
      <c r="O41" s="36"/>
      <c r="P41" s="23"/>
      <c r="Q41" s="23"/>
      <c r="R41" s="23"/>
      <c r="S41" s="37"/>
      <c r="T41" s="37"/>
      <c r="U41" s="38"/>
      <c r="V41" s="38"/>
      <c r="W41" s="39"/>
      <c r="X41" s="39"/>
    </row>
    <row r="42" spans="2:24" x14ac:dyDescent="0.2">
      <c r="B42" s="1109"/>
      <c r="C42" s="671"/>
      <c r="D42" s="207"/>
      <c r="E42" s="333"/>
      <c r="F42" s="213"/>
      <c r="G42" s="673">
        <v>0</v>
      </c>
      <c r="H42" s="260">
        <f t="shared" si="6"/>
        <v>0</v>
      </c>
      <c r="I42" s="654">
        <v>0</v>
      </c>
      <c r="J42" s="167">
        <v>0</v>
      </c>
      <c r="K42" s="215">
        <f t="shared" si="7"/>
        <v>0</v>
      </c>
      <c r="L42" s="1115"/>
      <c r="M42" s="32"/>
      <c r="N42" s="36"/>
      <c r="O42" s="36"/>
      <c r="P42" s="23"/>
      <c r="Q42" s="23"/>
      <c r="R42" s="23"/>
      <c r="S42" s="37"/>
      <c r="T42" s="37"/>
      <c r="U42" s="38"/>
      <c r="V42" s="38"/>
      <c r="W42" s="39"/>
      <c r="X42" s="39"/>
    </row>
    <row r="43" spans="2:24" x14ac:dyDescent="0.2">
      <c r="B43" s="1109"/>
      <c r="C43" s="740" t="s">
        <v>327</v>
      </c>
      <c r="D43" s="746" t="s">
        <v>328</v>
      </c>
      <c r="E43" s="207"/>
      <c r="F43" s="213"/>
      <c r="G43" s="673">
        <v>0</v>
      </c>
      <c r="H43" s="260">
        <f t="shared" si="6"/>
        <v>0</v>
      </c>
      <c r="I43" s="654">
        <v>0</v>
      </c>
      <c r="J43" s="167">
        <v>0</v>
      </c>
      <c r="K43" s="215">
        <f t="shared" si="7"/>
        <v>0</v>
      </c>
      <c r="L43" s="1115"/>
      <c r="M43" s="32"/>
      <c r="N43" s="36"/>
      <c r="O43" s="36"/>
      <c r="P43" s="23"/>
      <c r="Q43" s="23"/>
      <c r="R43" s="23"/>
      <c r="S43" s="37"/>
      <c r="T43" s="37"/>
      <c r="U43" s="38"/>
      <c r="V43" s="38"/>
      <c r="W43" s="39"/>
      <c r="X43" s="39"/>
    </row>
    <row r="44" spans="2:24" ht="13.5" thickBot="1" x14ac:dyDescent="0.25">
      <c r="B44" s="1109"/>
      <c r="C44" s="665"/>
      <c r="D44" s="665"/>
      <c r="E44" s="665"/>
      <c r="F44" s="666"/>
      <c r="G44" s="676">
        <v>0</v>
      </c>
      <c r="H44" s="680">
        <f t="shared" si="6"/>
        <v>0</v>
      </c>
      <c r="I44" s="677">
        <v>0</v>
      </c>
      <c r="J44" s="668">
        <v>0</v>
      </c>
      <c r="K44" s="667">
        <f t="shared" si="7"/>
        <v>0</v>
      </c>
      <c r="L44" s="1112"/>
      <c r="M44" s="32"/>
      <c r="N44" s="36"/>
      <c r="O44" s="36"/>
      <c r="P44" s="23"/>
      <c r="Q44" s="23"/>
      <c r="R44" s="23"/>
      <c r="S44" s="37"/>
      <c r="T44" s="37"/>
      <c r="U44" s="38"/>
      <c r="V44" s="38"/>
      <c r="W44" s="39"/>
      <c r="X44" s="39"/>
    </row>
    <row r="45" spans="2:24" x14ac:dyDescent="0.2">
      <c r="B45" s="1108" t="str">
        <f>+'A) Resumen Ingresos y Egresos'!A12</f>
        <v>Sala Cuna Burbujitas de Mar Nocturna</v>
      </c>
      <c r="C45" s="743" t="s">
        <v>307</v>
      </c>
      <c r="D45" s="744" t="s">
        <v>306</v>
      </c>
      <c r="E45" s="208" t="s">
        <v>258</v>
      </c>
      <c r="F45" s="661" t="s">
        <v>254</v>
      </c>
      <c r="G45" s="672">
        <f>732880*12</f>
        <v>8794560</v>
      </c>
      <c r="H45" s="678">
        <f t="shared" si="6"/>
        <v>9937852.7999999989</v>
      </c>
      <c r="I45" s="653">
        <f>101037+171709</f>
        <v>272746</v>
      </c>
      <c r="J45" s="209">
        <f>72819+72819</f>
        <v>145638</v>
      </c>
      <c r="K45" s="214">
        <f>SUM(H45:J45)</f>
        <v>10356236.799999999</v>
      </c>
      <c r="L45" s="1111">
        <f>SUM(K45:K59)</f>
        <v>61449165.639999986</v>
      </c>
      <c r="M45" s="32"/>
      <c r="N45" s="36"/>
      <c r="O45" s="36"/>
      <c r="P45" s="23"/>
      <c r="Q45" s="23"/>
      <c r="R45" s="23"/>
      <c r="S45" s="37"/>
      <c r="T45" s="37"/>
      <c r="U45" s="38"/>
      <c r="V45" s="38"/>
      <c r="W45" s="39"/>
      <c r="X45" s="39"/>
    </row>
    <row r="46" spans="2:24" ht="12.75" customHeight="1" x14ac:dyDescent="0.2">
      <c r="B46" s="1109"/>
      <c r="C46" s="739" t="s">
        <v>309</v>
      </c>
      <c r="D46" s="739" t="s">
        <v>308</v>
      </c>
      <c r="E46" s="207" t="s">
        <v>258</v>
      </c>
      <c r="F46" s="663" t="s">
        <v>254</v>
      </c>
      <c r="G46" s="673">
        <f>753248*12</f>
        <v>9038976</v>
      </c>
      <c r="H46" s="260">
        <f t="shared" si="6"/>
        <v>10214042.879999999</v>
      </c>
      <c r="I46" s="654">
        <f>101037+171709</f>
        <v>272746</v>
      </c>
      <c r="J46" s="664">
        <f>72819+72819</f>
        <v>145638</v>
      </c>
      <c r="K46" s="215">
        <f>SUM(H46:J46)</f>
        <v>10632426.879999999</v>
      </c>
      <c r="L46" s="1112"/>
      <c r="M46" s="32"/>
      <c r="N46" s="36"/>
      <c r="O46" s="36"/>
      <c r="P46" s="36"/>
      <c r="Q46" s="36"/>
      <c r="R46" s="36"/>
      <c r="S46" s="37"/>
      <c r="T46" s="37"/>
      <c r="U46" s="38"/>
      <c r="V46" s="38"/>
      <c r="W46" s="39"/>
      <c r="X46" s="39"/>
    </row>
    <row r="47" spans="2:24" ht="12.75" customHeight="1" x14ac:dyDescent="0.2">
      <c r="B47" s="1109"/>
      <c r="C47" s="739" t="s">
        <v>456</v>
      </c>
      <c r="D47" s="739" t="s">
        <v>456</v>
      </c>
      <c r="E47" s="207" t="s">
        <v>258</v>
      </c>
      <c r="F47" s="663" t="s">
        <v>254</v>
      </c>
      <c r="G47" s="673">
        <f>671773*12</f>
        <v>8061276</v>
      </c>
      <c r="H47" s="260">
        <f t="shared" si="6"/>
        <v>9109241.879999999</v>
      </c>
      <c r="I47" s="654">
        <f t="shared" ref="I47:I51" si="11">101037+171709</f>
        <v>272746</v>
      </c>
      <c r="J47" s="664">
        <f t="shared" ref="J47:J48" si="12">72819+72819</f>
        <v>145638</v>
      </c>
      <c r="K47" s="215">
        <f t="shared" ref="K47:K59" si="13">SUM(H47:J47)</f>
        <v>9527625.879999999</v>
      </c>
      <c r="L47" s="1112"/>
      <c r="M47" s="32"/>
      <c r="N47" s="36"/>
      <c r="O47" s="36"/>
      <c r="P47" s="61"/>
      <c r="Q47" s="61"/>
      <c r="R47" s="61"/>
      <c r="T47" s="110"/>
      <c r="U47" s="110"/>
      <c r="V47" s="110"/>
      <c r="W47" s="110"/>
    </row>
    <row r="48" spans="2:24" ht="12.75" customHeight="1" x14ac:dyDescent="0.2">
      <c r="B48" s="1109"/>
      <c r="C48" s="671" t="s">
        <v>321</v>
      </c>
      <c r="D48" s="207" t="s">
        <v>322</v>
      </c>
      <c r="E48" s="662" t="s">
        <v>258</v>
      </c>
      <c r="F48" s="663" t="s">
        <v>254</v>
      </c>
      <c r="G48" s="673">
        <f>671773*12</f>
        <v>8061276</v>
      </c>
      <c r="H48" s="260">
        <f t="shared" si="6"/>
        <v>9109241.879999999</v>
      </c>
      <c r="I48" s="654">
        <f t="shared" si="11"/>
        <v>272746</v>
      </c>
      <c r="J48" s="664">
        <f t="shared" si="12"/>
        <v>145638</v>
      </c>
      <c r="K48" s="215">
        <f t="shared" si="13"/>
        <v>9527625.879999999</v>
      </c>
      <c r="L48" s="1112"/>
      <c r="M48" s="32"/>
      <c r="N48" s="36"/>
      <c r="O48" s="36"/>
      <c r="P48" s="23"/>
      <c r="Q48" s="23"/>
      <c r="R48" s="23"/>
      <c r="S48" s="37"/>
      <c r="T48" s="37"/>
      <c r="U48" s="38"/>
      <c r="V48" s="38"/>
      <c r="W48" s="39"/>
      <c r="X48" s="39"/>
    </row>
    <row r="49" spans="2:24" ht="12.75" customHeight="1" x14ac:dyDescent="0.2">
      <c r="B49" s="1109"/>
      <c r="C49" s="739" t="s">
        <v>313</v>
      </c>
      <c r="D49" s="739" t="s">
        <v>312</v>
      </c>
      <c r="E49" s="333" t="s">
        <v>261</v>
      </c>
      <c r="F49" s="663" t="s">
        <v>254</v>
      </c>
      <c r="G49" s="673">
        <f>531061*12</f>
        <v>6372732</v>
      </c>
      <c r="H49" s="260">
        <f t="shared" si="6"/>
        <v>7201187.1599999992</v>
      </c>
      <c r="I49" s="654">
        <f t="shared" si="11"/>
        <v>272746</v>
      </c>
      <c r="J49" s="664">
        <f>74515+74515</f>
        <v>149030</v>
      </c>
      <c r="K49" s="215">
        <f t="shared" si="13"/>
        <v>7622963.1599999992</v>
      </c>
      <c r="L49" s="1112"/>
      <c r="M49" s="32"/>
      <c r="N49" s="36"/>
      <c r="O49" s="36"/>
      <c r="P49" s="23"/>
      <c r="Q49" s="23"/>
      <c r="R49" s="23"/>
      <c r="S49" s="37"/>
      <c r="T49" s="37"/>
      <c r="U49" s="38"/>
      <c r="V49" s="38"/>
      <c r="W49" s="39"/>
      <c r="X49" s="39"/>
    </row>
    <row r="50" spans="2:24" ht="12.75" customHeight="1" x14ac:dyDescent="0.2">
      <c r="B50" s="1109"/>
      <c r="C50" s="671" t="s">
        <v>324</v>
      </c>
      <c r="D50" s="207" t="s">
        <v>323</v>
      </c>
      <c r="E50" s="333" t="s">
        <v>261</v>
      </c>
      <c r="F50" s="663" t="s">
        <v>254</v>
      </c>
      <c r="G50" s="673">
        <f>(531061-53969)*12</f>
        <v>5725104</v>
      </c>
      <c r="H50" s="260">
        <f t="shared" si="6"/>
        <v>6469367.5199999996</v>
      </c>
      <c r="I50" s="654">
        <f t="shared" si="11"/>
        <v>272746</v>
      </c>
      <c r="J50" s="664">
        <f t="shared" ref="J50:J51" si="14">74515+74515</f>
        <v>149030</v>
      </c>
      <c r="K50" s="215">
        <f t="shared" si="13"/>
        <v>6891143.5199999996</v>
      </c>
      <c r="L50" s="1112"/>
      <c r="M50" s="32"/>
      <c r="N50" s="36"/>
      <c r="O50" s="36"/>
      <c r="P50" s="23"/>
      <c r="Q50" s="23"/>
      <c r="R50" s="23"/>
      <c r="S50" s="37"/>
      <c r="T50" s="37"/>
      <c r="U50" s="38"/>
      <c r="V50" s="38"/>
      <c r="W50" s="39"/>
      <c r="X50" s="39"/>
    </row>
    <row r="51" spans="2:24" ht="12.75" customHeight="1" x14ac:dyDescent="0.2">
      <c r="B51" s="1109"/>
      <c r="C51" s="671" t="s">
        <v>319</v>
      </c>
      <c r="D51" s="671" t="s">
        <v>319</v>
      </c>
      <c r="E51" s="333" t="s">
        <v>261</v>
      </c>
      <c r="F51" s="663" t="s">
        <v>254</v>
      </c>
      <c r="G51" s="673">
        <f>(531061-53969)*12</f>
        <v>5725104</v>
      </c>
      <c r="H51" s="260">
        <f t="shared" si="6"/>
        <v>6469367.5199999996</v>
      </c>
      <c r="I51" s="654">
        <f t="shared" si="11"/>
        <v>272746</v>
      </c>
      <c r="J51" s="664">
        <f t="shared" si="14"/>
        <v>149030</v>
      </c>
      <c r="K51" s="215">
        <f t="shared" si="13"/>
        <v>6891143.5199999996</v>
      </c>
      <c r="L51" s="1112"/>
      <c r="M51" s="32"/>
      <c r="N51" s="36"/>
      <c r="O51" s="36"/>
      <c r="P51" s="23"/>
      <c r="Q51" s="23"/>
      <c r="R51" s="23"/>
      <c r="S51" s="37"/>
      <c r="T51" s="37"/>
      <c r="U51" s="38"/>
      <c r="V51" s="38"/>
      <c r="W51" s="39"/>
      <c r="X51" s="39"/>
    </row>
    <row r="52" spans="2:24" ht="12.75" customHeight="1" x14ac:dyDescent="0.2">
      <c r="B52" s="1109"/>
      <c r="C52" s="671"/>
      <c r="D52" s="207"/>
      <c r="E52" s="333"/>
      <c r="F52" s="663"/>
      <c r="G52" s="673">
        <v>0</v>
      </c>
      <c r="H52" s="260">
        <f t="shared" si="6"/>
        <v>0</v>
      </c>
      <c r="I52" s="654">
        <v>0</v>
      </c>
      <c r="J52" s="664">
        <v>0</v>
      </c>
      <c r="K52" s="215">
        <f t="shared" si="13"/>
        <v>0</v>
      </c>
      <c r="L52" s="1112"/>
      <c r="M52" s="32"/>
      <c r="N52" s="36"/>
      <c r="O52" s="36"/>
      <c r="P52" s="23"/>
      <c r="Q52" s="23"/>
      <c r="R52" s="23"/>
      <c r="S52" s="37"/>
      <c r="T52" s="37"/>
      <c r="U52" s="38"/>
      <c r="V52" s="38"/>
      <c r="W52" s="39"/>
      <c r="X52" s="39"/>
    </row>
    <row r="53" spans="2:24" x14ac:dyDescent="0.2">
      <c r="B53" s="1109"/>
      <c r="C53" s="671"/>
      <c r="D53" s="662"/>
      <c r="E53" s="662"/>
      <c r="F53" s="663"/>
      <c r="G53" s="673">
        <v>0</v>
      </c>
      <c r="H53" s="260">
        <f t="shared" si="6"/>
        <v>0</v>
      </c>
      <c r="I53" s="654">
        <v>0</v>
      </c>
      <c r="J53" s="664">
        <v>0</v>
      </c>
      <c r="K53" s="215">
        <f t="shared" si="13"/>
        <v>0</v>
      </c>
      <c r="L53" s="1112"/>
      <c r="M53" s="32"/>
      <c r="N53" s="36"/>
      <c r="O53" s="36"/>
      <c r="P53" s="23"/>
      <c r="Q53" s="23"/>
      <c r="R53" s="23"/>
      <c r="S53" s="37"/>
      <c r="T53" s="37"/>
      <c r="U53" s="38"/>
      <c r="V53" s="38"/>
      <c r="W53" s="39"/>
      <c r="X53" s="39"/>
    </row>
    <row r="54" spans="2:24" ht="12.75" customHeight="1" x14ac:dyDescent="0.2">
      <c r="B54" s="1109"/>
      <c r="C54" s="671"/>
      <c r="D54" s="662"/>
      <c r="E54" s="662"/>
      <c r="F54" s="663"/>
      <c r="G54" s="673">
        <v>0</v>
      </c>
      <c r="H54" s="260">
        <f t="shared" si="6"/>
        <v>0</v>
      </c>
      <c r="I54" s="654">
        <v>0</v>
      </c>
      <c r="J54" s="664">
        <v>0</v>
      </c>
      <c r="K54" s="215">
        <f t="shared" si="13"/>
        <v>0</v>
      </c>
      <c r="L54" s="1112"/>
      <c r="M54" s="32"/>
      <c r="N54" s="36"/>
      <c r="O54" s="36"/>
      <c r="P54" s="23"/>
      <c r="Q54" s="23"/>
      <c r="R54" s="23"/>
      <c r="S54" s="37"/>
      <c r="T54" s="37"/>
      <c r="U54" s="38"/>
      <c r="V54" s="38"/>
      <c r="W54" s="39"/>
      <c r="X54" s="39"/>
    </row>
    <row r="55" spans="2:24" ht="12.75" customHeight="1" x14ac:dyDescent="0.2">
      <c r="B55" s="1109"/>
      <c r="C55" s="671"/>
      <c r="D55" s="662"/>
      <c r="E55" s="662"/>
      <c r="F55" s="663"/>
      <c r="G55" s="673">
        <v>0</v>
      </c>
      <c r="H55" s="260">
        <f t="shared" si="6"/>
        <v>0</v>
      </c>
      <c r="I55" s="654">
        <v>0</v>
      </c>
      <c r="J55" s="664">
        <v>0</v>
      </c>
      <c r="K55" s="215">
        <f t="shared" si="13"/>
        <v>0</v>
      </c>
      <c r="L55" s="1112"/>
      <c r="M55" s="32"/>
      <c r="N55" s="36"/>
      <c r="O55" s="36"/>
      <c r="P55" s="23"/>
      <c r="Q55" s="23"/>
      <c r="R55" s="23"/>
      <c r="S55" s="37"/>
      <c r="T55" s="37"/>
      <c r="U55" s="38"/>
      <c r="V55" s="38"/>
      <c r="W55" s="39"/>
      <c r="X55" s="39"/>
    </row>
    <row r="56" spans="2:24" ht="13.5" customHeight="1" x14ac:dyDescent="0.2">
      <c r="B56" s="1109"/>
      <c r="C56" s="671"/>
      <c r="D56" s="662"/>
      <c r="E56" s="662"/>
      <c r="F56" s="663"/>
      <c r="G56" s="673">
        <v>0</v>
      </c>
      <c r="H56" s="260">
        <f t="shared" si="6"/>
        <v>0</v>
      </c>
      <c r="I56" s="654">
        <v>0</v>
      </c>
      <c r="J56" s="664">
        <v>0</v>
      </c>
      <c r="K56" s="215">
        <f t="shared" si="13"/>
        <v>0</v>
      </c>
      <c r="L56" s="1112"/>
      <c r="M56" s="32"/>
      <c r="N56" s="36"/>
      <c r="O56" s="36"/>
      <c r="P56" s="23"/>
      <c r="Q56" s="23"/>
      <c r="R56" s="23"/>
      <c r="S56" s="37"/>
      <c r="T56" s="37"/>
      <c r="U56" s="38"/>
      <c r="V56" s="38"/>
      <c r="W56" s="39"/>
      <c r="X56" s="39"/>
    </row>
    <row r="57" spans="2:24" ht="12.75" customHeight="1" x14ac:dyDescent="0.2">
      <c r="B57" s="1109"/>
      <c r="C57" s="671"/>
      <c r="D57" s="662"/>
      <c r="E57" s="662"/>
      <c r="F57" s="663"/>
      <c r="G57" s="673">
        <v>0</v>
      </c>
      <c r="H57" s="260">
        <f t="shared" si="6"/>
        <v>0</v>
      </c>
      <c r="I57" s="654">
        <v>0</v>
      </c>
      <c r="J57" s="664">
        <v>0</v>
      </c>
      <c r="K57" s="215">
        <f t="shared" si="13"/>
        <v>0</v>
      </c>
      <c r="L57" s="1112"/>
      <c r="M57" s="32"/>
      <c r="N57" s="36"/>
      <c r="O57" s="36"/>
      <c r="P57" s="23"/>
      <c r="Q57" s="23"/>
      <c r="R57" s="23"/>
      <c r="S57" s="37"/>
      <c r="T57" s="37"/>
      <c r="U57" s="38"/>
      <c r="V57" s="38"/>
      <c r="W57" s="39"/>
      <c r="X57" s="39"/>
    </row>
    <row r="58" spans="2:24" ht="13.5" customHeight="1" x14ac:dyDescent="0.2">
      <c r="B58" s="1109"/>
      <c r="C58" s="671"/>
      <c r="D58" s="662"/>
      <c r="E58" s="662"/>
      <c r="F58" s="663"/>
      <c r="G58" s="673">
        <v>0</v>
      </c>
      <c r="H58" s="260">
        <f t="shared" si="6"/>
        <v>0</v>
      </c>
      <c r="I58" s="654">
        <v>0</v>
      </c>
      <c r="J58" s="664">
        <v>0</v>
      </c>
      <c r="K58" s="215">
        <f t="shared" si="13"/>
        <v>0</v>
      </c>
      <c r="L58" s="1112"/>
      <c r="M58" s="32"/>
      <c r="N58" s="36"/>
      <c r="O58" s="36"/>
      <c r="P58" s="23"/>
      <c r="Q58" s="23"/>
      <c r="R58" s="23"/>
      <c r="S58" s="37"/>
      <c r="T58" s="37"/>
      <c r="U58" s="38"/>
      <c r="V58" s="38"/>
      <c r="W58" s="39"/>
      <c r="X58" s="39"/>
    </row>
    <row r="59" spans="2:24" ht="13.5" customHeight="1" thickBot="1" x14ac:dyDescent="0.25">
      <c r="B59" s="1110"/>
      <c r="C59" s="223"/>
      <c r="D59" s="336"/>
      <c r="E59" s="336"/>
      <c r="F59" s="337"/>
      <c r="G59" s="674">
        <v>0</v>
      </c>
      <c r="H59" s="268">
        <f t="shared" si="6"/>
        <v>0</v>
      </c>
      <c r="I59" s="655">
        <v>0</v>
      </c>
      <c r="J59" s="338">
        <v>0</v>
      </c>
      <c r="K59" s="339">
        <f t="shared" si="13"/>
        <v>0</v>
      </c>
      <c r="L59" s="1113"/>
      <c r="M59" s="32"/>
      <c r="N59" s="36"/>
      <c r="O59" s="36"/>
      <c r="P59" s="23"/>
      <c r="Q59" s="23"/>
      <c r="R59" s="23"/>
      <c r="S59" s="37"/>
      <c r="T59" s="37"/>
      <c r="U59" s="38"/>
      <c r="V59" s="38"/>
      <c r="W59" s="39"/>
      <c r="X59" s="39"/>
    </row>
    <row r="60" spans="2:24" ht="16.5" thickBot="1" x14ac:dyDescent="0.25">
      <c r="B60" s="29"/>
      <c r="C60" s="45"/>
      <c r="D60" s="45"/>
      <c r="E60" s="46"/>
      <c r="F60" s="46"/>
      <c r="G60" s="46"/>
      <c r="H60" s="46"/>
      <c r="I60" s="46"/>
      <c r="J60" s="46"/>
      <c r="K60" s="669" t="s">
        <v>94</v>
      </c>
      <c r="L60" s="216">
        <f>SUM(L11:L59)</f>
        <v>241747031.91999996</v>
      </c>
      <c r="M60" s="30"/>
      <c r="N60" s="30"/>
      <c r="O60" s="30"/>
      <c r="P60" s="36"/>
      <c r="Q60" s="36"/>
      <c r="R60" s="36"/>
      <c r="S60" s="37"/>
      <c r="T60" s="37"/>
      <c r="U60" s="38"/>
      <c r="V60" s="38"/>
      <c r="W60" s="39"/>
      <c r="X60" s="39"/>
    </row>
    <row r="61" spans="2:24" x14ac:dyDescent="0.2">
      <c r="B61" s="29"/>
      <c r="C61" s="45"/>
      <c r="D61" s="45"/>
      <c r="E61" s="46"/>
      <c r="F61" s="46"/>
      <c r="G61" s="46"/>
      <c r="H61" s="46"/>
      <c r="I61" s="46"/>
      <c r="J61" s="46"/>
      <c r="K61" s="40"/>
      <c r="L61" s="40"/>
      <c r="M61" s="30"/>
      <c r="N61" s="30"/>
      <c r="O61" s="30"/>
      <c r="P61" s="36"/>
      <c r="Q61" s="36"/>
      <c r="R61" s="36"/>
      <c r="S61" s="37"/>
      <c r="T61" s="37"/>
      <c r="U61" s="38"/>
      <c r="V61" s="38"/>
      <c r="W61" s="39"/>
      <c r="X61" s="39"/>
    </row>
    <row r="62" spans="2:24" x14ac:dyDescent="0.2">
      <c r="B62" s="29"/>
      <c r="C62" s="29"/>
      <c r="D62" s="29"/>
      <c r="E62" s="29"/>
      <c r="F62" s="29"/>
      <c r="G62" s="29"/>
      <c r="H62" s="29"/>
      <c r="I62" s="29"/>
      <c r="J62" s="29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8"/>
      <c r="V62" s="38"/>
      <c r="W62" s="39"/>
      <c r="X62" s="39"/>
    </row>
    <row r="63" spans="2:24" x14ac:dyDescent="0.2">
      <c r="B63" s="29"/>
      <c r="C63" s="29"/>
      <c r="D63" s="29"/>
      <c r="E63" s="29"/>
      <c r="F63" s="29"/>
      <c r="G63" s="29"/>
      <c r="H63" s="29"/>
      <c r="I63" s="29"/>
      <c r="J63" s="29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8"/>
      <c r="V63" s="38"/>
      <c r="W63" s="39"/>
      <c r="X63" s="39"/>
    </row>
    <row r="64" spans="2:24" x14ac:dyDescent="0.2">
      <c r="B64" s="29"/>
      <c r="C64" s="29"/>
      <c r="D64" s="29"/>
      <c r="E64" s="29"/>
      <c r="F64" s="29"/>
      <c r="G64" s="29"/>
      <c r="H64" s="29"/>
      <c r="I64" s="29"/>
      <c r="J64" s="29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8"/>
      <c r="V64" s="38"/>
      <c r="W64" s="39"/>
      <c r="X64" s="39"/>
    </row>
    <row r="65" spans="2:24" x14ac:dyDescent="0.2">
      <c r="B65" s="29"/>
      <c r="C65" s="29"/>
      <c r="D65" s="29"/>
      <c r="E65" s="29"/>
      <c r="F65" s="29"/>
      <c r="G65" s="29"/>
      <c r="H65" s="29"/>
      <c r="I65" s="29"/>
      <c r="J65" s="29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8"/>
      <c r="V65" s="38"/>
      <c r="W65" s="39"/>
      <c r="X65" s="39"/>
    </row>
    <row r="66" spans="2:24" x14ac:dyDescent="0.2">
      <c r="B66" s="29"/>
      <c r="C66" s="29"/>
      <c r="D66" s="29"/>
      <c r="E66" s="29"/>
      <c r="F66" s="29"/>
      <c r="G66" s="29"/>
      <c r="H66" s="29"/>
      <c r="I66" s="29"/>
      <c r="J66" s="29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8"/>
      <c r="V66" s="38"/>
      <c r="W66" s="39"/>
      <c r="X66" s="39"/>
    </row>
    <row r="67" spans="2:24" x14ac:dyDescent="0.2">
      <c r="B67" s="29"/>
      <c r="C67" s="29"/>
      <c r="D67" s="29"/>
      <c r="E67" s="29"/>
      <c r="F67" s="29"/>
      <c r="G67" s="29"/>
      <c r="H67" s="29"/>
      <c r="I67" s="29"/>
      <c r="J67" s="29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8"/>
      <c r="V67" s="38"/>
      <c r="W67" s="39"/>
      <c r="X67" s="39"/>
    </row>
  </sheetData>
  <sheetProtection algorithmName="SHA-512" hashValue="Pz1p00dfVLkBp5NpxpaGYQ4q94I0MBPhz/KLhlheWsSdEdhbcYGm8kRzhsWK1ZwkrVVwrtl5PVBR0SV0AMdXww==" saltValue="zNWk4cR/ctrgmEOHK5pWSA==" spinCount="100000" sheet="1" objects="1" scenarios="1"/>
  <mergeCells count="33">
    <mergeCell ref="B19:B26"/>
    <mergeCell ref="L19:L26"/>
    <mergeCell ref="K27:K28"/>
    <mergeCell ref="L27:L28"/>
    <mergeCell ref="B27:B28"/>
    <mergeCell ref="C27:C28"/>
    <mergeCell ref="D27:D28"/>
    <mergeCell ref="E27:E28"/>
    <mergeCell ref="F27:F28"/>
    <mergeCell ref="K9:K10"/>
    <mergeCell ref="L9:L10"/>
    <mergeCell ref="T10:W10"/>
    <mergeCell ref="B11:B18"/>
    <mergeCell ref="L11:L18"/>
    <mergeCell ref="F9:F10"/>
    <mergeCell ref="G9:G10"/>
    <mergeCell ref="H9:H10"/>
    <mergeCell ref="I9:I10"/>
    <mergeCell ref="J9:J10"/>
    <mergeCell ref="B7:E7"/>
    <mergeCell ref="B9:B10"/>
    <mergeCell ref="C9:C10"/>
    <mergeCell ref="D9:D10"/>
    <mergeCell ref="E9:E10"/>
    <mergeCell ref="B45:B59"/>
    <mergeCell ref="L45:L59"/>
    <mergeCell ref="T28:W28"/>
    <mergeCell ref="B29:B44"/>
    <mergeCell ref="L29:L44"/>
    <mergeCell ref="G27:G28"/>
    <mergeCell ref="H27:H28"/>
    <mergeCell ref="I27:I28"/>
    <mergeCell ref="J27:J2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7030A0"/>
  </sheetPr>
  <dimension ref="A1:S25"/>
  <sheetViews>
    <sheetView showGridLines="0" topLeftCell="A6" zoomScale="62" zoomScaleNormal="62" workbookViewId="0">
      <selection activeCell="P26" sqref="P26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5703125" style="4" bestFit="1" customWidth="1"/>
    <col min="14" max="14" width="14.7109375" style="10" customWidth="1"/>
    <col min="15" max="15" width="33.5703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44"/>
      <c r="C1" s="44"/>
      <c r="D1" s="44" t="s">
        <v>206</v>
      </c>
      <c r="E1" s="44"/>
      <c r="F1" s="44"/>
      <c r="G1" s="44"/>
      <c r="H1" s="44"/>
      <c r="I1" s="44"/>
      <c r="J1" s="44"/>
      <c r="K1" s="44"/>
      <c r="L1" s="44"/>
      <c r="M1" s="44"/>
      <c r="N1" s="44"/>
      <c r="P1" s="44"/>
    </row>
    <row r="2" spans="1:19" x14ac:dyDescent="0.2">
      <c r="B2" s="44"/>
      <c r="C2" s="44"/>
      <c r="D2" s="44" t="s">
        <v>198</v>
      </c>
      <c r="E2" s="44"/>
      <c r="F2" s="44"/>
      <c r="G2" s="44"/>
      <c r="H2" s="44"/>
      <c r="I2" s="44"/>
      <c r="J2" s="44"/>
      <c r="K2" s="44"/>
      <c r="L2" s="44"/>
      <c r="M2" s="44"/>
      <c r="N2" s="44"/>
      <c r="P2" s="44"/>
    </row>
    <row r="3" spans="1:19" x14ac:dyDescent="0.2">
      <c r="C3" s="17"/>
      <c r="D3" s="17"/>
      <c r="E3" s="17"/>
      <c r="F3" s="17"/>
      <c r="G3" s="17"/>
      <c r="H3" s="17"/>
      <c r="I3" s="17"/>
      <c r="J3" s="17"/>
      <c r="K3" s="17"/>
      <c r="L3" s="17"/>
      <c r="N3" s="17"/>
      <c r="P3" s="17"/>
    </row>
    <row r="4" spans="1:19" ht="18.75" customHeight="1" x14ac:dyDescent="0.2">
      <c r="C4" s="21" t="s">
        <v>0</v>
      </c>
      <c r="D4" s="1160" t="str">
        <f>+'B) Reajuste Tarifas y Ocupación'!F5</f>
        <v>(DEPTO./DELEG.)</v>
      </c>
      <c r="E4" s="916"/>
      <c r="F4" s="1161"/>
      <c r="G4" s="240"/>
      <c r="H4" s="240"/>
      <c r="I4" s="240"/>
      <c r="J4" s="240"/>
      <c r="K4" s="240"/>
      <c r="L4" s="240"/>
      <c r="N4" s="240"/>
      <c r="P4" s="240"/>
    </row>
    <row r="5" spans="1:19" x14ac:dyDescent="0.2">
      <c r="A5" s="9"/>
      <c r="B5" s="22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P5" s="240"/>
    </row>
    <row r="6" spans="1:19" x14ac:dyDescent="0.2">
      <c r="A6" s="9"/>
      <c r="B6" s="22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P6" s="240"/>
    </row>
    <row r="7" spans="1:19" ht="12.75" customHeight="1" x14ac:dyDescent="0.2">
      <c r="A7" s="1164" t="s">
        <v>126</v>
      </c>
      <c r="B7" s="1165"/>
      <c r="C7" s="1165"/>
      <c r="D7" s="1165"/>
      <c r="E7" s="1165"/>
      <c r="F7" s="1165"/>
      <c r="G7" s="1165"/>
      <c r="H7" s="1165"/>
      <c r="I7" s="1165"/>
      <c r="J7" s="1165"/>
      <c r="K7" s="1165"/>
      <c r="L7" s="1165"/>
      <c r="M7" s="1165"/>
      <c r="N7" s="1165"/>
      <c r="O7" s="1166"/>
      <c r="P7" s="67"/>
    </row>
    <row r="8" spans="1:19" x14ac:dyDescent="0.2">
      <c r="A8" s="1167"/>
      <c r="B8" s="1168"/>
      <c r="C8" s="1168"/>
      <c r="D8" s="1168"/>
      <c r="E8" s="1168"/>
      <c r="F8" s="1168"/>
      <c r="G8" s="1168"/>
      <c r="H8" s="1168"/>
      <c r="I8" s="1168"/>
      <c r="J8" s="1168"/>
      <c r="K8" s="1168"/>
      <c r="L8" s="1168"/>
      <c r="M8" s="1168"/>
      <c r="N8" s="1168"/>
      <c r="O8" s="1169"/>
      <c r="P8" s="67"/>
    </row>
    <row r="9" spans="1:19" x14ac:dyDescent="0.2">
      <c r="A9" s="1170"/>
      <c r="B9" s="1171"/>
      <c r="C9" s="1171"/>
      <c r="D9" s="1171"/>
      <c r="E9" s="1171"/>
      <c r="F9" s="1171"/>
      <c r="G9" s="1171"/>
      <c r="H9" s="1171"/>
      <c r="I9" s="1171"/>
      <c r="J9" s="1171"/>
      <c r="K9" s="1171"/>
      <c r="L9" s="1171"/>
      <c r="M9" s="1171"/>
      <c r="N9" s="1171"/>
      <c r="O9" s="1172"/>
      <c r="P9" s="67"/>
    </row>
    <row r="10" spans="1:19" x14ac:dyDescent="0.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</row>
    <row r="11" spans="1:19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</row>
    <row r="12" spans="1:19" ht="15.75" x14ac:dyDescent="0.2">
      <c r="A12" s="1103" t="s">
        <v>159</v>
      </c>
      <c r="B12" s="1103"/>
      <c r="C12" s="1103"/>
      <c r="D12" s="1103"/>
      <c r="E12" s="241"/>
      <c r="F12" s="58"/>
      <c r="G12" s="58"/>
      <c r="H12" s="58"/>
      <c r="I12" s="57"/>
      <c r="J12" s="57"/>
      <c r="K12" s="58"/>
      <c r="L12" s="58"/>
      <c r="M12" s="58"/>
      <c r="N12" s="58"/>
      <c r="O12" s="58"/>
      <c r="P12" s="58"/>
    </row>
    <row r="13" spans="1:19" ht="13.5" thickBot="1" x14ac:dyDescent="0.25">
      <c r="A13" s="9"/>
      <c r="B13" s="22"/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P13" s="240"/>
    </row>
    <row r="14" spans="1:19" ht="20.25" customHeight="1" x14ac:dyDescent="0.2">
      <c r="A14" s="1144" t="s">
        <v>132</v>
      </c>
      <c r="B14" s="1146" t="s">
        <v>5</v>
      </c>
      <c r="C14" s="1150" t="s">
        <v>266</v>
      </c>
      <c r="D14" s="1151"/>
      <c r="E14" s="1151"/>
      <c r="F14" s="1151"/>
      <c r="G14" s="1152"/>
      <c r="H14" s="1153" t="s">
        <v>140</v>
      </c>
      <c r="I14" s="1154"/>
      <c r="J14" s="1154"/>
      <c r="K14" s="1154"/>
      <c r="L14" s="1155"/>
      <c r="M14" s="1148" t="s">
        <v>110</v>
      </c>
      <c r="N14" s="1149"/>
      <c r="O14" s="1162" t="s">
        <v>111</v>
      </c>
      <c r="P14" s="1163"/>
      <c r="Q14" s="1158" t="s">
        <v>127</v>
      </c>
    </row>
    <row r="15" spans="1:19" ht="74.25" customHeight="1" thickBot="1" x14ac:dyDescent="0.25">
      <c r="A15" s="1145"/>
      <c r="B15" s="1147"/>
      <c r="C15" s="275" t="s">
        <v>86</v>
      </c>
      <c r="D15" s="276" t="s">
        <v>134</v>
      </c>
      <c r="E15" s="276" t="s">
        <v>135</v>
      </c>
      <c r="F15" s="276" t="s">
        <v>87</v>
      </c>
      <c r="G15" s="277" t="s">
        <v>88</v>
      </c>
      <c r="H15" s="159" t="s">
        <v>86</v>
      </c>
      <c r="I15" s="288" t="s">
        <v>134</v>
      </c>
      <c r="J15" s="288" t="s">
        <v>135</v>
      </c>
      <c r="K15" s="288" t="s">
        <v>87</v>
      </c>
      <c r="L15" s="289" t="s">
        <v>88</v>
      </c>
      <c r="M15" s="290" t="s">
        <v>72</v>
      </c>
      <c r="N15" s="224" t="s">
        <v>85</v>
      </c>
      <c r="O15" s="291" t="s">
        <v>72</v>
      </c>
      <c r="P15" s="224" t="s">
        <v>85</v>
      </c>
      <c r="Q15" s="1159"/>
    </row>
    <row r="16" spans="1:19" ht="12.75" customHeight="1" x14ac:dyDescent="0.2">
      <c r="A16" s="1142" t="str">
        <f>'B) Reajuste Tarifas y Ocupación'!A12</f>
        <v>Jardín Infantil Tortuguita Marina</v>
      </c>
      <c r="B16" s="292" t="str">
        <f>+'B) Reajuste Tarifas y Ocupación'!B12</f>
        <v>Media jornada</v>
      </c>
      <c r="C16" s="155">
        <f>+'B) Reajuste Tarifas y Ocupación'!M12</f>
        <v>71500</v>
      </c>
      <c r="D16" s="293">
        <f>+'B) Reajuste Tarifas y Ocupación'!N12</f>
        <v>96500</v>
      </c>
      <c r="E16" s="293">
        <f>+'B) Reajuste Tarifas y Ocupación'!O12</f>
        <v>100000</v>
      </c>
      <c r="F16" s="293">
        <f>+'B) Reajuste Tarifas y Ocupación'!P12</f>
        <v>97600</v>
      </c>
      <c r="G16" s="294">
        <f>+'B) Reajuste Tarifas y Ocupación'!Q12</f>
        <v>124100</v>
      </c>
      <c r="H16" s="160">
        <f>IFERROR(C16/$Q16,0)</f>
        <v>0.43333333333333335</v>
      </c>
      <c r="I16" s="295">
        <f>IFERROR(D16/$Q16,0)</f>
        <v>0.58484848484848484</v>
      </c>
      <c r="J16" s="295">
        <f>IFERROR(E16/$Q16,0)</f>
        <v>0.60606060606060608</v>
      </c>
      <c r="K16" s="295">
        <f>IFERROR(F16/$Q16,0)</f>
        <v>0.59151515151515155</v>
      </c>
      <c r="L16" s="296">
        <f t="shared" ref="L16" si="0">IFERROR(G16/$Q16,0)</f>
        <v>0.75212121212121208</v>
      </c>
      <c r="M16" s="297" t="s">
        <v>453</v>
      </c>
      <c r="N16" s="298">
        <v>175000</v>
      </c>
      <c r="O16" s="297" t="s">
        <v>454</v>
      </c>
      <c r="P16" s="298">
        <v>155000</v>
      </c>
      <c r="Q16" s="156">
        <f>AVERAGE(N16,P16)</f>
        <v>165000</v>
      </c>
      <c r="R16" s="23"/>
      <c r="S16" s="24"/>
    </row>
    <row r="17" spans="1:19" ht="13.5" thickBot="1" x14ac:dyDescent="0.25">
      <c r="A17" s="1143"/>
      <c r="B17" s="157" t="str">
        <f>+'B) Reajuste Tarifas y Ocupación'!B13</f>
        <v xml:space="preserve">Doble Jornada </v>
      </c>
      <c r="C17" s="501">
        <f>+'B) Reajuste Tarifas y Ocupación'!M13</f>
        <v>90900</v>
      </c>
      <c r="D17" s="502">
        <f>+'B) Reajuste Tarifas y Ocupación'!N13</f>
        <v>122700</v>
      </c>
      <c r="E17" s="502">
        <f>+'B) Reajuste Tarifas y Ocupación'!O13</f>
        <v>127300</v>
      </c>
      <c r="F17" s="502">
        <f>+'B) Reajuste Tarifas y Ocupación'!P13</f>
        <v>136400</v>
      </c>
      <c r="G17" s="503">
        <f>+'B) Reajuste Tarifas y Ocupación'!Q13</f>
        <v>181700</v>
      </c>
      <c r="H17" s="225">
        <f t="shared" ref="H17" si="1">IFERROR(C17/$Q17,0)</f>
        <v>0.33981308411214955</v>
      </c>
      <c r="I17" s="226">
        <f t="shared" ref="I17" si="2">IFERROR(D17/$Q17,0)</f>
        <v>0.45869158878504673</v>
      </c>
      <c r="J17" s="226">
        <f t="shared" ref="J17" si="3">IFERROR(E17/$Q17,0)</f>
        <v>0.47588785046728971</v>
      </c>
      <c r="K17" s="226">
        <f t="shared" ref="K17" si="4">IFERROR(F17/$Q17,0)</f>
        <v>0.50990654205607477</v>
      </c>
      <c r="L17" s="227">
        <f t="shared" ref="L17:L18" si="5">IFERROR(G17/$Q17,0)</f>
        <v>0.67925233644859817</v>
      </c>
      <c r="M17" s="223" t="s">
        <v>453</v>
      </c>
      <c r="N17" s="221">
        <v>285000</v>
      </c>
      <c r="O17" s="223" t="s">
        <v>454</v>
      </c>
      <c r="P17" s="221">
        <v>250000</v>
      </c>
      <c r="Q17" s="248">
        <f t="shared" ref="Q17" si="6">AVERAGE(N17,P17)</f>
        <v>267500</v>
      </c>
      <c r="R17" s="23"/>
      <c r="S17" s="24"/>
    </row>
    <row r="18" spans="1:19" x14ac:dyDescent="0.2">
      <c r="A18" s="1142" t="str">
        <f>'B) Reajuste Tarifas y Ocupación'!A14</f>
        <v>Jardín Infantil Burbujitas de Mar</v>
      </c>
      <c r="B18" s="292" t="str">
        <f>+'B) Reajuste Tarifas y Ocupación'!B14</f>
        <v>Media jornada</v>
      </c>
      <c r="C18" s="155">
        <f>+'B) Reajuste Tarifas y Ocupación'!M14</f>
        <v>100600</v>
      </c>
      <c r="D18" s="293">
        <f>+'B) Reajuste Tarifas y Ocupación'!N14</f>
        <v>135800</v>
      </c>
      <c r="E18" s="293">
        <f>+'B) Reajuste Tarifas y Ocupación'!O14</f>
        <v>140800</v>
      </c>
      <c r="F18" s="293">
        <f>+'B) Reajuste Tarifas y Ocupación'!P14</f>
        <v>125800</v>
      </c>
      <c r="G18" s="504">
        <f>+'B) Reajuste Tarifas y Ocupación'!Q14</f>
        <v>150800</v>
      </c>
      <c r="H18" s="499">
        <f>IFERROR(C18/$Q18,0)</f>
        <v>0.60969696969696974</v>
      </c>
      <c r="I18" s="295">
        <f>IFERROR(D18/$Q18,0)</f>
        <v>0.823030303030303</v>
      </c>
      <c r="J18" s="295">
        <f>IFERROR(E18/$Q18,0)</f>
        <v>0.85333333333333339</v>
      </c>
      <c r="K18" s="295">
        <f>IFERROR(F18/$Q18,0)</f>
        <v>0.76242424242424245</v>
      </c>
      <c r="L18" s="296">
        <f t="shared" si="5"/>
        <v>0.91393939393939394</v>
      </c>
      <c r="M18" s="297" t="s">
        <v>453</v>
      </c>
      <c r="N18" s="298">
        <v>175000</v>
      </c>
      <c r="O18" s="297" t="s">
        <v>454</v>
      </c>
      <c r="P18" s="298">
        <v>155000</v>
      </c>
      <c r="Q18" s="156">
        <f>AVERAGE(N18,P18)</f>
        <v>165000</v>
      </c>
      <c r="R18" s="23"/>
      <c r="S18" s="24"/>
    </row>
    <row r="19" spans="1:19" ht="13.5" thickBot="1" x14ac:dyDescent="0.25">
      <c r="A19" s="1143"/>
      <c r="B19" s="157" t="str">
        <f>+'B) Reajuste Tarifas y Ocupación'!B15</f>
        <v>Jornada  Completa</v>
      </c>
      <c r="C19" s="488">
        <f>+'B) Reajuste Tarifas y Ocupación'!M15</f>
        <v>159200</v>
      </c>
      <c r="D19" s="475">
        <f>+'B) Reajuste Tarifas y Ocupación'!N15</f>
        <v>214900</v>
      </c>
      <c r="E19" s="475">
        <f>+'B) Reajuste Tarifas y Ocupación'!O15</f>
        <v>222800</v>
      </c>
      <c r="F19" s="475">
        <f>+'B) Reajuste Tarifas y Ocupación'!P15</f>
        <v>199000</v>
      </c>
      <c r="G19" s="489">
        <f>+'B) Reajuste Tarifas y Ocupación'!Q15</f>
        <v>238800</v>
      </c>
      <c r="H19" s="500">
        <f t="shared" ref="H19" si="7">IFERROR(C19/$Q19,0)</f>
        <v>0.59514018691588788</v>
      </c>
      <c r="I19" s="226">
        <f t="shared" ref="I19" si="8">IFERROR(D19/$Q19,0)</f>
        <v>0.80336448598130838</v>
      </c>
      <c r="J19" s="226">
        <f t="shared" ref="J19" si="9">IFERROR(E19/$Q19,0)</f>
        <v>0.83289719626168224</v>
      </c>
      <c r="K19" s="226">
        <f t="shared" ref="K19" si="10">IFERROR(F19/$Q19,0)</f>
        <v>0.74392523364485985</v>
      </c>
      <c r="L19" s="227">
        <f t="shared" ref="L19" si="11">IFERROR(G19/$Q19,0)</f>
        <v>0.89271028037383182</v>
      </c>
      <c r="M19" s="223" t="s">
        <v>453</v>
      </c>
      <c r="N19" s="221">
        <v>285000</v>
      </c>
      <c r="O19" s="223" t="s">
        <v>454</v>
      </c>
      <c r="P19" s="221">
        <v>250000</v>
      </c>
      <c r="Q19" s="248">
        <f t="shared" ref="Q19" si="12">AVERAGE(N19,P19)</f>
        <v>267500</v>
      </c>
      <c r="R19" s="23"/>
      <c r="S19" s="24"/>
    </row>
    <row r="20" spans="1:19" ht="12.75" customHeight="1" thickBot="1" x14ac:dyDescent="0.25">
      <c r="A20" s="10"/>
      <c r="M20" s="10"/>
      <c r="O20" s="10"/>
      <c r="Q20" s="10"/>
    </row>
    <row r="21" spans="1:19" ht="20.25" customHeight="1" x14ac:dyDescent="0.2">
      <c r="A21" s="1144" t="s">
        <v>133</v>
      </c>
      <c r="B21" s="1146" t="s">
        <v>5</v>
      </c>
      <c r="C21" s="1150" t="s">
        <v>266</v>
      </c>
      <c r="D21" s="1151"/>
      <c r="E21" s="1151"/>
      <c r="F21" s="1151"/>
      <c r="G21" s="1152"/>
      <c r="H21" s="1153" t="s">
        <v>140</v>
      </c>
      <c r="I21" s="1154"/>
      <c r="J21" s="1154"/>
      <c r="K21" s="1154"/>
      <c r="L21" s="1155"/>
      <c r="M21" s="1173" t="s">
        <v>110</v>
      </c>
      <c r="N21" s="1174"/>
      <c r="O21" s="1175" t="s">
        <v>111</v>
      </c>
      <c r="P21" s="1174"/>
      <c r="Q21" s="1156" t="s">
        <v>127</v>
      </c>
    </row>
    <row r="22" spans="1:19" ht="71.25" customHeight="1" thickBot="1" x14ac:dyDescent="0.25">
      <c r="A22" s="1145"/>
      <c r="B22" s="1147"/>
      <c r="C22" s="275" t="s">
        <v>86</v>
      </c>
      <c r="D22" s="276" t="s">
        <v>134</v>
      </c>
      <c r="E22" s="276" t="s">
        <v>135</v>
      </c>
      <c r="F22" s="276" t="s">
        <v>87</v>
      </c>
      <c r="G22" s="277" t="s">
        <v>88</v>
      </c>
      <c r="H22" s="162" t="s">
        <v>86</v>
      </c>
      <c r="I22" s="301" t="s">
        <v>134</v>
      </c>
      <c r="J22" s="288" t="s">
        <v>135</v>
      </c>
      <c r="K22" s="301" t="s">
        <v>87</v>
      </c>
      <c r="L22" s="302" t="s">
        <v>88</v>
      </c>
      <c r="M22" s="249" t="s">
        <v>72</v>
      </c>
      <c r="N22" s="206" t="s">
        <v>85</v>
      </c>
      <c r="O22" s="250" t="s">
        <v>72</v>
      </c>
      <c r="P22" s="206" t="s">
        <v>85</v>
      </c>
      <c r="Q22" s="1157"/>
    </row>
    <row r="23" spans="1:19" ht="12.75" customHeight="1" x14ac:dyDescent="0.2">
      <c r="A23" s="1141" t="str">
        <f>'B) Reajuste Tarifas y Ocupación'!A19</f>
        <v>Sala Cuna Burbujitas de Mar</v>
      </c>
      <c r="B23" s="303" t="str">
        <f>+'B) Reajuste Tarifas y Ocupación'!B19</f>
        <v>Jornada Completa Diurna</v>
      </c>
      <c r="C23" s="155">
        <f>+'B) Reajuste Tarifas y Ocupación'!M19</f>
        <v>347400</v>
      </c>
      <c r="D23" s="293">
        <f>+'B) Reajuste Tarifas y Ocupación'!N19</f>
        <v>469000</v>
      </c>
      <c r="E23" s="293">
        <f>+'B) Reajuste Tarifas y Ocupación'!O19</f>
        <v>486400</v>
      </c>
      <c r="F23" s="293">
        <f>+'B) Reajuste Tarifas y Ocupación'!P19</f>
        <v>434200</v>
      </c>
      <c r="G23" s="294">
        <f>+'B) Reajuste Tarifas y Ocupación'!Q19</f>
        <v>521100</v>
      </c>
      <c r="H23" s="160">
        <f>IFERROR(C23/$Q23,0)</f>
        <v>1.0069565217391305</v>
      </c>
      <c r="I23" s="304">
        <f t="shared" ref="I23:L23" si="13">IFERROR(D23/$Q23,0)</f>
        <v>1.3594202898550725</v>
      </c>
      <c r="J23" s="304">
        <f t="shared" si="13"/>
        <v>1.4098550724637682</v>
      </c>
      <c r="K23" s="304">
        <f t="shared" si="13"/>
        <v>1.2585507246376813</v>
      </c>
      <c r="L23" s="305">
        <f t="shared" si="13"/>
        <v>1.5104347826086957</v>
      </c>
      <c r="M23" s="297" t="s">
        <v>453</v>
      </c>
      <c r="N23" s="298">
        <v>350000</v>
      </c>
      <c r="O23" s="306" t="s">
        <v>455</v>
      </c>
      <c r="P23" s="298">
        <v>340000</v>
      </c>
      <c r="Q23" s="307">
        <f t="shared" ref="Q23:Q25" si="14">AVERAGE(N23,P23)</f>
        <v>345000</v>
      </c>
    </row>
    <row r="24" spans="1:19" ht="12.75" customHeight="1" x14ac:dyDescent="0.2">
      <c r="A24" s="1142"/>
      <c r="B24" s="292" t="str">
        <f>+'B) Reajuste Tarifas y Ocupación'!B20</f>
        <v>Nocturna</v>
      </c>
      <c r="C24" s="308">
        <f>+'B) Reajuste Tarifas y Ocupación'!M20</f>
        <v>280200</v>
      </c>
      <c r="D24" s="734"/>
      <c r="E24" s="734"/>
      <c r="F24" s="734"/>
      <c r="G24" s="735"/>
      <c r="H24" s="161">
        <f t="shared" ref="H24:H25" si="15">IFERROR(C24/$Q24,0)</f>
        <v>0</v>
      </c>
      <c r="I24" s="736"/>
      <c r="J24" s="736"/>
      <c r="K24" s="736"/>
      <c r="L24" s="737"/>
      <c r="M24" s="218"/>
      <c r="N24" s="219">
        <v>0</v>
      </c>
      <c r="O24" s="222"/>
      <c r="P24" s="219">
        <v>0</v>
      </c>
      <c r="Q24" s="309">
        <f t="shared" si="14"/>
        <v>0</v>
      </c>
    </row>
    <row r="25" spans="1:19" ht="12.75" customHeight="1" thickBot="1" x14ac:dyDescent="0.25">
      <c r="A25" s="1143"/>
      <c r="B25" s="157" t="str">
        <f>+'B) Reajuste Tarifas y Ocupación'!B21</f>
        <v>Media Jornada</v>
      </c>
      <c r="C25" s="299">
        <f>+'B) Reajuste Tarifas y Ocupación'!M21</f>
        <v>208600</v>
      </c>
      <c r="D25" s="300">
        <f>+'B) Reajuste Tarifas y Ocupación'!N21</f>
        <v>281500</v>
      </c>
      <c r="E25" s="300">
        <f>+'B) Reajuste Tarifas y Ocupación'!O21</f>
        <v>292000</v>
      </c>
      <c r="F25" s="300">
        <f>+'B) Reajuste Tarifas y Ocupación'!P21</f>
        <v>312700</v>
      </c>
      <c r="G25" s="158">
        <f>+'B) Reajuste Tarifas y Ocupación'!Q21</f>
        <v>416900</v>
      </c>
      <c r="H25" s="225">
        <f t="shared" si="15"/>
        <v>1.0429999999999999</v>
      </c>
      <c r="I25" s="226">
        <f t="shared" ref="I25" si="16">IFERROR(D25/$Q25,0)</f>
        <v>1.4075</v>
      </c>
      <c r="J25" s="226">
        <f t="shared" ref="J25" si="17">IFERROR(E25/$Q25,0)</f>
        <v>1.46</v>
      </c>
      <c r="K25" s="226">
        <f t="shared" ref="K25" si="18">IFERROR(F25/$Q25,0)</f>
        <v>1.5634999999999999</v>
      </c>
      <c r="L25" s="217">
        <f t="shared" ref="L25" si="19">IFERROR(G25/$Q25,0)</f>
        <v>2.0844999999999998</v>
      </c>
      <c r="M25" s="220" t="s">
        <v>453</v>
      </c>
      <c r="N25" s="221">
        <v>200000</v>
      </c>
      <c r="O25" s="223" t="s">
        <v>455</v>
      </c>
      <c r="P25" s="221">
        <v>200000</v>
      </c>
      <c r="Q25" s="248">
        <f t="shared" si="14"/>
        <v>200000</v>
      </c>
    </row>
  </sheetData>
  <sheetProtection algorithmName="SHA-512" hashValue="2oyLPeor2HmvhHCZartG49ayzdW7HBVWtKCc+KG0wrv9W4TKxVOQRLbJ3cwvGDrPjiKmEZKoKJOn8tebZl2qQQ==" saltValue="gQfjZ2a8C5a+8aIOJNL88w==" spinCount="100000" sheet="1" objects="1" scenarios="1"/>
  <mergeCells count="20">
    <mergeCell ref="Q21:Q22"/>
    <mergeCell ref="B21:B22"/>
    <mergeCell ref="C21:G21"/>
    <mergeCell ref="Q14:Q15"/>
    <mergeCell ref="D4:F4"/>
    <mergeCell ref="O14:P14"/>
    <mergeCell ref="A7:O9"/>
    <mergeCell ref="A12:D12"/>
    <mergeCell ref="H21:L21"/>
    <mergeCell ref="M21:N21"/>
    <mergeCell ref="O21:P21"/>
    <mergeCell ref="A16:A17"/>
    <mergeCell ref="A18:A19"/>
    <mergeCell ref="A23:A25"/>
    <mergeCell ref="A21:A22"/>
    <mergeCell ref="A14:A15"/>
    <mergeCell ref="B14:B15"/>
    <mergeCell ref="M14:N14"/>
    <mergeCell ref="C14:G14"/>
    <mergeCell ref="H14:L14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12</vt:i4>
      </vt:variant>
    </vt:vector>
  </HeadingPairs>
  <TitlesOfParts>
    <vt:vector size="23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Proyección Mensual.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340 Loreto Mondaca</cp:lastModifiedBy>
  <cp:lastPrinted>2017-09-14T16:34:08Z</cp:lastPrinted>
  <dcterms:created xsi:type="dcterms:W3CDTF">2017-05-11T00:45:10Z</dcterms:created>
  <dcterms:modified xsi:type="dcterms:W3CDTF">2022-11-08T13:48:20Z</dcterms:modified>
</cp:coreProperties>
</file>