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02 USUARIOS\L. MONDACA\MIS COMPARTIDAS\EDUCACIONAL\TARIFAS\TARIFAS 2023\JI Y SC 2023\PLANILLAS FINALES 2023\"/>
    </mc:Choice>
  </mc:AlternateContent>
  <xr:revisionPtr revIDLastSave="0" documentId="8_{FA929915-163A-4495-B493-92F7E97BCC3C}" xr6:coauthVersionLast="46" xr6:coauthVersionMax="46" xr10:uidLastSave="{00000000-0000-0000-0000-000000000000}"/>
  <bookViews>
    <workbookView xWindow="-120" yWindow="-120" windowWidth="29040" windowHeight="15840" tabRatio="850" xr2:uid="{00000000-000D-0000-FFFF-FFFF00000000}"/>
  </bookViews>
  <sheets>
    <sheet name="Instrucciones" sheetId="1" r:id="rId1"/>
    <sheet name="Índice Tablas" sheetId="2" r:id="rId2"/>
    <sheet name="A) Resumen Ingresos y Egresos" sheetId="3" r:id="rId3"/>
    <sheet name="B) Reajuste Tarifas y Ocupación" sheetId="4" r:id="rId4"/>
    <sheet name="C) Costos Directos" sheetId="5" r:id="rId5"/>
    <sheet name="D) Costos Indirectos" sheetId="6" r:id="rId6"/>
    <sheet name="E) Resumen Tarifado " sheetId="7" r:id="rId7"/>
    <sheet name="F) Remuneraciones" sheetId="8" r:id="rId8"/>
    <sheet name="G) Comparación Mercado" sheetId="9" r:id="rId9"/>
    <sheet name="H) Detalle Datos" sheetId="10" r:id="rId10"/>
    <sheet name="I) Proyección Mensual" sheetId="11" r:id="rId11"/>
  </sheets>
  <externalReferences>
    <externalReference r:id="rId12"/>
    <externalReference r:id="rId13"/>
    <externalReference r:id="rId14"/>
  </externalReferences>
  <definedNames>
    <definedName name="__xlnm_Print_Area">'A) Resumen Ingresos y Egresos'!$A$1:$N$32</definedName>
    <definedName name="__xlnm_Print_Area_1">'C) Costos Directos'!$A$1:$H$38</definedName>
    <definedName name="__xlnm_Print_Area_2" localSheetId="5">#REF!</definedName>
    <definedName name="__xlnm_Print_Area_2">'E) Resumen Tarifado '!$A$4:$G$11</definedName>
    <definedName name="__xlnm_Print_Titles">'A) Resumen Ingresos y Egresos'!$1:$25</definedName>
    <definedName name="__xlnm_Print_Titles_1">'C) Costos Directos'!$1:$11</definedName>
    <definedName name="__xlnm_Print_Titles_2">NA()</definedName>
    <definedName name="_xlnm.Print_Area" localSheetId="2">'A) Resumen Ingresos y Egresos'!$A$1:$N$32</definedName>
    <definedName name="_xlnm.Print_Area" localSheetId="4">'C) Costos Directos'!$A$1:$H$75</definedName>
    <definedName name="_xlnm.Print_Area" localSheetId="6">'E) Resumen Tarifado '!$A$4:$G$11</definedName>
    <definedName name="bienique1">'A) Resumen Ingresos y Egresos'!$A$8</definedName>
    <definedName name="Excel_BuiltIn_Print_Area" localSheetId="4">'C) Costos Directos'!$A$1:$H$38</definedName>
    <definedName name="Excel_BuiltIn_Print_Area_1_1">NA()</definedName>
    <definedName name="Excel_BuiltIn_Print_Area_4_1">NA()</definedName>
    <definedName name="Excel_BuiltIn_Print_Area_5_1">NA()</definedName>
    <definedName name="Excel_BuiltIn_Print_Titles_4">NA()</definedName>
    <definedName name="Excel_BuiltIn_Print_Titles_5">NA()</definedName>
    <definedName name="Print_Area_0" localSheetId="2">'A) Resumen Ingresos y Egresos'!$A$1:$N$32</definedName>
    <definedName name="Print_Area_0" localSheetId="4">'C) Costos Directos'!$A$1:$H$75</definedName>
    <definedName name="Print_Area_0" localSheetId="6">'E) Resumen Tarifado '!$A$4:$G$11</definedName>
    <definedName name="Print_Titles_0" localSheetId="2">'A) Resumen Ingresos y Egresos'!$1:$25</definedName>
    <definedName name="Print_Titles_0" localSheetId="4">'C) Costos Directos'!$1:$11</definedName>
    <definedName name="_xlnm.Print_Titles" localSheetId="2">'A) Resumen Ingresos y Egresos'!$1:$25</definedName>
    <definedName name="_xlnm.Print_Titles" localSheetId="4">'C) Costos Directos'!$1:$11</definedName>
  </definedNames>
  <calcPr calcId="18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K88" i="6" l="1"/>
  <c r="J88" i="6"/>
  <c r="J89" i="6"/>
  <c r="K89" i="6" s="1"/>
  <c r="K21" i="6"/>
  <c r="K22" i="6"/>
  <c r="K23" i="6"/>
  <c r="K24" i="6"/>
  <c r="K29" i="6"/>
  <c r="K30" i="6"/>
  <c r="K31" i="6"/>
  <c r="K32" i="6"/>
  <c r="K33" i="6"/>
  <c r="K34" i="6"/>
  <c r="K36" i="6"/>
  <c r="K37" i="6"/>
  <c r="K38" i="6"/>
  <c r="K39" i="6"/>
  <c r="K15" i="6"/>
  <c r="G127" i="8"/>
  <c r="H127" i="8" s="1"/>
  <c r="G126" i="8"/>
  <c r="G41" i="8"/>
  <c r="G17" i="8"/>
  <c r="G44" i="8"/>
  <c r="H44" i="8"/>
  <c r="J44" i="8"/>
  <c r="G21" i="8"/>
  <c r="H21" i="8" s="1"/>
  <c r="I21" i="8"/>
  <c r="I44" i="8" s="1"/>
  <c r="J21" i="8"/>
  <c r="J127" i="8"/>
  <c r="K119" i="8"/>
  <c r="AY49" i="10"/>
  <c r="AY50" i="10"/>
  <c r="BI51" i="10"/>
  <c r="F85" i="5"/>
  <c r="AE58" i="10"/>
  <c r="F19" i="5"/>
  <c r="F20" i="5"/>
  <c r="I41" i="6"/>
  <c r="H28" i="6"/>
  <c r="H25" i="6"/>
  <c r="H26" i="6" s="1"/>
  <c r="H27" i="6" s="1"/>
  <c r="K27" i="6" s="1"/>
  <c r="I20" i="6"/>
  <c r="I27" i="6" s="1"/>
  <c r="I16" i="6"/>
  <c r="I25" i="6" s="1"/>
  <c r="I15" i="6"/>
  <c r="H17" i="6"/>
  <c r="H20" i="6" s="1"/>
  <c r="K20" i="6" s="1"/>
  <c r="I26" i="6" l="1"/>
  <c r="K26" i="6" s="1"/>
  <c r="K25" i="6"/>
  <c r="H35" i="6"/>
  <c r="K16" i="6"/>
  <c r="K21" i="8"/>
  <c r="I42" i="6"/>
  <c r="I35" i="6"/>
  <c r="I40" i="6"/>
  <c r="I43" i="6"/>
  <c r="I28" i="6"/>
  <c r="K28" i="6" s="1"/>
  <c r="I17" i="6"/>
  <c r="I18" i="6" s="1"/>
  <c r="I19" i="6" s="1"/>
  <c r="H40" i="6"/>
  <c r="K40" i="6" s="1"/>
  <c r="D185" i="5"/>
  <c r="D167" i="5"/>
  <c r="K17" i="6" l="1"/>
  <c r="K35" i="6"/>
  <c r="L456" i="5"/>
  <c r="L421" i="5"/>
  <c r="L419" i="5"/>
  <c r="L446" i="5" l="1"/>
  <c r="L425" i="5"/>
  <c r="F413" i="5"/>
  <c r="E315" i="5"/>
  <c r="D305" i="5"/>
  <c r="F283" i="5"/>
  <c r="F281" i="5"/>
  <c r="F284" i="5" l="1"/>
  <c r="E159" i="5"/>
  <c r="R29" i="10"/>
  <c r="D159" i="5" s="1"/>
  <c r="E137" i="5"/>
  <c r="E63" i="5"/>
  <c r="E83" i="5"/>
  <c r="E71" i="5"/>
  <c r="L26" i="10"/>
  <c r="D20" i="5" s="1"/>
  <c r="E470" i="5" l="1"/>
  <c r="L415" i="5"/>
  <c r="L423" i="5"/>
  <c r="L439" i="5"/>
  <c r="L438" i="5"/>
  <c r="D8" i="10"/>
  <c r="D14" i="10"/>
  <c r="C14" i="10"/>
  <c r="B14" i="10"/>
  <c r="D32" i="10"/>
  <c r="C32" i="10"/>
  <c r="B32" i="10"/>
  <c r="I34" i="8" l="1"/>
  <c r="D437" i="5"/>
  <c r="F417" i="5"/>
  <c r="F416" i="5"/>
  <c r="E416" i="5"/>
  <c r="F415" i="5"/>
  <c r="E415" i="5"/>
  <c r="E417" i="5" s="1"/>
  <c r="O34" i="10"/>
  <c r="U21" i="10"/>
  <c r="D316" i="5" s="1"/>
  <c r="U18" i="10"/>
  <c r="D291" i="5" s="1"/>
  <c r="C8" i="10"/>
  <c r="B8" i="10"/>
  <c r="D118" i="5"/>
  <c r="E120" i="5"/>
  <c r="D101" i="5"/>
  <c r="D104" i="5"/>
  <c r="D119" i="5"/>
  <c r="D93" i="5"/>
  <c r="Q20" i="10"/>
  <c r="Q18" i="10"/>
  <c r="P25" i="10"/>
  <c r="M22" i="10"/>
  <c r="D27" i="5" s="1"/>
  <c r="BH52" i="10"/>
  <c r="D290" i="5"/>
  <c r="AN50" i="10"/>
  <c r="E51" i="5"/>
  <c r="E46" i="5"/>
  <c r="E43" i="5"/>
  <c r="E41" i="5"/>
  <c r="D41" i="5"/>
  <c r="E74" i="5"/>
  <c r="AE59" i="10"/>
  <c r="D26" i="5" s="1"/>
  <c r="BR49" i="10"/>
  <c r="BR48" i="10"/>
  <c r="BR47" i="10"/>
  <c r="BR46" i="10"/>
  <c r="BR45" i="10"/>
  <c r="BR44" i="10"/>
  <c r="BR43" i="10"/>
  <c r="BQ42" i="10"/>
  <c r="BR42" i="10" s="1"/>
  <c r="BR41" i="10"/>
  <c r="BR40" i="10"/>
  <c r="BR39" i="10"/>
  <c r="BR38" i="10"/>
  <c r="BR37" i="10"/>
  <c r="BR36" i="10"/>
  <c r="BR35" i="10"/>
  <c r="BR34" i="10"/>
  <c r="BR33" i="10"/>
  <c r="BR32" i="10"/>
  <c r="BR31" i="10"/>
  <c r="BR30" i="10"/>
  <c r="BR29" i="10"/>
  <c r="BR28" i="10"/>
  <c r="BR27" i="10"/>
  <c r="BR26" i="10"/>
  <c r="BR25" i="10"/>
  <c r="BR24" i="10"/>
  <c r="BR23" i="10"/>
  <c r="BR22" i="10"/>
  <c r="BR21" i="10"/>
  <c r="BR20" i="10"/>
  <c r="BR19" i="10"/>
  <c r="BR18" i="10"/>
  <c r="BR17" i="10"/>
  <c r="BR16" i="10"/>
  <c r="BR15" i="10"/>
  <c r="BR14" i="10"/>
  <c r="BR13" i="10"/>
  <c r="BR12" i="10"/>
  <c r="BR11" i="10"/>
  <c r="BR10" i="10"/>
  <c r="BR9" i="10"/>
  <c r="BR8" i="10"/>
  <c r="BH49" i="10"/>
  <c r="BH48" i="10"/>
  <c r="BH47" i="10"/>
  <c r="BH46" i="10"/>
  <c r="BH45" i="10"/>
  <c r="BH44" i="10"/>
  <c r="BH43" i="10"/>
  <c r="BG42" i="10"/>
  <c r="BH42" i="10" s="1"/>
  <c r="BH41" i="10"/>
  <c r="BH40" i="10"/>
  <c r="BH39" i="10"/>
  <c r="BH38" i="10"/>
  <c r="BH37" i="10"/>
  <c r="BH36" i="10"/>
  <c r="BH35" i="10"/>
  <c r="BH34" i="10"/>
  <c r="BH33" i="10"/>
  <c r="BH32" i="10"/>
  <c r="BH31" i="10"/>
  <c r="BH30" i="10"/>
  <c r="BH29" i="10"/>
  <c r="BH28" i="10"/>
  <c r="BH27" i="10"/>
  <c r="BH26" i="10"/>
  <c r="BH25" i="10"/>
  <c r="BH24" i="10"/>
  <c r="BH23" i="10"/>
  <c r="BH22" i="10"/>
  <c r="BH21" i="10"/>
  <c r="BH20" i="10"/>
  <c r="BH19" i="10"/>
  <c r="BH18" i="10"/>
  <c r="BH17" i="10"/>
  <c r="BH16" i="10"/>
  <c r="BH15" i="10"/>
  <c r="BH14" i="10"/>
  <c r="BH13" i="10"/>
  <c r="BH12" i="10"/>
  <c r="BH11" i="10"/>
  <c r="BH10" i="10"/>
  <c r="BH9" i="10"/>
  <c r="BH8" i="10"/>
  <c r="AN48" i="10"/>
  <c r="AN47" i="10"/>
  <c r="AN46" i="10"/>
  <c r="AN45" i="10"/>
  <c r="AN44" i="10"/>
  <c r="AN43" i="10"/>
  <c r="AN42" i="10"/>
  <c r="AN41" i="10"/>
  <c r="AN40" i="10"/>
  <c r="AN39" i="10"/>
  <c r="AN38" i="10"/>
  <c r="AN37" i="10"/>
  <c r="AN34" i="10"/>
  <c r="AN33" i="10"/>
  <c r="AN32" i="10"/>
  <c r="AN31" i="10"/>
  <c r="AN30" i="10"/>
  <c r="AN29" i="10"/>
  <c r="AN28" i="10"/>
  <c r="AN27" i="10"/>
  <c r="AN26" i="10"/>
  <c r="AN25" i="10"/>
  <c r="AN24" i="10"/>
  <c r="AN23" i="10"/>
  <c r="AN22" i="10"/>
  <c r="AN21" i="10"/>
  <c r="AN20" i="10"/>
  <c r="AN19" i="10"/>
  <c r="AN18" i="10"/>
  <c r="AN17" i="10"/>
  <c r="AN16" i="10"/>
  <c r="AN15" i="10"/>
  <c r="AN14" i="10"/>
  <c r="AN13" i="10"/>
  <c r="AN12" i="10"/>
  <c r="AN11" i="10"/>
  <c r="AN10" i="10"/>
  <c r="AN9" i="10"/>
  <c r="AN8" i="10"/>
  <c r="AO49" i="10" s="1"/>
  <c r="BS51" i="10" l="1"/>
  <c r="BS52" i="10" s="1"/>
  <c r="D158" i="5" s="1"/>
  <c r="AO50" i="10"/>
  <c r="D92" i="5" s="1"/>
  <c r="H18" i="6" l="1"/>
  <c r="K18" i="6" s="1"/>
  <c r="H19" i="6"/>
  <c r="F481" i="5"/>
  <c r="J125" i="8"/>
  <c r="J126" i="8"/>
  <c r="J124" i="8"/>
  <c r="G125" i="8"/>
  <c r="G124" i="8"/>
  <c r="G123" i="8"/>
  <c r="J121" i="8"/>
  <c r="J120" i="8"/>
  <c r="J118" i="8"/>
  <c r="J117" i="8"/>
  <c r="I121" i="8"/>
  <c r="I120" i="8"/>
  <c r="G120" i="8"/>
  <c r="G121" i="8"/>
  <c r="I118" i="8"/>
  <c r="G118" i="8"/>
  <c r="I117" i="8"/>
  <c r="G117" i="8"/>
  <c r="G113" i="8"/>
  <c r="G112" i="8"/>
  <c r="G111" i="8"/>
  <c r="J123" i="8"/>
  <c r="I123" i="8"/>
  <c r="G110" i="8"/>
  <c r="G109" i="8"/>
  <c r="G108" i="8"/>
  <c r="G116" i="8" s="1"/>
  <c r="J108" i="8"/>
  <c r="J109" i="8"/>
  <c r="J110" i="8"/>
  <c r="J111" i="8"/>
  <c r="J112" i="8"/>
  <c r="J113" i="8"/>
  <c r="J114" i="8"/>
  <c r="J115" i="8"/>
  <c r="J116" i="8"/>
  <c r="I108" i="8"/>
  <c r="I126" i="8" s="1"/>
  <c r="I109" i="8"/>
  <c r="I127" i="8" s="1"/>
  <c r="K127" i="8" s="1"/>
  <c r="I110" i="8"/>
  <c r="I111" i="8"/>
  <c r="I112" i="8"/>
  <c r="I113" i="8"/>
  <c r="I114" i="8"/>
  <c r="I115" i="8"/>
  <c r="I116" i="8"/>
  <c r="J107" i="8"/>
  <c r="I107" i="8"/>
  <c r="I125" i="8" s="1"/>
  <c r="G107" i="8"/>
  <c r="G114" i="8" s="1"/>
  <c r="G77" i="8"/>
  <c r="I28" i="8"/>
  <c r="I27" i="8"/>
  <c r="G27" i="8"/>
  <c r="G28" i="8" s="1"/>
  <c r="J36" i="8"/>
  <c r="J37" i="8"/>
  <c r="J38" i="8"/>
  <c r="J39" i="8"/>
  <c r="J40" i="8"/>
  <c r="J41" i="8"/>
  <c r="J42" i="8"/>
  <c r="J43" i="8"/>
  <c r="J34" i="8"/>
  <c r="J51" i="8"/>
  <c r="J50" i="8"/>
  <c r="J49" i="8"/>
  <c r="J48" i="8"/>
  <c r="J46" i="8"/>
  <c r="J47" i="8"/>
  <c r="J45" i="8"/>
  <c r="I50" i="8"/>
  <c r="I51" i="8" s="1"/>
  <c r="I77" i="8" s="1"/>
  <c r="G51" i="8"/>
  <c r="G50" i="8"/>
  <c r="G48" i="8"/>
  <c r="G49" i="8"/>
  <c r="G46" i="8"/>
  <c r="G45" i="8"/>
  <c r="G43" i="8"/>
  <c r="G42" i="8"/>
  <c r="G40" i="8"/>
  <c r="G39" i="8"/>
  <c r="G38" i="8"/>
  <c r="G37" i="8"/>
  <c r="G36" i="8"/>
  <c r="G34" i="8"/>
  <c r="H41" i="6" l="1"/>
  <c r="K19" i="6"/>
  <c r="G115" i="8"/>
  <c r="L435" i="5"/>
  <c r="L429" i="5"/>
  <c r="L426" i="5"/>
  <c r="E305" i="5"/>
  <c r="E437" i="5" s="1"/>
  <c r="E503" i="5" s="1"/>
  <c r="E290" i="5"/>
  <c r="E288" i="5"/>
  <c r="H42" i="6" l="1"/>
  <c r="K41" i="6"/>
  <c r="G22" i="8"/>
  <c r="G26" i="8"/>
  <c r="G25" i="8"/>
  <c r="G23" i="8"/>
  <c r="H43" i="6" l="1"/>
  <c r="K43" i="6" s="1"/>
  <c r="K42" i="6"/>
  <c r="J28" i="8"/>
  <c r="J27" i="8"/>
  <c r="J26" i="8"/>
  <c r="J25" i="8"/>
  <c r="J23" i="8"/>
  <c r="J22" i="8"/>
  <c r="I22" i="8"/>
  <c r="I45" i="8" s="1"/>
  <c r="I23" i="8"/>
  <c r="I46" i="8" s="1"/>
  <c r="I47" i="8"/>
  <c r="I25" i="8"/>
  <c r="I48" i="8" s="1"/>
  <c r="I26" i="8"/>
  <c r="I49" i="8" s="1"/>
  <c r="J11" i="8"/>
  <c r="J29" i="8" s="1"/>
  <c r="J12" i="8"/>
  <c r="J13" i="8"/>
  <c r="J14" i="8"/>
  <c r="J15" i="8"/>
  <c r="J16" i="8"/>
  <c r="J17" i="8"/>
  <c r="J18" i="8"/>
  <c r="J19" i="8"/>
  <c r="J20" i="8"/>
  <c r="I12" i="8"/>
  <c r="I13" i="8"/>
  <c r="I36" i="8" s="1"/>
  <c r="I14" i="8"/>
  <c r="I37" i="8" s="1"/>
  <c r="I15" i="8"/>
  <c r="I38" i="8" s="1"/>
  <c r="I16" i="8"/>
  <c r="I39" i="8" s="1"/>
  <c r="I17" i="8"/>
  <c r="I40" i="8" s="1"/>
  <c r="I18" i="8"/>
  <c r="I41" i="8" s="1"/>
  <c r="I19" i="8"/>
  <c r="I42" i="8" s="1"/>
  <c r="I20" i="8"/>
  <c r="I43" i="8" s="1"/>
  <c r="I11" i="8"/>
  <c r="G19" i="8"/>
  <c r="G18" i="8"/>
  <c r="G20" i="8"/>
  <c r="G16" i="8"/>
  <c r="G15" i="8"/>
  <c r="G14" i="8"/>
  <c r="G13" i="8"/>
  <c r="G12" i="8"/>
  <c r="G11" i="8"/>
  <c r="G29" i="8"/>
  <c r="I29" i="8" l="1"/>
  <c r="J85" i="8"/>
  <c r="J84" i="8"/>
  <c r="J83" i="8"/>
  <c r="J79" i="8"/>
  <c r="J80" i="8"/>
  <c r="J81" i="8"/>
  <c r="J82" i="8"/>
  <c r="J78" i="8"/>
  <c r="J77" i="8"/>
  <c r="I78" i="8"/>
  <c r="I79" i="8"/>
  <c r="I80" i="8"/>
  <c r="I81" i="8"/>
  <c r="I82" i="8"/>
  <c r="I83" i="8"/>
  <c r="I84" i="8"/>
  <c r="I85" i="8"/>
  <c r="G81" i="8"/>
  <c r="G84" i="8"/>
  <c r="G83" i="8"/>
  <c r="J122" i="8" l="1"/>
  <c r="I122" i="8"/>
  <c r="G122" i="8"/>
  <c r="I133" i="8"/>
  <c r="I124" i="8" s="1"/>
  <c r="J133" i="8"/>
  <c r="J134" i="8"/>
  <c r="J135" i="8"/>
  <c r="J136" i="8"/>
  <c r="J137" i="8"/>
  <c r="J132" i="8"/>
  <c r="I134" i="8"/>
  <c r="I132" i="8" s="1"/>
  <c r="I135" i="8"/>
  <c r="I136" i="8"/>
  <c r="I137" i="8"/>
  <c r="G137" i="8"/>
  <c r="G136" i="8"/>
  <c r="G135" i="8"/>
  <c r="G134" i="8"/>
  <c r="G133" i="8"/>
  <c r="G132" i="8"/>
  <c r="C23" i="10" l="1"/>
  <c r="S14" i="10" l="1"/>
  <c r="R14" i="10"/>
  <c r="Q14" i="10" l="1"/>
  <c r="P14" i="10"/>
  <c r="O14" i="10"/>
  <c r="N14" i="10"/>
  <c r="T13" i="10"/>
  <c r="T12" i="10"/>
  <c r="T11" i="10"/>
  <c r="A27" i="10" s="1"/>
  <c r="T10" i="10"/>
  <c r="T9" i="10"/>
  <c r="T8" i="10"/>
  <c r="H17" i="10"/>
  <c r="H11" i="10"/>
  <c r="H35" i="10"/>
  <c r="H29" i="10"/>
  <c r="H23" i="10"/>
  <c r="H7" i="10"/>
  <c r="D20" i="10"/>
  <c r="D23" i="10" s="1"/>
  <c r="G16" i="10"/>
  <c r="G17" i="10" s="1"/>
  <c r="D34" i="10"/>
  <c r="C34" i="10"/>
  <c r="B34" i="10"/>
  <c r="F22" i="10"/>
  <c r="F28" i="10" s="1"/>
  <c r="F29" i="10" s="1"/>
  <c r="B20" i="10"/>
  <c r="B23" i="10" s="1"/>
  <c r="D26" i="10"/>
  <c r="D29" i="10" s="1"/>
  <c r="C26" i="10"/>
  <c r="C29" i="10" s="1"/>
  <c r="B26" i="10"/>
  <c r="B29" i="10" s="1"/>
  <c r="D17" i="10"/>
  <c r="C17" i="10"/>
  <c r="B17" i="10"/>
  <c r="G11" i="10"/>
  <c r="D11" i="10"/>
  <c r="C11" i="10"/>
  <c r="B11" i="10"/>
  <c r="E195" i="5"/>
  <c r="E206" i="5"/>
  <c r="E191" i="5"/>
  <c r="E192" i="5"/>
  <c r="D184" i="5"/>
  <c r="E181" i="5"/>
  <c r="D180" i="5"/>
  <c r="E174" i="5"/>
  <c r="E173" i="5"/>
  <c r="D170" i="5"/>
  <c r="E169" i="5"/>
  <c r="E178" i="5"/>
  <c r="D162" i="5"/>
  <c r="D161" i="5"/>
  <c r="D160" i="5"/>
  <c r="A33" i="10" l="1"/>
  <c r="F23" i="10"/>
  <c r="G22" i="10"/>
  <c r="G23" i="10" s="1"/>
  <c r="I23" i="10" s="1"/>
  <c r="F16" i="10"/>
  <c r="F10" i="10" s="1"/>
  <c r="F11" i="10" s="1"/>
  <c r="I11" i="10" s="1"/>
  <c r="C35" i="10"/>
  <c r="T14" i="10"/>
  <c r="F34" i="10"/>
  <c r="F35" i="10" s="1"/>
  <c r="G34" i="10"/>
  <c r="G35" i="10" s="1"/>
  <c r="F17" i="10"/>
  <c r="I17" i="10" s="1"/>
  <c r="D35" i="10"/>
  <c r="B35" i="10"/>
  <c r="E23" i="10"/>
  <c r="E11" i="10"/>
  <c r="D117" i="5" s="1"/>
  <c r="E29" i="10"/>
  <c r="E17" i="10"/>
  <c r="D51" i="5" l="1"/>
  <c r="D183" i="5"/>
  <c r="G28" i="10"/>
  <c r="G29" i="10" s="1"/>
  <c r="I29" i="10" s="1"/>
  <c r="I35" i="10"/>
  <c r="D315" i="5"/>
  <c r="E35" i="10"/>
  <c r="F153" i="5"/>
  <c r="F151" i="5"/>
  <c r="E151" i="5"/>
  <c r="E153" i="5" s="1"/>
  <c r="F149" i="5"/>
  <c r="E149" i="5"/>
  <c r="G58" i="8"/>
  <c r="J58" i="8"/>
  <c r="I58" i="8"/>
  <c r="L437" i="5" l="1"/>
  <c r="E140" i="5"/>
  <c r="E129" i="5"/>
  <c r="E126" i="5"/>
  <c r="E60" i="5" s="1"/>
  <c r="E117" i="5"/>
  <c r="E115" i="5"/>
  <c r="E49" i="5" s="1"/>
  <c r="E108" i="5"/>
  <c r="E42" i="5" s="1"/>
  <c r="E107" i="5"/>
  <c r="D107" i="5"/>
  <c r="E103" i="5"/>
  <c r="E37" i="5"/>
  <c r="E97" i="5"/>
  <c r="E163" i="5" s="1"/>
  <c r="E91" i="5" l="1"/>
  <c r="E88" i="5" l="1"/>
  <c r="F87" i="5"/>
  <c r="F86" i="5"/>
  <c r="E85" i="5"/>
  <c r="E31" i="5" l="1"/>
  <c r="E25" i="5" l="1"/>
  <c r="E157" i="5" s="1"/>
  <c r="F17" i="5"/>
  <c r="E17" i="5"/>
  <c r="E413" i="5" s="1"/>
  <c r="F21" i="5"/>
  <c r="E21" i="5"/>
  <c r="E87" i="5" s="1"/>
  <c r="E20" i="5"/>
  <c r="E86" i="5" s="1"/>
  <c r="L413" i="5" l="1"/>
  <c r="G85" i="8" l="1"/>
  <c r="G82" i="8"/>
  <c r="G80" i="8"/>
  <c r="G79" i="8"/>
  <c r="G78" i="8"/>
  <c r="E323" i="5"/>
  <c r="E324" i="5"/>
  <c r="E335" i="5"/>
  <c r="E313" i="5"/>
  <c r="E338" i="5"/>
  <c r="E306" i="5"/>
  <c r="E438" i="5" s="1"/>
  <c r="E301" i="5"/>
  <c r="D294" i="5" l="1"/>
  <c r="D293" i="5"/>
  <c r="D292" i="5"/>
  <c r="E289" i="5"/>
  <c r="E281" i="5"/>
  <c r="F285" i="5"/>
  <c r="E285" i="5"/>
  <c r="E284" i="5"/>
  <c r="J15" i="6" l="1"/>
  <c r="N15" i="6" s="1"/>
  <c r="Q26" i="9"/>
  <c r="J21" i="6"/>
  <c r="J22" i="6"/>
  <c r="J23" i="6"/>
  <c r="J24" i="6"/>
  <c r="J29" i="6"/>
  <c r="J30" i="6"/>
  <c r="J31" i="6"/>
  <c r="J32" i="6"/>
  <c r="J33" i="6"/>
  <c r="J34" i="6"/>
  <c r="J36" i="6"/>
  <c r="J37" i="6"/>
  <c r="J38" i="6"/>
  <c r="J39" i="6"/>
  <c r="J46" i="6"/>
  <c r="K46" i="6" s="1"/>
  <c r="J47" i="6"/>
  <c r="K47" i="6" s="1"/>
  <c r="J48" i="6"/>
  <c r="K48" i="6" s="1"/>
  <c r="J49" i="6"/>
  <c r="K49" i="6" s="1"/>
  <c r="J50" i="6"/>
  <c r="K50" i="6" s="1"/>
  <c r="J51" i="6"/>
  <c r="K51" i="6" s="1"/>
  <c r="J52" i="6"/>
  <c r="K52" i="6" s="1"/>
  <c r="J53" i="6"/>
  <c r="K53" i="6" s="1"/>
  <c r="J54" i="6"/>
  <c r="K54" i="6" s="1"/>
  <c r="J55" i="6"/>
  <c r="K55" i="6" s="1"/>
  <c r="J56" i="6"/>
  <c r="K56" i="6" s="1"/>
  <c r="J57" i="6"/>
  <c r="K57" i="6" s="1"/>
  <c r="J58" i="6"/>
  <c r="K58" i="6" s="1"/>
  <c r="J59" i="6"/>
  <c r="K59" i="6" s="1"/>
  <c r="J60" i="6"/>
  <c r="K60" i="6" s="1"/>
  <c r="J61" i="6"/>
  <c r="K61" i="6" s="1"/>
  <c r="R14" i="7" l="1"/>
  <c r="H14" i="7"/>
  <c r="I14" i="7"/>
  <c r="J14" i="7"/>
  <c r="K14" i="7"/>
  <c r="L14" i="7"/>
  <c r="W78" i="6"/>
  <c r="H107" i="8"/>
  <c r="H108" i="8"/>
  <c r="H109" i="8"/>
  <c r="H110" i="8"/>
  <c r="H111" i="8"/>
  <c r="H112" i="8"/>
  <c r="H113" i="8"/>
  <c r="H114" i="8"/>
  <c r="H115" i="8"/>
  <c r="H116" i="8"/>
  <c r="H117" i="8"/>
  <c r="H118" i="8"/>
  <c r="H120" i="8"/>
  <c r="H121" i="8"/>
  <c r="H122" i="8"/>
  <c r="H123" i="8"/>
  <c r="H124" i="8"/>
  <c r="H125" i="8"/>
  <c r="H126" i="8"/>
  <c r="H78" i="8"/>
  <c r="H79" i="8"/>
  <c r="H80" i="8"/>
  <c r="H81" i="8"/>
  <c r="H82" i="8"/>
  <c r="H83" i="8"/>
  <c r="H84" i="8"/>
  <c r="H85" i="8"/>
  <c r="H86" i="8"/>
  <c r="H87" i="8"/>
  <c r="H88" i="8"/>
  <c r="H89" i="8"/>
  <c r="H90" i="8"/>
  <c r="H91" i="8"/>
  <c r="H77" i="8"/>
  <c r="H62" i="8"/>
  <c r="H35" i="8"/>
  <c r="H36" i="8"/>
  <c r="H37" i="8"/>
  <c r="H38" i="8"/>
  <c r="H39" i="8"/>
  <c r="K39" i="8" s="1"/>
  <c r="H40" i="8"/>
  <c r="K40" i="8" s="1"/>
  <c r="H41" i="8"/>
  <c r="H42" i="8"/>
  <c r="H43" i="8"/>
  <c r="H45" i="8"/>
  <c r="H46" i="8"/>
  <c r="K47" i="8"/>
  <c r="H48" i="8"/>
  <c r="K48" i="8" s="1"/>
  <c r="H49" i="8"/>
  <c r="K49" i="8" s="1"/>
  <c r="H50" i="8"/>
  <c r="K50" i="8" s="1"/>
  <c r="H51" i="8"/>
  <c r="K51" i="8" s="1"/>
  <c r="H52" i="8"/>
  <c r="K52" i="8" s="1"/>
  <c r="H53" i="8"/>
  <c r="K53" i="8" s="1"/>
  <c r="H54" i="8"/>
  <c r="K54" i="8" s="1"/>
  <c r="H55" i="8"/>
  <c r="K55" i="8" s="1"/>
  <c r="H56" i="8"/>
  <c r="H57" i="8"/>
  <c r="H58" i="8"/>
  <c r="H59" i="8"/>
  <c r="H60" i="8"/>
  <c r="H61" i="8"/>
  <c r="H12" i="8"/>
  <c r="H13" i="8"/>
  <c r="H14" i="8"/>
  <c r="H15" i="8"/>
  <c r="K15" i="8" s="1"/>
  <c r="H16" i="8"/>
  <c r="K16" i="8" s="1"/>
  <c r="H17" i="8"/>
  <c r="K17" i="8" s="1"/>
  <c r="H18" i="8"/>
  <c r="K18" i="8" s="1"/>
  <c r="H19" i="8"/>
  <c r="K19" i="8" s="1"/>
  <c r="H20" i="8"/>
  <c r="K20" i="8" s="1"/>
  <c r="H22" i="8"/>
  <c r="K22" i="8" s="1"/>
  <c r="H23" i="8"/>
  <c r="K23" i="8" s="1"/>
  <c r="K24" i="8"/>
  <c r="H25" i="8"/>
  <c r="K25" i="8" s="1"/>
  <c r="H26" i="8"/>
  <c r="K26" i="8" s="1"/>
  <c r="H27" i="8"/>
  <c r="K27" i="8" s="1"/>
  <c r="H28" i="8"/>
  <c r="K28" i="8" s="1"/>
  <c r="H29" i="8"/>
  <c r="K29" i="8" s="1"/>
  <c r="H30" i="8"/>
  <c r="K30" i="8" s="1"/>
  <c r="H31" i="8"/>
  <c r="H32" i="8"/>
  <c r="H33" i="8"/>
  <c r="D27" i="4"/>
  <c r="E27" i="4"/>
  <c r="F27" i="4"/>
  <c r="G27" i="4"/>
  <c r="C27" i="4"/>
  <c r="D25" i="4"/>
  <c r="E25" i="4"/>
  <c r="F25" i="4"/>
  <c r="G25" i="4"/>
  <c r="C25" i="4"/>
  <c r="D15" i="4"/>
  <c r="E15" i="4"/>
  <c r="F15" i="4"/>
  <c r="G15" i="4"/>
  <c r="C15" i="4"/>
  <c r="D14" i="4"/>
  <c r="E14" i="4"/>
  <c r="F14" i="4"/>
  <c r="G14" i="4"/>
  <c r="C14" i="4"/>
  <c r="N457" i="5" l="1"/>
  <c r="N453" i="5"/>
  <c r="N449" i="5"/>
  <c r="N438" i="5"/>
  <c r="D514" i="5" s="1"/>
  <c r="M430" i="5"/>
  <c r="N437" i="5"/>
  <c r="K32" i="8" l="1"/>
  <c r="K31" i="8"/>
  <c r="J37" i="3" l="1"/>
  <c r="K37" i="3"/>
  <c r="L37" i="3"/>
  <c r="M37" i="3"/>
  <c r="K41" i="3"/>
  <c r="F41" i="3" s="1"/>
  <c r="L41" i="3"/>
  <c r="G41" i="3" s="1"/>
  <c r="M41" i="3"/>
  <c r="H41" i="3" s="1"/>
  <c r="J41" i="3"/>
  <c r="E41" i="3" s="1"/>
  <c r="I41" i="3"/>
  <c r="D41" i="3" s="1"/>
  <c r="I37" i="3"/>
  <c r="M16" i="4"/>
  <c r="I46" i="3"/>
  <c r="I49" i="3"/>
  <c r="C14" i="7" l="1"/>
  <c r="M14" i="7" s="1"/>
  <c r="C20" i="9"/>
  <c r="H20" i="9" s="1"/>
  <c r="K112" i="8"/>
  <c r="J60" i="11"/>
  <c r="B60" i="11"/>
  <c r="M55" i="11"/>
  <c r="L55" i="11"/>
  <c r="K55" i="11"/>
  <c r="J55" i="11"/>
  <c r="I55" i="11"/>
  <c r="H55" i="11"/>
  <c r="G55" i="11"/>
  <c r="F55" i="11"/>
  <c r="E55" i="11"/>
  <c r="D55" i="11"/>
  <c r="C55" i="11"/>
  <c r="B55" i="11"/>
  <c r="J48" i="11"/>
  <c r="B48" i="11"/>
  <c r="M42" i="11"/>
  <c r="L42" i="11"/>
  <c r="K42" i="11"/>
  <c r="J42" i="11"/>
  <c r="I42" i="11"/>
  <c r="H42" i="11"/>
  <c r="G42" i="11"/>
  <c r="F42" i="11"/>
  <c r="E42" i="11"/>
  <c r="D42" i="11"/>
  <c r="C42" i="11"/>
  <c r="B42" i="11"/>
  <c r="J35" i="11"/>
  <c r="B35" i="11"/>
  <c r="M30" i="11"/>
  <c r="L30" i="11"/>
  <c r="K30" i="11"/>
  <c r="J30" i="11"/>
  <c r="I30" i="11"/>
  <c r="H30" i="11"/>
  <c r="G30" i="11"/>
  <c r="F30" i="11"/>
  <c r="E30" i="11"/>
  <c r="D30" i="11"/>
  <c r="C30" i="11"/>
  <c r="B30" i="11"/>
  <c r="J23" i="11"/>
  <c r="B23" i="11"/>
  <c r="M18" i="11"/>
  <c r="L18" i="11"/>
  <c r="K18" i="11"/>
  <c r="J18" i="11"/>
  <c r="I18" i="11"/>
  <c r="H18" i="11"/>
  <c r="G18" i="11"/>
  <c r="F18" i="11"/>
  <c r="E18" i="11"/>
  <c r="D18" i="11"/>
  <c r="C18" i="11"/>
  <c r="B18" i="11"/>
  <c r="J11" i="11"/>
  <c r="B11" i="11"/>
  <c r="M6" i="11"/>
  <c r="L6" i="11"/>
  <c r="K6" i="11"/>
  <c r="J6" i="11"/>
  <c r="I6" i="11"/>
  <c r="H6" i="11"/>
  <c r="G6" i="11"/>
  <c r="F6" i="11"/>
  <c r="E6" i="11"/>
  <c r="D6" i="11"/>
  <c r="C6" i="11"/>
  <c r="B6" i="11"/>
  <c r="J4" i="10"/>
  <c r="Q31" i="9"/>
  <c r="B31" i="9"/>
  <c r="Q30" i="9"/>
  <c r="B30" i="9"/>
  <c r="Q29" i="9"/>
  <c r="B29" i="9"/>
  <c r="A29" i="9"/>
  <c r="Q28" i="9"/>
  <c r="B28" i="9"/>
  <c r="B27" i="9"/>
  <c r="B26" i="9"/>
  <c r="A26" i="9"/>
  <c r="B22" i="9"/>
  <c r="B21" i="9"/>
  <c r="A21" i="9"/>
  <c r="B20" i="9"/>
  <c r="A20" i="9"/>
  <c r="Q19" i="9"/>
  <c r="B19" i="9"/>
  <c r="Q18" i="9"/>
  <c r="B18" i="9"/>
  <c r="A18" i="9"/>
  <c r="Q17" i="9"/>
  <c r="B17" i="9"/>
  <c r="Q16" i="9"/>
  <c r="B16" i="9"/>
  <c r="A16" i="9"/>
  <c r="D4" i="9"/>
  <c r="H146" i="8"/>
  <c r="K146" i="8" s="1"/>
  <c r="H145" i="8"/>
  <c r="K145" i="8" s="1"/>
  <c r="H144" i="8"/>
  <c r="K144" i="8" s="1"/>
  <c r="H143" i="8"/>
  <c r="K143" i="8" s="1"/>
  <c r="H142" i="8"/>
  <c r="K142" i="8" s="1"/>
  <c r="H141" i="8"/>
  <c r="K141" i="8" s="1"/>
  <c r="H140" i="8"/>
  <c r="K140" i="8" s="1"/>
  <c r="H139" i="8"/>
  <c r="K139" i="8" s="1"/>
  <c r="H138" i="8"/>
  <c r="K138" i="8" s="1"/>
  <c r="H137" i="8"/>
  <c r="K137" i="8" s="1"/>
  <c r="H136" i="8"/>
  <c r="K136" i="8" s="1"/>
  <c r="H135" i="8"/>
  <c r="K135" i="8" s="1"/>
  <c r="H134" i="8"/>
  <c r="K134" i="8" s="1"/>
  <c r="H133" i="8"/>
  <c r="K133" i="8" s="1"/>
  <c r="H132" i="8"/>
  <c r="B132" i="8"/>
  <c r="K126" i="8"/>
  <c r="K125" i="8"/>
  <c r="K124" i="8"/>
  <c r="K123" i="8"/>
  <c r="K122" i="8"/>
  <c r="K121" i="8"/>
  <c r="K120" i="8"/>
  <c r="K118" i="8"/>
  <c r="K117" i="8"/>
  <c r="K116" i="8"/>
  <c r="K115" i="8"/>
  <c r="K114" i="8"/>
  <c r="K113" i="8"/>
  <c r="K111" i="8"/>
  <c r="K110" i="8"/>
  <c r="K108" i="8"/>
  <c r="K107" i="8"/>
  <c r="B107" i="8"/>
  <c r="B92" i="8"/>
  <c r="K91" i="8"/>
  <c r="K90" i="8"/>
  <c r="K89" i="8"/>
  <c r="K88" i="8"/>
  <c r="K87" i="8"/>
  <c r="K86" i="8"/>
  <c r="K85" i="8"/>
  <c r="K84" i="8"/>
  <c r="K83" i="8"/>
  <c r="K82" i="8"/>
  <c r="K81" i="8"/>
  <c r="K80" i="8"/>
  <c r="K79" i="8"/>
  <c r="K78" i="8"/>
  <c r="K77" i="8"/>
  <c r="B77" i="8"/>
  <c r="B63" i="8"/>
  <c r="K62" i="8"/>
  <c r="K61" i="8"/>
  <c r="K60" i="8"/>
  <c r="K59" i="8"/>
  <c r="K58" i="8"/>
  <c r="L57" i="8" s="1"/>
  <c r="D146" i="5" s="1"/>
  <c r="K57" i="8"/>
  <c r="B57" i="8"/>
  <c r="K56" i="8"/>
  <c r="K46" i="8"/>
  <c r="K45" i="8"/>
  <c r="K44" i="8"/>
  <c r="K43" i="8"/>
  <c r="K42" i="8"/>
  <c r="K41" i="8"/>
  <c r="K38" i="8"/>
  <c r="K37" i="8"/>
  <c r="K36" i="8"/>
  <c r="K35" i="8"/>
  <c r="H34" i="8"/>
  <c r="B34" i="8"/>
  <c r="K33" i="8"/>
  <c r="K14" i="8"/>
  <c r="K13" i="8"/>
  <c r="K12" i="8"/>
  <c r="H11" i="8"/>
  <c r="B11" i="8"/>
  <c r="E4" i="8"/>
  <c r="R22" i="7"/>
  <c r="L22" i="7"/>
  <c r="K22" i="7"/>
  <c r="J22" i="7"/>
  <c r="I22" i="7"/>
  <c r="H22" i="7"/>
  <c r="B22" i="7"/>
  <c r="R21" i="7"/>
  <c r="H21" i="7"/>
  <c r="B21" i="7"/>
  <c r="R20" i="7"/>
  <c r="L20" i="7"/>
  <c r="K20" i="7"/>
  <c r="J20" i="7"/>
  <c r="I20" i="7"/>
  <c r="H20" i="7"/>
  <c r="B20" i="7"/>
  <c r="A20" i="7"/>
  <c r="R19" i="7"/>
  <c r="L19" i="7"/>
  <c r="K19" i="7"/>
  <c r="J19" i="7"/>
  <c r="I19" i="7"/>
  <c r="H19" i="7"/>
  <c r="B19" i="7"/>
  <c r="B18" i="7"/>
  <c r="R17" i="7"/>
  <c r="L17" i="7"/>
  <c r="K17" i="7"/>
  <c r="J17" i="7"/>
  <c r="I17" i="7"/>
  <c r="H17" i="7"/>
  <c r="B17" i="7"/>
  <c r="A17" i="7"/>
  <c r="B16" i="7"/>
  <c r="B15" i="7"/>
  <c r="A15" i="7"/>
  <c r="B14" i="7"/>
  <c r="A14" i="7"/>
  <c r="R13" i="7"/>
  <c r="L13" i="7"/>
  <c r="K13" i="7"/>
  <c r="J13" i="7"/>
  <c r="I13" i="7"/>
  <c r="H13" i="7"/>
  <c r="B13" i="7"/>
  <c r="R12" i="7"/>
  <c r="L12" i="7"/>
  <c r="K12" i="7"/>
  <c r="J12" i="7"/>
  <c r="I12" i="7"/>
  <c r="H12" i="7"/>
  <c r="B12" i="7"/>
  <c r="A12" i="7"/>
  <c r="R11" i="7"/>
  <c r="L11" i="7"/>
  <c r="K11" i="7"/>
  <c r="J11" i="7"/>
  <c r="I11" i="7"/>
  <c r="H11" i="7"/>
  <c r="B11" i="7"/>
  <c r="R10" i="7"/>
  <c r="L10" i="7"/>
  <c r="K10" i="7"/>
  <c r="J10" i="7"/>
  <c r="I10" i="7"/>
  <c r="H10" i="7"/>
  <c r="B10" i="7"/>
  <c r="A10" i="7"/>
  <c r="B9" i="7"/>
  <c r="A9" i="7"/>
  <c r="G4" i="7"/>
  <c r="J87" i="6"/>
  <c r="K87" i="6" s="1"/>
  <c r="J86" i="6"/>
  <c r="K86" i="6" s="1"/>
  <c r="G80" i="6"/>
  <c r="G79" i="6"/>
  <c r="G78" i="6"/>
  <c r="I76" i="6"/>
  <c r="H76" i="6" s="1"/>
  <c r="J76" i="6" s="1"/>
  <c r="K76" i="6" s="1"/>
  <c r="W70" i="6"/>
  <c r="I72" i="6"/>
  <c r="I71" i="6"/>
  <c r="J69" i="6"/>
  <c r="K69" i="6" s="1"/>
  <c r="J68" i="6"/>
  <c r="K68" i="6" s="1"/>
  <c r="W60" i="6"/>
  <c r="S61" i="6"/>
  <c r="R61" i="6"/>
  <c r="P61" i="6"/>
  <c r="N61" i="6"/>
  <c r="S60" i="6"/>
  <c r="R60" i="6"/>
  <c r="P60" i="6"/>
  <c r="N60" i="6"/>
  <c r="S59" i="6"/>
  <c r="R59" i="6"/>
  <c r="P59" i="6"/>
  <c r="N59" i="6"/>
  <c r="S58" i="6"/>
  <c r="R58" i="6"/>
  <c r="P58" i="6"/>
  <c r="N58" i="6"/>
  <c r="S57" i="6"/>
  <c r="R57" i="6"/>
  <c r="P57" i="6"/>
  <c r="N57" i="6"/>
  <c r="S56" i="6"/>
  <c r="R56" i="6"/>
  <c r="P56" i="6"/>
  <c r="N56" i="6"/>
  <c r="S55" i="6"/>
  <c r="R55" i="6"/>
  <c r="P55" i="6"/>
  <c r="N55" i="6"/>
  <c r="S54" i="6"/>
  <c r="R54" i="6"/>
  <c r="P54" i="6"/>
  <c r="N54" i="6"/>
  <c r="S53" i="6"/>
  <c r="R53" i="6"/>
  <c r="P53" i="6"/>
  <c r="N53" i="6"/>
  <c r="S52" i="6"/>
  <c r="R52" i="6"/>
  <c r="P52" i="6"/>
  <c r="N52" i="6"/>
  <c r="S51" i="6"/>
  <c r="R51" i="6"/>
  <c r="P51" i="6"/>
  <c r="N51" i="6"/>
  <c r="S50" i="6"/>
  <c r="R50" i="6"/>
  <c r="P50" i="6"/>
  <c r="N50" i="6"/>
  <c r="S49" i="6"/>
  <c r="R49" i="6"/>
  <c r="P49" i="6"/>
  <c r="N49" i="6"/>
  <c r="S48" i="6"/>
  <c r="R48" i="6"/>
  <c r="P48" i="6"/>
  <c r="N48" i="6"/>
  <c r="S47" i="6"/>
  <c r="R47" i="6"/>
  <c r="P47" i="6"/>
  <c r="N47" i="6"/>
  <c r="W46" i="6"/>
  <c r="S46" i="6"/>
  <c r="R46" i="6"/>
  <c r="P46" i="6"/>
  <c r="N46" i="6"/>
  <c r="S45" i="6"/>
  <c r="S44" i="6"/>
  <c r="S43" i="6"/>
  <c r="S42" i="6"/>
  <c r="W41" i="6"/>
  <c r="S41" i="6"/>
  <c r="J41" i="6"/>
  <c r="S40" i="6"/>
  <c r="S39" i="6"/>
  <c r="R39" i="6"/>
  <c r="P39" i="6"/>
  <c r="N39" i="6"/>
  <c r="S38" i="6"/>
  <c r="R38" i="6"/>
  <c r="P38" i="6"/>
  <c r="N38" i="6"/>
  <c r="S37" i="6"/>
  <c r="R37" i="6"/>
  <c r="P37" i="6"/>
  <c r="N37" i="6"/>
  <c r="S36" i="6"/>
  <c r="R36" i="6"/>
  <c r="P36" i="6"/>
  <c r="N36" i="6"/>
  <c r="S35" i="6"/>
  <c r="S34" i="6"/>
  <c r="R34" i="6"/>
  <c r="P34" i="6"/>
  <c r="N34" i="6"/>
  <c r="S33" i="6"/>
  <c r="R33" i="6"/>
  <c r="P33" i="6"/>
  <c r="N33" i="6"/>
  <c r="S32" i="6"/>
  <c r="R32" i="6"/>
  <c r="P32" i="6"/>
  <c r="N32" i="6"/>
  <c r="S31" i="6"/>
  <c r="R31" i="6"/>
  <c r="P31" i="6"/>
  <c r="N31" i="6"/>
  <c r="S30" i="6"/>
  <c r="R30" i="6"/>
  <c r="P30" i="6"/>
  <c r="N30" i="6"/>
  <c r="S29" i="6"/>
  <c r="R29" i="6"/>
  <c r="P29" i="6"/>
  <c r="N29" i="6"/>
  <c r="S28" i="6"/>
  <c r="S27" i="6"/>
  <c r="S26" i="6"/>
  <c r="S25" i="6"/>
  <c r="S24" i="6"/>
  <c r="S23" i="6"/>
  <c r="S22" i="6"/>
  <c r="S21" i="6"/>
  <c r="W20" i="6"/>
  <c r="S20" i="6"/>
  <c r="S19" i="6"/>
  <c r="S18" i="6"/>
  <c r="J18" i="6"/>
  <c r="S17" i="6"/>
  <c r="J17" i="6"/>
  <c r="W16" i="6"/>
  <c r="S16" i="6"/>
  <c r="S15" i="6"/>
  <c r="E4" i="6"/>
  <c r="D535" i="5"/>
  <c r="G534" i="5"/>
  <c r="G533" i="5"/>
  <c r="G532" i="5"/>
  <c r="G531" i="5"/>
  <c r="G530" i="5"/>
  <c r="G529" i="5"/>
  <c r="G528" i="5"/>
  <c r="G526" i="5"/>
  <c r="G525" i="5"/>
  <c r="G524" i="5"/>
  <c r="G523" i="5"/>
  <c r="H523" i="5" s="1"/>
  <c r="G522" i="5"/>
  <c r="G521" i="5"/>
  <c r="G520" i="5"/>
  <c r="G519" i="5"/>
  <c r="G517" i="5"/>
  <c r="G516" i="5"/>
  <c r="G515" i="5"/>
  <c r="G514" i="5"/>
  <c r="G513" i="5"/>
  <c r="G512" i="5"/>
  <c r="G511" i="5"/>
  <c r="G510" i="5"/>
  <c r="G508" i="5"/>
  <c r="G507" i="5" s="1"/>
  <c r="G506" i="5"/>
  <c r="G505" i="5"/>
  <c r="G504" i="5"/>
  <c r="H504" i="5" s="1"/>
  <c r="G503" i="5"/>
  <c r="H503" i="5" s="1"/>
  <c r="G500" i="5"/>
  <c r="G499" i="5"/>
  <c r="G498" i="5"/>
  <c r="G497" i="5"/>
  <c r="G496" i="5"/>
  <c r="G495" i="5"/>
  <c r="G494" i="5"/>
  <c r="G493" i="5"/>
  <c r="G492" i="5"/>
  <c r="G491" i="5"/>
  <c r="G490" i="5"/>
  <c r="G489" i="5"/>
  <c r="G488" i="5"/>
  <c r="G487" i="5"/>
  <c r="G486" i="5"/>
  <c r="G485" i="5"/>
  <c r="G484" i="5"/>
  <c r="G483" i="5"/>
  <c r="H483" i="5" s="1"/>
  <c r="G482" i="5"/>
  <c r="H482" i="5" s="1"/>
  <c r="G481" i="5"/>
  <c r="H481" i="5" s="1"/>
  <c r="G479" i="5"/>
  <c r="H479" i="5" s="1"/>
  <c r="G478" i="5"/>
  <c r="G477" i="5"/>
  <c r="H477" i="5" s="1"/>
  <c r="G476" i="5"/>
  <c r="D469" i="5"/>
  <c r="G468" i="5"/>
  <c r="G467" i="5"/>
  <c r="G466" i="5"/>
  <c r="G465" i="5"/>
  <c r="G464" i="5"/>
  <c r="G463" i="5"/>
  <c r="G462" i="5"/>
  <c r="G460" i="5"/>
  <c r="G459" i="5"/>
  <c r="G458" i="5"/>
  <c r="M457" i="5"/>
  <c r="D534" i="5" s="1"/>
  <c r="G456" i="5"/>
  <c r="M455" i="5"/>
  <c r="D466" i="5" s="1"/>
  <c r="H466" i="5" s="1"/>
  <c r="G455" i="5"/>
  <c r="M454" i="5"/>
  <c r="G454" i="5"/>
  <c r="M453" i="5"/>
  <c r="G453" i="5"/>
  <c r="M452" i="5"/>
  <c r="D463" i="5" s="1"/>
  <c r="M451" i="5"/>
  <c r="D462" i="5" s="1"/>
  <c r="G451" i="5"/>
  <c r="G450" i="5"/>
  <c r="M449" i="5"/>
  <c r="D460" i="5" s="1"/>
  <c r="G449" i="5"/>
  <c r="M448" i="5"/>
  <c r="G448" i="5"/>
  <c r="G447" i="5"/>
  <c r="G446" i="5"/>
  <c r="M445" i="5"/>
  <c r="G445" i="5"/>
  <c r="G444" i="5"/>
  <c r="M443" i="5"/>
  <c r="N443" i="5" s="1"/>
  <c r="D519" i="5" s="1"/>
  <c r="G442" i="5"/>
  <c r="G441" i="5" s="1"/>
  <c r="M440" i="5"/>
  <c r="D450" i="5" s="1"/>
  <c r="G440" i="5"/>
  <c r="M439" i="5"/>
  <c r="D449" i="5" s="1"/>
  <c r="G439" i="5"/>
  <c r="M438" i="5"/>
  <c r="G438" i="5"/>
  <c r="H438" i="5" s="1"/>
  <c r="G437" i="5"/>
  <c r="M434" i="5"/>
  <c r="G434" i="5"/>
  <c r="G433" i="5"/>
  <c r="M432" i="5"/>
  <c r="G432" i="5"/>
  <c r="G431" i="5"/>
  <c r="D440" i="5"/>
  <c r="G430" i="5"/>
  <c r="G429" i="5"/>
  <c r="G428" i="5"/>
  <c r="G427" i="5"/>
  <c r="N426" i="5"/>
  <c r="D500" i="5" s="1"/>
  <c r="M426" i="5"/>
  <c r="D434" i="5" s="1"/>
  <c r="G426" i="5"/>
  <c r="N425" i="5"/>
  <c r="D499" i="5" s="1"/>
  <c r="H499" i="5" s="1"/>
  <c r="G425" i="5"/>
  <c r="N424" i="5"/>
  <c r="D498" i="5" s="1"/>
  <c r="M424" i="5"/>
  <c r="D432" i="5" s="1"/>
  <c r="G424" i="5"/>
  <c r="N423" i="5"/>
  <c r="D497" i="5" s="1"/>
  <c r="H497" i="5" s="1"/>
  <c r="M423" i="5"/>
  <c r="D431" i="5" s="1"/>
  <c r="G423" i="5"/>
  <c r="N422" i="5"/>
  <c r="D496" i="5" s="1"/>
  <c r="M422" i="5"/>
  <c r="D430" i="5" s="1"/>
  <c r="G422" i="5"/>
  <c r="G421" i="5"/>
  <c r="N420" i="5"/>
  <c r="D494" i="5" s="1"/>
  <c r="M420" i="5"/>
  <c r="D428" i="5" s="1"/>
  <c r="G420" i="5"/>
  <c r="N419" i="5"/>
  <c r="D493" i="5" s="1"/>
  <c r="M419" i="5"/>
  <c r="D427" i="5" s="1"/>
  <c r="G419" i="5"/>
  <c r="N418" i="5"/>
  <c r="D492" i="5" s="1"/>
  <c r="M418" i="5"/>
  <c r="D426" i="5" s="1"/>
  <c r="G418" i="5"/>
  <c r="N417" i="5"/>
  <c r="D491" i="5" s="1"/>
  <c r="M417" i="5"/>
  <c r="D425" i="5" s="1"/>
  <c r="G417" i="5"/>
  <c r="H417" i="5" s="1"/>
  <c r="N416" i="5"/>
  <c r="D490" i="5" s="1"/>
  <c r="M416" i="5"/>
  <c r="D424" i="5" s="1"/>
  <c r="G416" i="5"/>
  <c r="H416" i="5" s="1"/>
  <c r="N415" i="5"/>
  <c r="D489" i="5" s="1"/>
  <c r="M415" i="5"/>
  <c r="D423" i="5" s="1"/>
  <c r="G415" i="5"/>
  <c r="G413" i="5"/>
  <c r="H413" i="5" s="1"/>
  <c r="N412" i="5"/>
  <c r="D486" i="5" s="1"/>
  <c r="M412" i="5"/>
  <c r="D420" i="5" s="1"/>
  <c r="G412" i="5"/>
  <c r="N411" i="5"/>
  <c r="D485" i="5" s="1"/>
  <c r="M411" i="5"/>
  <c r="D419" i="5" s="1"/>
  <c r="G411" i="5"/>
  <c r="H411" i="5" s="1"/>
  <c r="N410" i="5"/>
  <c r="D484" i="5" s="1"/>
  <c r="M410" i="5"/>
  <c r="D418" i="5" s="1"/>
  <c r="H418" i="5" s="1"/>
  <c r="G410" i="5"/>
  <c r="G404" i="5"/>
  <c r="H404" i="5" s="1"/>
  <c r="H403" i="5" s="1"/>
  <c r="D403" i="5"/>
  <c r="G402" i="5"/>
  <c r="G401" i="5"/>
  <c r="G400" i="5"/>
  <c r="G399" i="5"/>
  <c r="G398" i="5"/>
  <c r="G397" i="5"/>
  <c r="G396" i="5"/>
  <c r="G394" i="5"/>
  <c r="G393" i="5"/>
  <c r="G392" i="5"/>
  <c r="G391" i="5"/>
  <c r="H391" i="5" s="1"/>
  <c r="G390" i="5"/>
  <c r="D390" i="5"/>
  <c r="G389" i="5"/>
  <c r="D389" i="5"/>
  <c r="G388" i="5"/>
  <c r="D388" i="5"/>
  <c r="G387" i="5"/>
  <c r="G385" i="5"/>
  <c r="D385" i="5"/>
  <c r="G384" i="5"/>
  <c r="D384" i="5"/>
  <c r="G383" i="5"/>
  <c r="D383" i="5"/>
  <c r="G382" i="5"/>
  <c r="D382" i="5"/>
  <c r="G381" i="5"/>
  <c r="D381" i="5"/>
  <c r="G380" i="5"/>
  <c r="D380" i="5"/>
  <c r="G379" i="5"/>
  <c r="G377" i="5" s="1"/>
  <c r="D379" i="5"/>
  <c r="G378" i="5"/>
  <c r="G376" i="5"/>
  <c r="G375" i="5" s="1"/>
  <c r="G374" i="5"/>
  <c r="G373" i="5"/>
  <c r="G372" i="5"/>
  <c r="G371" i="5"/>
  <c r="H371" i="5" s="1"/>
  <c r="G368" i="5"/>
  <c r="G367" i="5"/>
  <c r="G366" i="5"/>
  <c r="G365" i="5"/>
  <c r="G364" i="5"/>
  <c r="G363" i="5"/>
  <c r="G362" i="5"/>
  <c r="G361" i="5"/>
  <c r="G360" i="5"/>
  <c r="G359" i="5"/>
  <c r="G358" i="5"/>
  <c r="G357" i="5"/>
  <c r="G356" i="5"/>
  <c r="G355" i="5"/>
  <c r="G354" i="5"/>
  <c r="G353" i="5"/>
  <c r="G352" i="5"/>
  <c r="G351" i="5"/>
  <c r="H351" i="5" s="1"/>
  <c r="G350" i="5"/>
  <c r="H350" i="5" s="1"/>
  <c r="G349" i="5"/>
  <c r="G347" i="5"/>
  <c r="H347" i="5" s="1"/>
  <c r="G346" i="5"/>
  <c r="H346" i="5" s="1"/>
  <c r="G345" i="5"/>
  <c r="H345" i="5" s="1"/>
  <c r="G344" i="5"/>
  <c r="D344" i="5"/>
  <c r="G338" i="5"/>
  <c r="D337" i="5"/>
  <c r="G336" i="5"/>
  <c r="H336" i="5" s="1"/>
  <c r="G335" i="5"/>
  <c r="H335" i="5" s="1"/>
  <c r="G334" i="5"/>
  <c r="H334" i="5" s="1"/>
  <c r="G333" i="5"/>
  <c r="H333" i="5" s="1"/>
  <c r="G332" i="5"/>
  <c r="H332" i="5" s="1"/>
  <c r="G331" i="5"/>
  <c r="H331" i="5" s="1"/>
  <c r="G330" i="5"/>
  <c r="D329" i="5"/>
  <c r="G328" i="5"/>
  <c r="H328" i="5" s="1"/>
  <c r="G327" i="5"/>
  <c r="H327" i="5" s="1"/>
  <c r="G326" i="5"/>
  <c r="H326" i="5" s="1"/>
  <c r="G324" i="5"/>
  <c r="H324" i="5" s="1"/>
  <c r="G323" i="5"/>
  <c r="H323" i="5" s="1"/>
  <c r="G322" i="5"/>
  <c r="G321" i="5"/>
  <c r="H321" i="5" s="1"/>
  <c r="G319" i="5"/>
  <c r="H319" i="5" s="1"/>
  <c r="G318" i="5"/>
  <c r="H318" i="5" s="1"/>
  <c r="G317" i="5"/>
  <c r="H317" i="5" s="1"/>
  <c r="G316" i="5"/>
  <c r="H316" i="5" s="1"/>
  <c r="G315" i="5"/>
  <c r="G314" i="5"/>
  <c r="G313" i="5"/>
  <c r="H313" i="5" s="1"/>
  <c r="G312" i="5"/>
  <c r="G310" i="5"/>
  <c r="G309" i="5" s="1"/>
  <c r="D309" i="5"/>
  <c r="G308" i="5"/>
  <c r="H308" i="5" s="1"/>
  <c r="G307" i="5"/>
  <c r="G306" i="5"/>
  <c r="H306" i="5" s="1"/>
  <c r="G305" i="5"/>
  <c r="H305" i="5" s="1"/>
  <c r="D304" i="5"/>
  <c r="G302" i="5"/>
  <c r="H302" i="5" s="1"/>
  <c r="G301" i="5"/>
  <c r="H301" i="5" s="1"/>
  <c r="G300" i="5"/>
  <c r="H300" i="5" s="1"/>
  <c r="G299" i="5"/>
  <c r="H299" i="5" s="1"/>
  <c r="G298" i="5"/>
  <c r="H298" i="5" s="1"/>
  <c r="G297" i="5"/>
  <c r="H297" i="5" s="1"/>
  <c r="G296" i="5"/>
  <c r="H296" i="5" s="1"/>
  <c r="G295" i="5"/>
  <c r="H295" i="5" s="1"/>
  <c r="G294" i="5"/>
  <c r="H294" i="5" s="1"/>
  <c r="G293" i="5"/>
  <c r="H293" i="5" s="1"/>
  <c r="G292" i="5"/>
  <c r="H292" i="5" s="1"/>
  <c r="G291" i="5"/>
  <c r="H291" i="5" s="1"/>
  <c r="G290" i="5"/>
  <c r="H290" i="5" s="1"/>
  <c r="G289" i="5"/>
  <c r="H289" i="5" s="1"/>
  <c r="G288" i="5"/>
  <c r="H288" i="5" s="1"/>
  <c r="G287" i="5"/>
  <c r="H287" i="5" s="1"/>
  <c r="G286" i="5"/>
  <c r="H286" i="5" s="1"/>
  <c r="G285" i="5"/>
  <c r="H285" i="5" s="1"/>
  <c r="G284" i="5"/>
  <c r="H284" i="5" s="1"/>
  <c r="G283" i="5"/>
  <c r="D282" i="5"/>
  <c r="G281" i="5"/>
  <c r="H281" i="5" s="1"/>
  <c r="G280" i="5"/>
  <c r="G279" i="5"/>
  <c r="G278" i="5"/>
  <c r="G272" i="5"/>
  <c r="G271" i="5" s="1"/>
  <c r="D271" i="5"/>
  <c r="G270" i="5"/>
  <c r="G269" i="5"/>
  <c r="G268" i="5"/>
  <c r="G267" i="5"/>
  <c r="G266" i="5"/>
  <c r="G265" i="5"/>
  <c r="G264" i="5"/>
  <c r="G262" i="5"/>
  <c r="G261" i="5"/>
  <c r="G260" i="5"/>
  <c r="O259" i="5"/>
  <c r="D270" i="5" s="1"/>
  <c r="N259" i="5"/>
  <c r="D402" i="5" s="1"/>
  <c r="M259" i="5"/>
  <c r="G259" i="5"/>
  <c r="H259" i="5" s="1"/>
  <c r="O258" i="5"/>
  <c r="D269" i="5" s="1"/>
  <c r="H269" i="5" s="1"/>
  <c r="N258" i="5"/>
  <c r="D401" i="5" s="1"/>
  <c r="M258" i="5"/>
  <c r="G258" i="5"/>
  <c r="O257" i="5"/>
  <c r="D268" i="5" s="1"/>
  <c r="N257" i="5"/>
  <c r="D400" i="5" s="1"/>
  <c r="M257" i="5"/>
  <c r="G257" i="5"/>
  <c r="O256" i="5"/>
  <c r="D267" i="5" s="1"/>
  <c r="N256" i="5"/>
  <c r="D399" i="5" s="1"/>
  <c r="H399" i="5" s="1"/>
  <c r="M256" i="5"/>
  <c r="G256" i="5"/>
  <c r="O255" i="5"/>
  <c r="D266" i="5" s="1"/>
  <c r="N255" i="5"/>
  <c r="D398" i="5" s="1"/>
  <c r="H398" i="5" s="1"/>
  <c r="M255" i="5"/>
  <c r="G255" i="5"/>
  <c r="O254" i="5"/>
  <c r="D265" i="5" s="1"/>
  <c r="H265" i="5" s="1"/>
  <c r="N254" i="5"/>
  <c r="D397" i="5" s="1"/>
  <c r="M254" i="5"/>
  <c r="O253" i="5"/>
  <c r="D264" i="5" s="1"/>
  <c r="N253" i="5"/>
  <c r="D396" i="5" s="1"/>
  <c r="M253" i="5"/>
  <c r="G253" i="5"/>
  <c r="G252" i="5"/>
  <c r="O251" i="5"/>
  <c r="D262" i="5" s="1"/>
  <c r="N251" i="5"/>
  <c r="D394" i="5" s="1"/>
  <c r="H394" i="5" s="1"/>
  <c r="M251" i="5"/>
  <c r="G251" i="5"/>
  <c r="O250" i="5"/>
  <c r="D261" i="5" s="1"/>
  <c r="N250" i="5"/>
  <c r="D393" i="5" s="1"/>
  <c r="M250" i="5"/>
  <c r="G250" i="5"/>
  <c r="O249" i="5"/>
  <c r="D260" i="5" s="1"/>
  <c r="N249" i="5"/>
  <c r="D392" i="5" s="1"/>
  <c r="H392" i="5" s="1"/>
  <c r="M249" i="5"/>
  <c r="G249" i="5"/>
  <c r="O248" i="5"/>
  <c r="D258" i="5" s="1"/>
  <c r="H258" i="5" s="1"/>
  <c r="N248" i="5"/>
  <c r="M248" i="5"/>
  <c r="G248" i="5"/>
  <c r="O247" i="5"/>
  <c r="D257" i="5" s="1"/>
  <c r="N247" i="5"/>
  <c r="M247" i="5"/>
  <c r="G247" i="5"/>
  <c r="O246" i="5"/>
  <c r="D256" i="5" s="1"/>
  <c r="H256" i="5" s="1"/>
  <c r="N246" i="5"/>
  <c r="M246" i="5"/>
  <c r="G246" i="5"/>
  <c r="O245" i="5"/>
  <c r="D255" i="5" s="1"/>
  <c r="N245" i="5"/>
  <c r="D387" i="5" s="1"/>
  <c r="H387" i="5" s="1"/>
  <c r="M245" i="5"/>
  <c r="G244" i="5"/>
  <c r="G243" i="5" s="1"/>
  <c r="O243" i="5"/>
  <c r="D253" i="5" s="1"/>
  <c r="N243" i="5"/>
  <c r="M243" i="5"/>
  <c r="O242" i="5"/>
  <c r="D252" i="5" s="1"/>
  <c r="H252" i="5" s="1"/>
  <c r="N242" i="5"/>
  <c r="M242" i="5"/>
  <c r="G242" i="5"/>
  <c r="O241" i="5"/>
  <c r="D251" i="5" s="1"/>
  <c r="N241" i="5"/>
  <c r="M241" i="5"/>
  <c r="G241" i="5"/>
  <c r="O240" i="5"/>
  <c r="D250" i="5" s="1"/>
  <c r="N240" i="5"/>
  <c r="M240" i="5"/>
  <c r="G240" i="5"/>
  <c r="H240" i="5" s="1"/>
  <c r="O239" i="5"/>
  <c r="D249" i="5" s="1"/>
  <c r="N239" i="5"/>
  <c r="M239" i="5"/>
  <c r="G239" i="5"/>
  <c r="H239" i="5" s="1"/>
  <c r="O238" i="5"/>
  <c r="D248" i="5" s="1"/>
  <c r="N238" i="5"/>
  <c r="M238" i="5"/>
  <c r="O237" i="5"/>
  <c r="D247" i="5" s="1"/>
  <c r="N237" i="5"/>
  <c r="M237" i="5"/>
  <c r="O236" i="5"/>
  <c r="D246" i="5" s="1"/>
  <c r="N236" i="5"/>
  <c r="D378" i="5" s="1"/>
  <c r="M236" i="5"/>
  <c r="G236" i="5"/>
  <c r="G235" i="5"/>
  <c r="O234" i="5"/>
  <c r="D244" i="5" s="1"/>
  <c r="N234" i="5"/>
  <c r="D376" i="5" s="1"/>
  <c r="M234" i="5"/>
  <c r="G234" i="5"/>
  <c r="G233" i="5"/>
  <c r="O232" i="5"/>
  <c r="D242" i="5" s="1"/>
  <c r="H242" i="5" s="1"/>
  <c r="N232" i="5"/>
  <c r="D374" i="5" s="1"/>
  <c r="M232" i="5"/>
  <c r="G232" i="5"/>
  <c r="O231" i="5"/>
  <c r="D241" i="5" s="1"/>
  <c r="N231" i="5"/>
  <c r="D373" i="5" s="1"/>
  <c r="M231" i="5"/>
  <c r="G231" i="5"/>
  <c r="G230" i="5"/>
  <c r="G229" i="5"/>
  <c r="O228" i="5"/>
  <c r="D236" i="5" s="1"/>
  <c r="N228" i="5"/>
  <c r="D368" i="5" s="1"/>
  <c r="M228" i="5"/>
  <c r="G228" i="5"/>
  <c r="O227" i="5"/>
  <c r="D235" i="5" s="1"/>
  <c r="H235" i="5" s="1"/>
  <c r="N227" i="5"/>
  <c r="D367" i="5" s="1"/>
  <c r="H367" i="5" s="1"/>
  <c r="M227" i="5"/>
  <c r="G227" i="5"/>
  <c r="O226" i="5"/>
  <c r="D234" i="5" s="1"/>
  <c r="N226" i="5"/>
  <c r="D366" i="5" s="1"/>
  <c r="M226" i="5"/>
  <c r="G226" i="5"/>
  <c r="O225" i="5"/>
  <c r="D233" i="5" s="1"/>
  <c r="N225" i="5"/>
  <c r="D365" i="5" s="1"/>
  <c r="M225" i="5"/>
  <c r="G225" i="5"/>
  <c r="O224" i="5"/>
  <c r="D232" i="5" s="1"/>
  <c r="N224" i="5"/>
  <c r="D364" i="5" s="1"/>
  <c r="M224" i="5"/>
  <c r="G224" i="5"/>
  <c r="O223" i="5"/>
  <c r="D231" i="5" s="1"/>
  <c r="N223" i="5"/>
  <c r="D363" i="5" s="1"/>
  <c r="M223" i="5"/>
  <c r="G223" i="5"/>
  <c r="O222" i="5"/>
  <c r="D230" i="5" s="1"/>
  <c r="N222" i="5"/>
  <c r="D362" i="5" s="1"/>
  <c r="M222" i="5"/>
  <c r="G222" i="5"/>
  <c r="O221" i="5"/>
  <c r="D229" i="5" s="1"/>
  <c r="N221" i="5"/>
  <c r="D361" i="5" s="1"/>
  <c r="M221" i="5"/>
  <c r="G221" i="5"/>
  <c r="O220" i="5"/>
  <c r="D228" i="5" s="1"/>
  <c r="H228" i="5" s="1"/>
  <c r="N220" i="5"/>
  <c r="D360" i="5" s="1"/>
  <c r="M220" i="5"/>
  <c r="G220" i="5"/>
  <c r="O219" i="5"/>
  <c r="D227" i="5" s="1"/>
  <c r="N219" i="5"/>
  <c r="D359" i="5" s="1"/>
  <c r="M219" i="5"/>
  <c r="G219" i="5"/>
  <c r="H219" i="5" s="1"/>
  <c r="O218" i="5"/>
  <c r="D226" i="5" s="1"/>
  <c r="N218" i="5"/>
  <c r="D358" i="5" s="1"/>
  <c r="M218" i="5"/>
  <c r="G218" i="5"/>
  <c r="O217" i="5"/>
  <c r="D225" i="5" s="1"/>
  <c r="N217" i="5"/>
  <c r="D357" i="5" s="1"/>
  <c r="M217" i="5"/>
  <c r="G217" i="5"/>
  <c r="H217" i="5" s="1"/>
  <c r="O216" i="5"/>
  <c r="D224" i="5" s="1"/>
  <c r="N216" i="5"/>
  <c r="D356" i="5" s="1"/>
  <c r="M216" i="5"/>
  <c r="O215" i="5"/>
  <c r="D223" i="5" s="1"/>
  <c r="N215" i="5"/>
  <c r="D355" i="5" s="1"/>
  <c r="H355" i="5" s="1"/>
  <c r="M215" i="5"/>
  <c r="G215" i="5"/>
  <c r="H215" i="5" s="1"/>
  <c r="O214" i="5"/>
  <c r="D222" i="5" s="1"/>
  <c r="H222" i="5" s="1"/>
  <c r="N214" i="5"/>
  <c r="D354" i="5" s="1"/>
  <c r="M214" i="5"/>
  <c r="G214" i="5"/>
  <c r="H214" i="5" s="1"/>
  <c r="O213" i="5"/>
  <c r="D221" i="5" s="1"/>
  <c r="N213" i="5"/>
  <c r="D353" i="5" s="1"/>
  <c r="M213" i="5"/>
  <c r="G213" i="5"/>
  <c r="O212" i="5"/>
  <c r="D220" i="5" s="1"/>
  <c r="H220" i="5" s="1"/>
  <c r="N212" i="5"/>
  <c r="D352" i="5" s="1"/>
  <c r="M212" i="5"/>
  <c r="G212" i="5"/>
  <c r="D212" i="5"/>
  <c r="D211" i="5" s="1"/>
  <c r="A210" i="5"/>
  <c r="G206" i="5"/>
  <c r="H206" i="5" s="1"/>
  <c r="H205" i="5" s="1"/>
  <c r="D205" i="5"/>
  <c r="G204" i="5"/>
  <c r="H204" i="5" s="1"/>
  <c r="G203" i="5"/>
  <c r="H203" i="5" s="1"/>
  <c r="G202" i="5"/>
  <c r="H202" i="5" s="1"/>
  <c r="G201" i="5"/>
  <c r="H201" i="5" s="1"/>
  <c r="G200" i="5"/>
  <c r="H200" i="5" s="1"/>
  <c r="G199" i="5"/>
  <c r="H199" i="5" s="1"/>
  <c r="G198" i="5"/>
  <c r="H198" i="5" s="1"/>
  <c r="D197" i="5"/>
  <c r="G196" i="5"/>
  <c r="H196" i="5" s="1"/>
  <c r="G195" i="5"/>
  <c r="H195" i="5" s="1"/>
  <c r="G194" i="5"/>
  <c r="H194" i="5" s="1"/>
  <c r="G192" i="5"/>
  <c r="H192" i="5" s="1"/>
  <c r="G191" i="5"/>
  <c r="H191" i="5" s="1"/>
  <c r="G190" i="5"/>
  <c r="H190" i="5" s="1"/>
  <c r="G189" i="5"/>
  <c r="D188" i="5"/>
  <c r="G187" i="5"/>
  <c r="H187" i="5" s="1"/>
  <c r="G186" i="5"/>
  <c r="H186" i="5" s="1"/>
  <c r="G185" i="5"/>
  <c r="H185" i="5" s="1"/>
  <c r="G184" i="5"/>
  <c r="H184" i="5" s="1"/>
  <c r="G183" i="5"/>
  <c r="G182" i="5"/>
  <c r="H182" i="5" s="1"/>
  <c r="G181" i="5"/>
  <c r="H181" i="5" s="1"/>
  <c r="G180" i="5"/>
  <c r="H180" i="5" s="1"/>
  <c r="G178" i="5"/>
  <c r="G177" i="5" s="1"/>
  <c r="D177" i="5"/>
  <c r="G176" i="5"/>
  <c r="H176" i="5" s="1"/>
  <c r="G175" i="5"/>
  <c r="H175" i="5" s="1"/>
  <c r="G174" i="5"/>
  <c r="H174" i="5" s="1"/>
  <c r="G173" i="5"/>
  <c r="D172" i="5"/>
  <c r="G170" i="5"/>
  <c r="H170" i="5" s="1"/>
  <c r="G169" i="5"/>
  <c r="H169" i="5" s="1"/>
  <c r="G168" i="5"/>
  <c r="H168" i="5" s="1"/>
  <c r="G167" i="5"/>
  <c r="H167" i="5" s="1"/>
  <c r="G166" i="5"/>
  <c r="H166" i="5" s="1"/>
  <c r="G165" i="5"/>
  <c r="H165" i="5" s="1"/>
  <c r="G164" i="5"/>
  <c r="H164" i="5" s="1"/>
  <c r="G163" i="5"/>
  <c r="H163" i="5" s="1"/>
  <c r="G162" i="5"/>
  <c r="H162" i="5" s="1"/>
  <c r="G161" i="5"/>
  <c r="H161" i="5" s="1"/>
  <c r="G160" i="5"/>
  <c r="H160" i="5" s="1"/>
  <c r="G159" i="5"/>
  <c r="H159" i="5" s="1"/>
  <c r="G158" i="5"/>
  <c r="H158" i="5" s="1"/>
  <c r="G157" i="5"/>
  <c r="H157" i="5" s="1"/>
  <c r="G156" i="5"/>
  <c r="H156" i="5" s="1"/>
  <c r="G155" i="5"/>
  <c r="H155" i="5" s="1"/>
  <c r="G154" i="5"/>
  <c r="H154" i="5" s="1"/>
  <c r="G153" i="5"/>
  <c r="H153" i="5" s="1"/>
  <c r="G152" i="5"/>
  <c r="H152" i="5" s="1"/>
  <c r="G151" i="5"/>
  <c r="D150" i="5"/>
  <c r="G149" i="5"/>
  <c r="H149" i="5" s="1"/>
  <c r="G148" i="5"/>
  <c r="H148" i="5" s="1"/>
  <c r="G147" i="5"/>
  <c r="G146" i="5"/>
  <c r="A144" i="5"/>
  <c r="G140" i="5"/>
  <c r="H140" i="5" s="1"/>
  <c r="H139" i="5" s="1"/>
  <c r="D139" i="5"/>
  <c r="G138" i="5"/>
  <c r="H138" i="5" s="1"/>
  <c r="G137" i="5"/>
  <c r="H137" i="5" s="1"/>
  <c r="G136" i="5"/>
  <c r="H136" i="5" s="1"/>
  <c r="G135" i="5"/>
  <c r="H135" i="5" s="1"/>
  <c r="G134" i="5"/>
  <c r="H134" i="5" s="1"/>
  <c r="G133" i="5"/>
  <c r="G132" i="5"/>
  <c r="H132" i="5" s="1"/>
  <c r="D131" i="5"/>
  <c r="G130" i="5"/>
  <c r="H130" i="5" s="1"/>
  <c r="G129" i="5"/>
  <c r="H129" i="5" s="1"/>
  <c r="G128" i="5"/>
  <c r="H128" i="5" s="1"/>
  <c r="G126" i="5"/>
  <c r="H126" i="5" s="1"/>
  <c r="G125" i="5"/>
  <c r="H125" i="5" s="1"/>
  <c r="G124" i="5"/>
  <c r="H124" i="5" s="1"/>
  <c r="G123" i="5"/>
  <c r="H123" i="5" s="1"/>
  <c r="D122" i="5"/>
  <c r="G121" i="5"/>
  <c r="H121" i="5" s="1"/>
  <c r="G120" i="5"/>
  <c r="G119" i="5"/>
  <c r="H119" i="5" s="1"/>
  <c r="G118" i="5"/>
  <c r="H118" i="5" s="1"/>
  <c r="G117" i="5"/>
  <c r="G116" i="5"/>
  <c r="G115" i="5"/>
  <c r="H115" i="5" s="1"/>
  <c r="G114" i="5"/>
  <c r="G112" i="5"/>
  <c r="D111" i="5"/>
  <c r="G110" i="5"/>
  <c r="H110" i="5" s="1"/>
  <c r="G109" i="5"/>
  <c r="H109" i="5" s="1"/>
  <c r="G108" i="5"/>
  <c r="H108" i="5" s="1"/>
  <c r="G107" i="5"/>
  <c r="D106" i="5"/>
  <c r="G104" i="5"/>
  <c r="H104" i="5" s="1"/>
  <c r="G103" i="5"/>
  <c r="H103" i="5" s="1"/>
  <c r="G102" i="5"/>
  <c r="H102" i="5" s="1"/>
  <c r="G101" i="5"/>
  <c r="H101" i="5" s="1"/>
  <c r="G100" i="5"/>
  <c r="H100" i="5" s="1"/>
  <c r="G99" i="5"/>
  <c r="H99" i="5" s="1"/>
  <c r="G98" i="5"/>
  <c r="H98" i="5" s="1"/>
  <c r="G97" i="5"/>
  <c r="H97" i="5" s="1"/>
  <c r="G96" i="5"/>
  <c r="H96" i="5" s="1"/>
  <c r="G95" i="5"/>
  <c r="H95" i="5" s="1"/>
  <c r="G94" i="5"/>
  <c r="H94" i="5" s="1"/>
  <c r="G93" i="5"/>
  <c r="H93" i="5" s="1"/>
  <c r="G92" i="5"/>
  <c r="G91" i="5"/>
  <c r="H91" i="5" s="1"/>
  <c r="G90" i="5"/>
  <c r="H90" i="5" s="1"/>
  <c r="G89" i="5"/>
  <c r="H89" i="5" s="1"/>
  <c r="G88" i="5"/>
  <c r="H88" i="5" s="1"/>
  <c r="G87" i="5"/>
  <c r="H87" i="5" s="1"/>
  <c r="G86" i="5"/>
  <c r="H86" i="5" s="1"/>
  <c r="G85" i="5"/>
  <c r="H85" i="5" s="1"/>
  <c r="G83" i="5"/>
  <c r="H83" i="5" s="1"/>
  <c r="G82" i="5"/>
  <c r="G81" i="5"/>
  <c r="H81" i="5" s="1"/>
  <c r="G80" i="5"/>
  <c r="A78" i="5"/>
  <c r="G74" i="5"/>
  <c r="G73" i="5" s="1"/>
  <c r="D73" i="5"/>
  <c r="G72" i="5"/>
  <c r="H72" i="5" s="1"/>
  <c r="G71" i="5"/>
  <c r="H71" i="5" s="1"/>
  <c r="G70" i="5"/>
  <c r="H70" i="5" s="1"/>
  <c r="G69" i="5"/>
  <c r="H69" i="5" s="1"/>
  <c r="G68" i="5"/>
  <c r="H68" i="5" s="1"/>
  <c r="G67" i="5"/>
  <c r="H67" i="5" s="1"/>
  <c r="G66" i="5"/>
  <c r="H66" i="5" s="1"/>
  <c r="D65" i="5"/>
  <c r="G64" i="5"/>
  <c r="H64" i="5" s="1"/>
  <c r="G63" i="5"/>
  <c r="H63" i="5" s="1"/>
  <c r="G62" i="5"/>
  <c r="H62" i="5" s="1"/>
  <c r="G60" i="5"/>
  <c r="H60" i="5" s="1"/>
  <c r="G59" i="5"/>
  <c r="H59" i="5" s="1"/>
  <c r="G58" i="5"/>
  <c r="H58" i="5" s="1"/>
  <c r="G57" i="5"/>
  <c r="H57" i="5" s="1"/>
  <c r="D56" i="5"/>
  <c r="G55" i="5"/>
  <c r="H55" i="5" s="1"/>
  <c r="G54" i="5"/>
  <c r="H54" i="5" s="1"/>
  <c r="G53" i="5"/>
  <c r="G52" i="5"/>
  <c r="H52" i="5" s="1"/>
  <c r="G51" i="5"/>
  <c r="G50" i="5"/>
  <c r="G49" i="5"/>
  <c r="H49" i="5" s="1"/>
  <c r="G48" i="5"/>
  <c r="G46" i="5"/>
  <c r="H46" i="5" s="1"/>
  <c r="H45" i="5" s="1"/>
  <c r="D45" i="5"/>
  <c r="G44" i="5"/>
  <c r="H44" i="5" s="1"/>
  <c r="G43" i="5"/>
  <c r="H43" i="5" s="1"/>
  <c r="G42" i="5"/>
  <c r="H42" i="5" s="1"/>
  <c r="G41" i="5"/>
  <c r="H41" i="5" s="1"/>
  <c r="G38" i="5"/>
  <c r="H38" i="5" s="1"/>
  <c r="G37" i="5"/>
  <c r="H37" i="5" s="1"/>
  <c r="G36" i="5"/>
  <c r="H36" i="5" s="1"/>
  <c r="G35" i="5"/>
  <c r="H35" i="5" s="1"/>
  <c r="G34" i="5"/>
  <c r="H34" i="5" s="1"/>
  <c r="G33" i="5"/>
  <c r="H33" i="5" s="1"/>
  <c r="G32" i="5"/>
  <c r="H32" i="5" s="1"/>
  <c r="G31" i="5"/>
  <c r="H31" i="5" s="1"/>
  <c r="G30" i="5"/>
  <c r="H30" i="5" s="1"/>
  <c r="G29" i="5"/>
  <c r="H29" i="5" s="1"/>
  <c r="G28" i="5"/>
  <c r="H28" i="5" s="1"/>
  <c r="G27" i="5"/>
  <c r="H27" i="5" s="1"/>
  <c r="G26" i="5"/>
  <c r="G25" i="5"/>
  <c r="H25" i="5" s="1"/>
  <c r="G24" i="5"/>
  <c r="H24" i="5" s="1"/>
  <c r="G23" i="5"/>
  <c r="H23" i="5" s="1"/>
  <c r="G22" i="5"/>
  <c r="H22" i="5" s="1"/>
  <c r="G21" i="5"/>
  <c r="H21" i="5" s="1"/>
  <c r="G20" i="5"/>
  <c r="H20" i="5" s="1"/>
  <c r="G19" i="5"/>
  <c r="G17" i="5"/>
  <c r="H17" i="5" s="1"/>
  <c r="G16" i="5"/>
  <c r="G15" i="5"/>
  <c r="H15" i="5" s="1"/>
  <c r="G14" i="5"/>
  <c r="A12" i="5"/>
  <c r="H51" i="4"/>
  <c r="B51" i="4"/>
  <c r="H50" i="4"/>
  <c r="B50" i="4"/>
  <c r="H49" i="4"/>
  <c r="B49" i="4"/>
  <c r="A49" i="4"/>
  <c r="H48" i="4"/>
  <c r="B48" i="4"/>
  <c r="B47" i="4"/>
  <c r="H46" i="4"/>
  <c r="B46" i="4"/>
  <c r="A46" i="4"/>
  <c r="B42" i="4"/>
  <c r="B41" i="4"/>
  <c r="A41" i="4"/>
  <c r="H40" i="4"/>
  <c r="I40" i="4" s="1"/>
  <c r="F193" i="5" s="1"/>
  <c r="B40" i="4"/>
  <c r="A40" i="4"/>
  <c r="H39" i="4"/>
  <c r="B39" i="4"/>
  <c r="H38" i="4"/>
  <c r="B38" i="4"/>
  <c r="A38" i="4"/>
  <c r="H37" i="4"/>
  <c r="B37" i="4"/>
  <c r="H36" i="4"/>
  <c r="B36" i="4"/>
  <c r="A36" i="4"/>
  <c r="M27" i="4"/>
  <c r="I67" i="3" s="1"/>
  <c r="L27" i="4"/>
  <c r="V22" i="7" s="1"/>
  <c r="K27" i="4"/>
  <c r="J27" i="4"/>
  <c r="O27" i="4" s="1"/>
  <c r="I27" i="4"/>
  <c r="N27" i="4" s="1"/>
  <c r="M26" i="4"/>
  <c r="I64" i="3" s="1"/>
  <c r="M25" i="4"/>
  <c r="I61" i="3" s="1"/>
  <c r="L25" i="4"/>
  <c r="K25" i="4"/>
  <c r="P25" i="4" s="1"/>
  <c r="J25" i="4"/>
  <c r="I25" i="4"/>
  <c r="N25" i="4" s="1"/>
  <c r="M24" i="4"/>
  <c r="I57" i="3" s="1"/>
  <c r="L24" i="4"/>
  <c r="K24" i="4"/>
  <c r="U19" i="7" s="1"/>
  <c r="J24" i="4"/>
  <c r="O24" i="4" s="1"/>
  <c r="I24" i="4"/>
  <c r="M22" i="4"/>
  <c r="L22" i="4"/>
  <c r="V17" i="7" s="1"/>
  <c r="K22" i="4"/>
  <c r="J22" i="4"/>
  <c r="I22" i="4"/>
  <c r="N22" i="4" s="1"/>
  <c r="I40" i="3"/>
  <c r="D40" i="3" s="1"/>
  <c r="L16" i="4"/>
  <c r="K16" i="4"/>
  <c r="J16" i="4"/>
  <c r="I16" i="4"/>
  <c r="N16" i="4" s="1"/>
  <c r="M15" i="4"/>
  <c r="L15" i="4"/>
  <c r="V13" i="7" s="1"/>
  <c r="K15" i="4"/>
  <c r="J15" i="4"/>
  <c r="I15" i="4"/>
  <c r="N15" i="4" s="1"/>
  <c r="M14" i="4"/>
  <c r="I33" i="3" s="1"/>
  <c r="D33" i="3" s="1"/>
  <c r="L14" i="4"/>
  <c r="K14" i="4"/>
  <c r="U12" i="7" s="1"/>
  <c r="J14" i="4"/>
  <c r="O14" i="4" s="1"/>
  <c r="I14" i="4"/>
  <c r="M13" i="4"/>
  <c r="I29" i="3" s="1"/>
  <c r="L13" i="4"/>
  <c r="V11" i="7" s="1"/>
  <c r="K13" i="4"/>
  <c r="J13" i="4"/>
  <c r="I13" i="4"/>
  <c r="N13" i="4" s="1"/>
  <c r="M12" i="4"/>
  <c r="I26" i="3" s="1"/>
  <c r="D26" i="3" s="1"/>
  <c r="L12" i="4"/>
  <c r="K12" i="4"/>
  <c r="U10" i="7" s="1"/>
  <c r="J12" i="4"/>
  <c r="O12" i="4" s="1"/>
  <c r="I12" i="4"/>
  <c r="P69" i="3"/>
  <c r="D69" i="3"/>
  <c r="M68" i="3"/>
  <c r="H68" i="3" s="1"/>
  <c r="L68" i="3"/>
  <c r="G68" i="3" s="1"/>
  <c r="K68" i="3"/>
  <c r="F68" i="3" s="1"/>
  <c r="J68" i="3"/>
  <c r="E68" i="3" s="1"/>
  <c r="I68" i="3"/>
  <c r="B67" i="3"/>
  <c r="P66" i="3"/>
  <c r="D16" i="3" s="1"/>
  <c r="M66" i="3"/>
  <c r="L66" i="3"/>
  <c r="K66" i="3"/>
  <c r="J66" i="3"/>
  <c r="H66" i="3"/>
  <c r="G66" i="3"/>
  <c r="F66" i="3"/>
  <c r="E66" i="3"/>
  <c r="D66" i="3"/>
  <c r="I65" i="3"/>
  <c r="B64" i="3"/>
  <c r="P63" i="3"/>
  <c r="D63" i="3"/>
  <c r="M62" i="3"/>
  <c r="H62" i="3" s="1"/>
  <c r="L62" i="3"/>
  <c r="G62" i="3" s="1"/>
  <c r="K62" i="3"/>
  <c r="F62" i="3" s="1"/>
  <c r="J62" i="3"/>
  <c r="E62" i="3" s="1"/>
  <c r="I62" i="3"/>
  <c r="B61" i="3"/>
  <c r="A61" i="3"/>
  <c r="P59" i="3"/>
  <c r="D59" i="3"/>
  <c r="M58" i="3"/>
  <c r="H58" i="3" s="1"/>
  <c r="L58" i="3"/>
  <c r="K58" i="3"/>
  <c r="F58" i="3" s="1"/>
  <c r="J58" i="3"/>
  <c r="E58" i="3" s="1"/>
  <c r="I58" i="3"/>
  <c r="G58" i="3"/>
  <c r="B57" i="3"/>
  <c r="P56" i="3"/>
  <c r="M56" i="3"/>
  <c r="L56" i="3"/>
  <c r="K56" i="3"/>
  <c r="J56" i="3"/>
  <c r="I56" i="3"/>
  <c r="H56" i="3"/>
  <c r="G56" i="3"/>
  <c r="F56" i="3"/>
  <c r="E56" i="3"/>
  <c r="D56" i="3"/>
  <c r="B54" i="3"/>
  <c r="P53" i="3"/>
  <c r="D53" i="3"/>
  <c r="M52" i="3"/>
  <c r="H52" i="3" s="1"/>
  <c r="L52" i="3"/>
  <c r="G52" i="3" s="1"/>
  <c r="K52" i="3"/>
  <c r="F52" i="3" s="1"/>
  <c r="J52" i="3"/>
  <c r="E52" i="3" s="1"/>
  <c r="I52" i="3"/>
  <c r="B51" i="3"/>
  <c r="A51" i="3"/>
  <c r="P49" i="3"/>
  <c r="M49" i="3"/>
  <c r="L49" i="3"/>
  <c r="K49" i="3"/>
  <c r="J49" i="3"/>
  <c r="H49" i="3"/>
  <c r="G49" i="3"/>
  <c r="F49" i="3"/>
  <c r="E49" i="3"/>
  <c r="D49" i="3"/>
  <c r="B47" i="3"/>
  <c r="P46" i="3"/>
  <c r="M46" i="3"/>
  <c r="L46" i="3"/>
  <c r="K46" i="3"/>
  <c r="J46" i="3"/>
  <c r="H46" i="3"/>
  <c r="H50" i="3" s="1"/>
  <c r="G46" i="3"/>
  <c r="F46" i="3"/>
  <c r="E46" i="3"/>
  <c r="D46" i="3"/>
  <c r="B44" i="3"/>
  <c r="A44" i="3"/>
  <c r="P40" i="3"/>
  <c r="P42" i="3" s="1"/>
  <c r="P43" i="3" s="1"/>
  <c r="D11" i="3" s="1"/>
  <c r="B40" i="3"/>
  <c r="A40" i="3"/>
  <c r="H37" i="3"/>
  <c r="F37" i="3"/>
  <c r="E37" i="3"/>
  <c r="D37" i="3"/>
  <c r="G37" i="3"/>
  <c r="P36" i="3"/>
  <c r="P38" i="3" s="1"/>
  <c r="B36" i="3"/>
  <c r="M34" i="3"/>
  <c r="H34" i="3" s="1"/>
  <c r="L34" i="3"/>
  <c r="G34" i="3" s="1"/>
  <c r="K34" i="3"/>
  <c r="F34" i="3" s="1"/>
  <c r="J34" i="3"/>
  <c r="E34" i="3" s="1"/>
  <c r="I34" i="3"/>
  <c r="D34" i="3" s="1"/>
  <c r="P33" i="3"/>
  <c r="P35" i="3" s="1"/>
  <c r="B33" i="3"/>
  <c r="A33" i="3"/>
  <c r="M30" i="3"/>
  <c r="H30" i="3" s="1"/>
  <c r="L30" i="3"/>
  <c r="G30" i="3" s="1"/>
  <c r="K30" i="3"/>
  <c r="F30" i="3" s="1"/>
  <c r="J30" i="3"/>
  <c r="E30" i="3" s="1"/>
  <c r="I30" i="3"/>
  <c r="D30" i="3" s="1"/>
  <c r="P29" i="3"/>
  <c r="P31" i="3" s="1"/>
  <c r="B29" i="3"/>
  <c r="M27" i="3"/>
  <c r="H27" i="3" s="1"/>
  <c r="L27" i="3"/>
  <c r="G27" i="3" s="1"/>
  <c r="K27" i="3"/>
  <c r="J27" i="3"/>
  <c r="E27" i="3" s="1"/>
  <c r="I27" i="3"/>
  <c r="D27" i="3" s="1"/>
  <c r="P26" i="3"/>
  <c r="P28" i="3" s="1"/>
  <c r="B26" i="3"/>
  <c r="A26" i="3"/>
  <c r="A12" i="3"/>
  <c r="A11" i="3"/>
  <c r="A10" i="3"/>
  <c r="A9" i="3"/>
  <c r="C8" i="3"/>
  <c r="B8" i="3"/>
  <c r="S10" i="7" l="1"/>
  <c r="N12" i="4"/>
  <c r="T13" i="7"/>
  <c r="O15" i="4"/>
  <c r="T20" i="7"/>
  <c r="O25" i="4"/>
  <c r="T14" i="7"/>
  <c r="O16" i="4"/>
  <c r="T11" i="7"/>
  <c r="O13" i="4"/>
  <c r="S12" i="7"/>
  <c r="N14" i="4"/>
  <c r="T17" i="7"/>
  <c r="O22" i="4"/>
  <c r="S19" i="7"/>
  <c r="N24" i="4"/>
  <c r="H120" i="5"/>
  <c r="G113" i="5"/>
  <c r="Q16" i="4"/>
  <c r="V14" i="7"/>
  <c r="H231" i="5"/>
  <c r="D50" i="3"/>
  <c r="P16" i="4"/>
  <c r="U14" i="7"/>
  <c r="H234" i="5"/>
  <c r="H236" i="5"/>
  <c r="G238" i="5"/>
  <c r="H357" i="5"/>
  <c r="D13" i="3"/>
  <c r="D15" i="3"/>
  <c r="H221" i="5"/>
  <c r="H223" i="5"/>
  <c r="H393" i="5"/>
  <c r="W15" i="6"/>
  <c r="J83" i="6"/>
  <c r="K83" i="6" s="1"/>
  <c r="S14" i="7"/>
  <c r="H241" i="5"/>
  <c r="H238" i="5" s="1"/>
  <c r="H229" i="5"/>
  <c r="H491" i="5"/>
  <c r="H428" i="5"/>
  <c r="H500" i="5"/>
  <c r="H462" i="5"/>
  <c r="I79" i="6"/>
  <c r="H79" i="6" s="1"/>
  <c r="J79" i="6" s="1"/>
  <c r="K79" i="6" s="1"/>
  <c r="I80" i="6"/>
  <c r="H80" i="6" s="1"/>
  <c r="J80" i="6" s="1"/>
  <c r="K80" i="6" s="1"/>
  <c r="I78" i="6"/>
  <c r="H78" i="6" s="1"/>
  <c r="J78" i="6" s="1"/>
  <c r="K78" i="6" s="1"/>
  <c r="I51" i="4"/>
  <c r="G536" i="5" s="1"/>
  <c r="I69" i="3"/>
  <c r="I66" i="3"/>
  <c r="P32" i="3"/>
  <c r="J50" i="3"/>
  <c r="P50" i="3"/>
  <c r="H419" i="5"/>
  <c r="M429" i="5"/>
  <c r="N429" i="5" s="1"/>
  <c r="D505" i="5" s="1"/>
  <c r="H505" i="5" s="1"/>
  <c r="D444" i="5"/>
  <c r="H444" i="5" s="1"/>
  <c r="N434" i="5"/>
  <c r="M447" i="5"/>
  <c r="D458" i="5" s="1"/>
  <c r="H458" i="5" s="1"/>
  <c r="N447" i="5"/>
  <c r="M456" i="5"/>
  <c r="D467" i="5" s="1"/>
  <c r="H467" i="5" s="1"/>
  <c r="N456" i="5"/>
  <c r="H50" i="5"/>
  <c r="H230" i="5"/>
  <c r="M435" i="5"/>
  <c r="D445" i="5" s="1"/>
  <c r="H445" i="5" s="1"/>
  <c r="N435" i="5"/>
  <c r="L50" i="3"/>
  <c r="M441" i="5"/>
  <c r="N441" i="5"/>
  <c r="M444" i="5"/>
  <c r="D454" i="5" s="1"/>
  <c r="H454" i="5" s="1"/>
  <c r="N444" i="5"/>
  <c r="D520" i="5" s="1"/>
  <c r="H520" i="5" s="1"/>
  <c r="M446" i="5"/>
  <c r="D456" i="5" s="1"/>
  <c r="H456" i="5" s="1"/>
  <c r="N446" i="5"/>
  <c r="D522" i="5" s="1"/>
  <c r="H522" i="5" s="1"/>
  <c r="G509" i="5"/>
  <c r="F50" i="3"/>
  <c r="H178" i="5"/>
  <c r="H177" i="5" s="1"/>
  <c r="H381" i="5"/>
  <c r="H440" i="5"/>
  <c r="N452" i="5"/>
  <c r="D529" i="5" s="1"/>
  <c r="H529" i="5" s="1"/>
  <c r="U22" i="7"/>
  <c r="P27" i="4"/>
  <c r="L67" i="3" s="1"/>
  <c r="I63" i="3"/>
  <c r="S22" i="7"/>
  <c r="J67" i="3"/>
  <c r="E67" i="3" s="1"/>
  <c r="E69" i="3" s="1"/>
  <c r="H270" i="5"/>
  <c r="G461" i="5"/>
  <c r="H116" i="5"/>
  <c r="N66" i="3"/>
  <c r="B16" i="3" s="1"/>
  <c r="G150" i="5"/>
  <c r="H359" i="5"/>
  <c r="H363" i="5"/>
  <c r="H388" i="5"/>
  <c r="H390" i="5"/>
  <c r="H490" i="5"/>
  <c r="H427" i="5"/>
  <c r="H494" i="5"/>
  <c r="P41" i="6"/>
  <c r="M35" i="11"/>
  <c r="N35" i="11" s="1"/>
  <c r="M23" i="11"/>
  <c r="N23" i="11" s="1"/>
  <c r="G139" i="5"/>
  <c r="G59" i="11"/>
  <c r="J20" i="6"/>
  <c r="G193" i="5"/>
  <c r="H193" i="5" s="1"/>
  <c r="I37" i="4"/>
  <c r="L5" i="11" s="1"/>
  <c r="H40" i="5"/>
  <c r="H425" i="5"/>
  <c r="H492" i="5"/>
  <c r="D70" i="3"/>
  <c r="Q15" i="4"/>
  <c r="G19" i="9" s="1"/>
  <c r="L19" i="9" s="1"/>
  <c r="H151" i="5"/>
  <c r="H150" i="5" s="1"/>
  <c r="H353" i="5"/>
  <c r="H224" i="5"/>
  <c r="H225" i="5"/>
  <c r="H226" i="5"/>
  <c r="H361" i="5"/>
  <c r="H362" i="5"/>
  <c r="H364" i="5"/>
  <c r="H365" i="5"/>
  <c r="H366" i="5"/>
  <c r="H374" i="5"/>
  <c r="H247" i="5"/>
  <c r="H248" i="5"/>
  <c r="H249" i="5"/>
  <c r="H250" i="5"/>
  <c r="H251" i="5"/>
  <c r="H253" i="5"/>
  <c r="H257" i="5"/>
  <c r="H397" i="5"/>
  <c r="H268" i="5"/>
  <c r="H401" i="5"/>
  <c r="H267" i="5"/>
  <c r="H310" i="5"/>
  <c r="H309" i="5" s="1"/>
  <c r="H383" i="5"/>
  <c r="H486" i="5"/>
  <c r="H423" i="5"/>
  <c r="H424" i="5"/>
  <c r="H498" i="5"/>
  <c r="H460" i="5"/>
  <c r="H72" i="6"/>
  <c r="J72" i="6" s="1"/>
  <c r="K72" i="6" s="1"/>
  <c r="D28" i="3"/>
  <c r="D60" i="3"/>
  <c r="G172" i="5"/>
  <c r="H227" i="5"/>
  <c r="H368" i="5"/>
  <c r="H255" i="5"/>
  <c r="H266" i="5"/>
  <c r="H382" i="5"/>
  <c r="H384" i="5"/>
  <c r="H389" i="5"/>
  <c r="H386" i="5" s="1"/>
  <c r="H496" i="5"/>
  <c r="H431" i="5"/>
  <c r="H450" i="5"/>
  <c r="H534" i="5"/>
  <c r="H315" i="5"/>
  <c r="H314" i="5"/>
  <c r="D245" i="5"/>
  <c r="H197" i="5"/>
  <c r="H283" i="5"/>
  <c r="H282" i="5" s="1"/>
  <c r="G282" i="5"/>
  <c r="H147" i="5"/>
  <c r="D145" i="5"/>
  <c r="D144" i="5" s="1"/>
  <c r="D35" i="3"/>
  <c r="N49" i="3"/>
  <c r="M50" i="3"/>
  <c r="P60" i="3"/>
  <c r="P70" i="3"/>
  <c r="J26" i="3"/>
  <c r="Q13" i="4"/>
  <c r="M29" i="3" s="1"/>
  <c r="M31" i="3" s="1"/>
  <c r="Q22" i="4"/>
  <c r="G26" i="9" s="1"/>
  <c r="L26" i="9" s="1"/>
  <c r="G13" i="5"/>
  <c r="D40" i="5"/>
  <c r="G45" i="5"/>
  <c r="G65" i="5"/>
  <c r="H233" i="5"/>
  <c r="H262" i="5"/>
  <c r="H400" i="5"/>
  <c r="G263" i="5"/>
  <c r="H330" i="5"/>
  <c r="H329" i="5" s="1"/>
  <c r="G329" i="5"/>
  <c r="H338" i="5"/>
  <c r="H337" i="5" s="1"/>
  <c r="G337" i="5"/>
  <c r="G386" i="5"/>
  <c r="G50" i="3"/>
  <c r="K50" i="3"/>
  <c r="I59" i="3"/>
  <c r="P12" i="4"/>
  <c r="F10" i="7" s="1"/>
  <c r="P10" i="7" s="1"/>
  <c r="K36" i="3"/>
  <c r="F36" i="3" s="1"/>
  <c r="F38" i="3" s="1"/>
  <c r="E20" i="7"/>
  <c r="O20" i="7" s="1"/>
  <c r="G18" i="5"/>
  <c r="J33" i="3"/>
  <c r="E33" i="3" s="1"/>
  <c r="E35" i="3" s="1"/>
  <c r="J57" i="3"/>
  <c r="J59" i="3" s="1"/>
  <c r="H74" i="5"/>
  <c r="H73" i="5" s="1"/>
  <c r="H232" i="5"/>
  <c r="I50" i="3"/>
  <c r="O56" i="3"/>
  <c r="K29" i="3"/>
  <c r="F29" i="3" s="1"/>
  <c r="F31" i="3" s="1"/>
  <c r="P14" i="4"/>
  <c r="L33" i="3" s="1"/>
  <c r="G33" i="3" s="1"/>
  <c r="G35" i="3" s="1"/>
  <c r="E26" i="9"/>
  <c r="J26" i="9" s="1"/>
  <c r="P24" i="4"/>
  <c r="F19" i="7" s="1"/>
  <c r="P19" i="7" s="1"/>
  <c r="H53" i="5"/>
  <c r="H107" i="5"/>
  <c r="H106" i="5" s="1"/>
  <c r="H173" i="5"/>
  <c r="H172" i="5" s="1"/>
  <c r="G197" i="5"/>
  <c r="H360" i="5"/>
  <c r="G245" i="5"/>
  <c r="H272" i="5"/>
  <c r="H271" i="5" s="1"/>
  <c r="H372" i="5"/>
  <c r="G370" i="5"/>
  <c r="M413" i="5"/>
  <c r="D421" i="5" s="1"/>
  <c r="H421" i="5" s="1"/>
  <c r="N413" i="5"/>
  <c r="D487" i="5" s="1"/>
  <c r="H487" i="5" s="1"/>
  <c r="H380" i="5"/>
  <c r="H489" i="5"/>
  <c r="D510" i="5"/>
  <c r="H510" i="5" s="1"/>
  <c r="N439" i="5"/>
  <c r="D515" i="5" s="1"/>
  <c r="H515" i="5" s="1"/>
  <c r="N440" i="5"/>
  <c r="D516" i="5" s="1"/>
  <c r="H516" i="5" s="1"/>
  <c r="N451" i="5"/>
  <c r="D528" i="5" s="1"/>
  <c r="H528" i="5" s="1"/>
  <c r="R18" i="6"/>
  <c r="J77" i="6"/>
  <c r="K77" i="6" s="1"/>
  <c r="G343" i="5"/>
  <c r="H402" i="5"/>
  <c r="H426" i="5"/>
  <c r="H432" i="5"/>
  <c r="N430" i="5"/>
  <c r="D506" i="5" s="1"/>
  <c r="H506" i="5" s="1"/>
  <c r="H449" i="5"/>
  <c r="H463" i="5"/>
  <c r="N455" i="5"/>
  <c r="D532" i="5" s="1"/>
  <c r="H532" i="5" s="1"/>
  <c r="D468" i="5"/>
  <c r="H468" i="5" s="1"/>
  <c r="G527" i="5"/>
  <c r="W49" i="6"/>
  <c r="W40" i="6" s="1"/>
  <c r="M11" i="11"/>
  <c r="N11" i="11" s="1"/>
  <c r="G436" i="5"/>
  <c r="G502" i="5"/>
  <c r="H385" i="5"/>
  <c r="G395" i="5"/>
  <c r="H420" i="5"/>
  <c r="M425" i="5"/>
  <c r="D433" i="5" s="1"/>
  <c r="H433" i="5" s="1"/>
  <c r="D526" i="5"/>
  <c r="H526" i="5" s="1"/>
  <c r="G480" i="5"/>
  <c r="J84" i="6"/>
  <c r="K84" i="6" s="1"/>
  <c r="D179" i="5"/>
  <c r="D171" i="5" s="1"/>
  <c r="H244" i="5"/>
  <c r="H243" i="5" s="1"/>
  <c r="D243" i="5"/>
  <c r="B9" i="11"/>
  <c r="D9" i="3"/>
  <c r="N46" i="3"/>
  <c r="E50" i="3"/>
  <c r="N56" i="3"/>
  <c r="H112" i="5"/>
  <c r="H111" i="5" s="1"/>
  <c r="G111" i="5"/>
  <c r="H212" i="5"/>
  <c r="H213" i="5"/>
  <c r="G211" i="5"/>
  <c r="D377" i="5"/>
  <c r="H378" i="5"/>
  <c r="H264" i="5"/>
  <c r="D263" i="5"/>
  <c r="J45" i="6"/>
  <c r="K45" i="6" s="1"/>
  <c r="J85" i="6"/>
  <c r="K85" i="6" s="1"/>
  <c r="D29" i="3"/>
  <c r="D31" i="3" s="1"/>
  <c r="I31" i="3"/>
  <c r="I35" i="3"/>
  <c r="O49" i="3"/>
  <c r="T10" i="7"/>
  <c r="U11" i="7"/>
  <c r="P13" i="4"/>
  <c r="V12" i="7"/>
  <c r="Q14" i="4"/>
  <c r="S13" i="7"/>
  <c r="C13" i="7"/>
  <c r="M13" i="7" s="1"/>
  <c r="C19" i="9"/>
  <c r="H19" i="9" s="1"/>
  <c r="I36" i="3"/>
  <c r="I38" i="3" s="1"/>
  <c r="U17" i="7"/>
  <c r="P22" i="4"/>
  <c r="V19" i="7"/>
  <c r="Q24" i="4"/>
  <c r="S20" i="7"/>
  <c r="T22" i="7"/>
  <c r="G40" i="5"/>
  <c r="H65" i="5"/>
  <c r="G84" i="5"/>
  <c r="H133" i="5"/>
  <c r="H131" i="5" s="1"/>
  <c r="G131" i="5"/>
  <c r="D395" i="5"/>
  <c r="H396" i="5"/>
  <c r="H322" i="5"/>
  <c r="G348" i="5"/>
  <c r="G342" i="5" s="1"/>
  <c r="H349" i="5"/>
  <c r="G409" i="5"/>
  <c r="M421" i="5"/>
  <c r="D429" i="5" s="1"/>
  <c r="H429" i="5" s="1"/>
  <c r="N421" i="5"/>
  <c r="D495" i="5" s="1"/>
  <c r="H495" i="5" s="1"/>
  <c r="D453" i="5"/>
  <c r="N454" i="5"/>
  <c r="D531" i="5" s="1"/>
  <c r="H531" i="5" s="1"/>
  <c r="D465" i="5"/>
  <c r="H465" i="5" s="1"/>
  <c r="F16" i="9"/>
  <c r="K16" i="9" s="1"/>
  <c r="L26" i="3"/>
  <c r="G26" i="3" s="1"/>
  <c r="G28" i="3" s="1"/>
  <c r="H48" i="5"/>
  <c r="G47" i="5"/>
  <c r="H114" i="5"/>
  <c r="H352" i="5"/>
  <c r="D348" i="5"/>
  <c r="D216" i="5"/>
  <c r="D210" i="5" s="1"/>
  <c r="D273" i="5" s="1"/>
  <c r="H246" i="5"/>
  <c r="H519" i="5"/>
  <c r="D455" i="5"/>
  <c r="H455" i="5" s="1"/>
  <c r="N445" i="5"/>
  <c r="D521" i="5" s="1"/>
  <c r="H521" i="5" s="1"/>
  <c r="H71" i="6"/>
  <c r="J71" i="6" s="1"/>
  <c r="K71" i="6" s="1"/>
  <c r="R21" i="6"/>
  <c r="F27" i="3"/>
  <c r="I28" i="3"/>
  <c r="P39" i="3"/>
  <c r="O46" i="3"/>
  <c r="O66" i="3"/>
  <c r="Q66" i="3" s="1"/>
  <c r="V10" i="7"/>
  <c r="Q12" i="4"/>
  <c r="S11" i="7"/>
  <c r="C17" i="9"/>
  <c r="H17" i="9" s="1"/>
  <c r="C11" i="7"/>
  <c r="M11" i="7" s="1"/>
  <c r="T12" i="7"/>
  <c r="U13" i="7"/>
  <c r="P15" i="4"/>
  <c r="S17" i="7"/>
  <c r="C26" i="9"/>
  <c r="H26" i="9" s="1"/>
  <c r="C17" i="7"/>
  <c r="M17" i="7" s="1"/>
  <c r="I51" i="3"/>
  <c r="I53" i="3" s="1"/>
  <c r="T19" i="7"/>
  <c r="U20" i="7"/>
  <c r="C30" i="9"/>
  <c r="H30" i="9" s="1"/>
  <c r="C21" i="7"/>
  <c r="M21" i="7" s="1"/>
  <c r="Q27" i="4"/>
  <c r="I39" i="4"/>
  <c r="F127" i="5" s="1"/>
  <c r="H19" i="5"/>
  <c r="G106" i="5"/>
  <c r="G145" i="5"/>
  <c r="H189" i="5"/>
  <c r="G205" i="5"/>
  <c r="G216" i="5"/>
  <c r="H218" i="5"/>
  <c r="H307" i="5"/>
  <c r="H304" i="5" s="1"/>
  <c r="G304" i="5"/>
  <c r="G414" i="5"/>
  <c r="H415" i="5"/>
  <c r="D464" i="5"/>
  <c r="H464" i="5" s="1"/>
  <c r="D530" i="5"/>
  <c r="D533" i="5"/>
  <c r="H533" i="5" s="1"/>
  <c r="J25" i="6"/>
  <c r="J27" i="6"/>
  <c r="J35" i="6"/>
  <c r="C12" i="7"/>
  <c r="M12" i="7" s="1"/>
  <c r="C18" i="9"/>
  <c r="H18" i="9" s="1"/>
  <c r="C28" i="9"/>
  <c r="H28" i="9" s="1"/>
  <c r="C19" i="7"/>
  <c r="M19" i="7" s="1"/>
  <c r="Q25" i="4"/>
  <c r="V20" i="7"/>
  <c r="G179" i="5"/>
  <c r="H356" i="5"/>
  <c r="H373" i="5"/>
  <c r="D370" i="5"/>
  <c r="H260" i="5"/>
  <c r="D459" i="5"/>
  <c r="H459" i="5" s="1"/>
  <c r="N448" i="5"/>
  <c r="D525" i="5" s="1"/>
  <c r="H525" i="5" s="1"/>
  <c r="N17" i="6"/>
  <c r="R17" i="6"/>
  <c r="P17" i="6"/>
  <c r="J19" i="6"/>
  <c r="C16" i="9"/>
  <c r="H16" i="9" s="1"/>
  <c r="C10" i="7"/>
  <c r="M10" i="7" s="1"/>
  <c r="C22" i="7"/>
  <c r="M22" i="7" s="1"/>
  <c r="C31" i="9"/>
  <c r="H31" i="9" s="1"/>
  <c r="I48" i="4"/>
  <c r="M54" i="11"/>
  <c r="I54" i="11"/>
  <c r="E54" i="11"/>
  <c r="K54" i="11"/>
  <c r="G54" i="11"/>
  <c r="C54" i="11"/>
  <c r="F54" i="11"/>
  <c r="J54" i="11"/>
  <c r="B54" i="11"/>
  <c r="H54" i="11"/>
  <c r="D54" i="11"/>
  <c r="L54" i="11"/>
  <c r="G79" i="5"/>
  <c r="H146" i="5"/>
  <c r="H354" i="5"/>
  <c r="H358" i="5"/>
  <c r="H376" i="5"/>
  <c r="H375" i="5" s="1"/>
  <c r="D375" i="5"/>
  <c r="H261" i="5"/>
  <c r="G277" i="5"/>
  <c r="H279" i="5"/>
  <c r="G311" i="5"/>
  <c r="H312" i="5"/>
  <c r="D442" i="5"/>
  <c r="N432" i="5"/>
  <c r="D508" i="5" s="1"/>
  <c r="D451" i="5"/>
  <c r="H451" i="5" s="1"/>
  <c r="D517" i="5"/>
  <c r="H517" i="5" s="1"/>
  <c r="D524" i="5"/>
  <c r="H524" i="5" s="1"/>
  <c r="N18" i="6"/>
  <c r="J43" i="6"/>
  <c r="H344" i="5"/>
  <c r="H343" i="5" s="1"/>
  <c r="H379" i="5"/>
  <c r="H430" i="5"/>
  <c r="D448" i="5"/>
  <c r="H448" i="5" s="1"/>
  <c r="H514" i="5"/>
  <c r="G443" i="5"/>
  <c r="H484" i="5"/>
  <c r="G518" i="5"/>
  <c r="J70" i="6"/>
  <c r="K70" i="6" s="1"/>
  <c r="G34" i="11"/>
  <c r="L22" i="11"/>
  <c r="H22" i="11"/>
  <c r="D22" i="11"/>
  <c r="J22" i="11"/>
  <c r="F22" i="11"/>
  <c r="B22" i="11"/>
  <c r="G22" i="11"/>
  <c r="K22" i="11"/>
  <c r="C22" i="11"/>
  <c r="M22" i="11"/>
  <c r="K34" i="8"/>
  <c r="L34" i="8" s="1"/>
  <c r="D80" i="5" s="1"/>
  <c r="E22" i="11"/>
  <c r="C29" i="9"/>
  <c r="H29" i="9" s="1"/>
  <c r="C20" i="7"/>
  <c r="M20" i="7" s="1"/>
  <c r="D238" i="5"/>
  <c r="G254" i="5"/>
  <c r="D343" i="5"/>
  <c r="G403" i="5"/>
  <c r="H434" i="5"/>
  <c r="H437" i="5"/>
  <c r="M10" i="11"/>
  <c r="I10" i="11"/>
  <c r="E10" i="11"/>
  <c r="K10" i="11"/>
  <c r="G10" i="11"/>
  <c r="C10" i="11"/>
  <c r="J10" i="11"/>
  <c r="B10" i="11"/>
  <c r="F10" i="11"/>
  <c r="H10" i="11"/>
  <c r="D10" i="11"/>
  <c r="L10" i="11"/>
  <c r="K11" i="8"/>
  <c r="L11" i="8" s="1"/>
  <c r="K109" i="8"/>
  <c r="L107" i="8" s="1"/>
  <c r="D410" i="5" s="1"/>
  <c r="M47" i="11"/>
  <c r="L59" i="11"/>
  <c r="H59" i="11"/>
  <c r="D59" i="11"/>
  <c r="J59" i="11"/>
  <c r="F59" i="11"/>
  <c r="B59" i="11"/>
  <c r="M59" i="11"/>
  <c r="E59" i="11"/>
  <c r="I59" i="11"/>
  <c r="K59" i="11"/>
  <c r="C59" i="11"/>
  <c r="K132" i="8"/>
  <c r="L132" i="8" s="1"/>
  <c r="D476" i="5" s="1"/>
  <c r="I22" i="11"/>
  <c r="H485" i="5"/>
  <c r="H493" i="5"/>
  <c r="L77" i="8"/>
  <c r="D278" i="5" s="1"/>
  <c r="G475" i="5"/>
  <c r="J16" i="6"/>
  <c r="J26" i="6"/>
  <c r="J28" i="6"/>
  <c r="J40" i="6"/>
  <c r="J42" i="6"/>
  <c r="J44" i="6"/>
  <c r="K44" i="6" s="1"/>
  <c r="L34" i="11"/>
  <c r="H34" i="11"/>
  <c r="D34" i="11"/>
  <c r="J34" i="11"/>
  <c r="F34" i="11"/>
  <c r="B34" i="11"/>
  <c r="I34" i="11"/>
  <c r="M34" i="11"/>
  <c r="E34" i="11"/>
  <c r="C34" i="11"/>
  <c r="L47" i="11"/>
  <c r="H47" i="11"/>
  <c r="D47" i="11"/>
  <c r="J47" i="11"/>
  <c r="F47" i="11"/>
  <c r="B47" i="11"/>
  <c r="K47" i="11"/>
  <c r="C47" i="11"/>
  <c r="G47" i="11"/>
  <c r="I47" i="11"/>
  <c r="E47" i="11"/>
  <c r="K34" i="11"/>
  <c r="M437" i="5"/>
  <c r="M48" i="11"/>
  <c r="N48" i="11" s="1"/>
  <c r="M60" i="11"/>
  <c r="N60" i="11" s="1"/>
  <c r="N21" i="6" l="1"/>
  <c r="K90" i="6"/>
  <c r="P21" i="6"/>
  <c r="E13" i="7"/>
  <c r="O13" i="7" s="1"/>
  <c r="I70" i="3"/>
  <c r="W80" i="6"/>
  <c r="J40" i="3"/>
  <c r="D14" i="7"/>
  <c r="N14" i="7" s="1"/>
  <c r="D20" i="9"/>
  <c r="I20" i="9" s="1"/>
  <c r="G474" i="5"/>
  <c r="E19" i="9"/>
  <c r="J19" i="9" s="1"/>
  <c r="L40" i="3"/>
  <c r="F20" i="9"/>
  <c r="K20" i="9" s="1"/>
  <c r="F14" i="7"/>
  <c r="P14" i="7" s="1"/>
  <c r="K40" i="3"/>
  <c r="K42" i="3" s="1"/>
  <c r="K43" i="3" s="1"/>
  <c r="E20" i="9"/>
  <c r="J20" i="9" s="1"/>
  <c r="E14" i="7"/>
  <c r="O14" i="7" s="1"/>
  <c r="M40" i="3"/>
  <c r="G20" i="9"/>
  <c r="L20" i="9" s="1"/>
  <c r="G14" i="7"/>
  <c r="Q14" i="7" s="1"/>
  <c r="D439" i="5"/>
  <c r="K81" i="6"/>
  <c r="P18" i="6"/>
  <c r="N41" i="6"/>
  <c r="R41" i="6"/>
  <c r="G144" i="5"/>
  <c r="G276" i="5"/>
  <c r="K41" i="11"/>
  <c r="J41" i="11"/>
  <c r="E41" i="11"/>
  <c r="L41" i="11"/>
  <c r="D41" i="11"/>
  <c r="F457" i="5"/>
  <c r="G457" i="5" s="1"/>
  <c r="G452" i="5" s="1"/>
  <c r="H536" i="5"/>
  <c r="H535" i="5" s="1"/>
  <c r="G535" i="5"/>
  <c r="G501" i="5" s="1"/>
  <c r="G537" i="5" s="1"/>
  <c r="B41" i="11"/>
  <c r="C41" i="11"/>
  <c r="I41" i="11"/>
  <c r="F470" i="5"/>
  <c r="G470" i="5" s="1"/>
  <c r="F41" i="11"/>
  <c r="H41" i="11"/>
  <c r="G41" i="11"/>
  <c r="M41" i="11"/>
  <c r="D18" i="9"/>
  <c r="I18" i="9" s="1"/>
  <c r="M51" i="3"/>
  <c r="M53" i="3" s="1"/>
  <c r="D22" i="7"/>
  <c r="N22" i="7" s="1"/>
  <c r="D31" i="9"/>
  <c r="I31" i="9" s="1"/>
  <c r="L57" i="3"/>
  <c r="G57" i="3" s="1"/>
  <c r="G59" i="3" s="1"/>
  <c r="F28" i="9"/>
  <c r="K28" i="9" s="1"/>
  <c r="G17" i="7"/>
  <c r="Q17" i="7" s="1"/>
  <c r="K51" i="3"/>
  <c r="K53" i="3" s="1"/>
  <c r="H29" i="3"/>
  <c r="H31" i="3" s="1"/>
  <c r="K31" i="3"/>
  <c r="E17" i="9"/>
  <c r="J17" i="9" s="1"/>
  <c r="J35" i="3"/>
  <c r="G188" i="5"/>
  <c r="G171" i="5" s="1"/>
  <c r="N436" i="5"/>
  <c r="D512" i="5" s="1"/>
  <c r="H512" i="5" s="1"/>
  <c r="M436" i="5"/>
  <c r="D446" i="5" s="1"/>
  <c r="H446" i="5" s="1"/>
  <c r="H216" i="5"/>
  <c r="M36" i="3"/>
  <c r="H36" i="3" s="1"/>
  <c r="H38" i="3" s="1"/>
  <c r="F22" i="7"/>
  <c r="P22" i="7" s="1"/>
  <c r="G13" i="7"/>
  <c r="Q13" i="7" s="1"/>
  <c r="K38" i="3"/>
  <c r="D311" i="5"/>
  <c r="D303" i="5" s="1"/>
  <c r="Q49" i="3"/>
  <c r="D511" i="5"/>
  <c r="H511" i="5" s="1"/>
  <c r="D10" i="7"/>
  <c r="N10" i="7" s="1"/>
  <c r="Q56" i="3"/>
  <c r="L69" i="3"/>
  <c r="G67" i="3"/>
  <c r="G69" i="3" s="1"/>
  <c r="F40" i="3"/>
  <c r="F42" i="3" s="1"/>
  <c r="F43" i="3" s="1"/>
  <c r="F31" i="9"/>
  <c r="K31" i="9" s="1"/>
  <c r="H245" i="5"/>
  <c r="K61" i="3"/>
  <c r="F61" i="3" s="1"/>
  <c r="F63" i="3" s="1"/>
  <c r="F18" i="9"/>
  <c r="K18" i="9" s="1"/>
  <c r="D342" i="5"/>
  <c r="D405" i="5" s="1"/>
  <c r="H254" i="5"/>
  <c r="H461" i="5"/>
  <c r="D16" i="9"/>
  <c r="I16" i="9" s="1"/>
  <c r="J69" i="3"/>
  <c r="G237" i="5"/>
  <c r="G369" i="5"/>
  <c r="G405" i="5" s="1"/>
  <c r="E5" i="11"/>
  <c r="F5" i="11"/>
  <c r="J5" i="11"/>
  <c r="G12" i="5"/>
  <c r="G5" i="11"/>
  <c r="K5" i="11"/>
  <c r="F61" i="5"/>
  <c r="G61" i="5" s="1"/>
  <c r="H61" i="5" s="1"/>
  <c r="H56" i="5" s="1"/>
  <c r="H5" i="11"/>
  <c r="M5" i="11"/>
  <c r="H188" i="5"/>
  <c r="H410" i="5"/>
  <c r="N20" i="6"/>
  <c r="R20" i="6"/>
  <c r="P20" i="6"/>
  <c r="H145" i="5"/>
  <c r="H144" i="5" s="1"/>
  <c r="H395" i="5"/>
  <c r="G11" i="7"/>
  <c r="Q11" i="7" s="1"/>
  <c r="H263" i="5"/>
  <c r="F12" i="7"/>
  <c r="P12" i="7" s="1"/>
  <c r="D19" i="7"/>
  <c r="N19" i="7" s="1"/>
  <c r="E29" i="9"/>
  <c r="J29" i="9" s="1"/>
  <c r="E57" i="3"/>
  <c r="E59" i="3" s="1"/>
  <c r="D502" i="5"/>
  <c r="H502" i="5"/>
  <c r="N59" i="11"/>
  <c r="H370" i="5"/>
  <c r="D28" i="9"/>
  <c r="I28" i="9" s="1"/>
  <c r="G17" i="9"/>
  <c r="L17" i="9" s="1"/>
  <c r="E17" i="7"/>
  <c r="O17" i="7" s="1"/>
  <c r="I42" i="3"/>
  <c r="I43" i="3" s="1"/>
  <c r="D42" i="3"/>
  <c r="D43" i="3" s="1"/>
  <c r="H311" i="5"/>
  <c r="R24" i="6"/>
  <c r="P24" i="6"/>
  <c r="R22" i="6"/>
  <c r="P22" i="6"/>
  <c r="N22" i="6"/>
  <c r="N24" i="6"/>
  <c r="G78" i="5"/>
  <c r="I5" i="11"/>
  <c r="D5" i="11"/>
  <c r="D12" i="7"/>
  <c r="N12" i="7" s="1"/>
  <c r="O50" i="3"/>
  <c r="L35" i="3"/>
  <c r="E11" i="7"/>
  <c r="O11" i="7" s="1"/>
  <c r="D207" i="5"/>
  <c r="H377" i="5"/>
  <c r="H211" i="5"/>
  <c r="J28" i="3"/>
  <c r="E26" i="3"/>
  <c r="E28" i="3" s="1"/>
  <c r="H183" i="5"/>
  <c r="P42" i="6"/>
  <c r="R42" i="6"/>
  <c r="N42" i="6"/>
  <c r="K62" i="6"/>
  <c r="P15" i="6"/>
  <c r="R15" i="6"/>
  <c r="D32" i="3"/>
  <c r="P27" i="6"/>
  <c r="N27" i="6"/>
  <c r="R27" i="6"/>
  <c r="I60" i="3"/>
  <c r="P23" i="6"/>
  <c r="R23" i="6"/>
  <c r="N23" i="6"/>
  <c r="P16" i="6"/>
  <c r="R16" i="6"/>
  <c r="N16" i="6"/>
  <c r="P28" i="6"/>
  <c r="R28" i="6"/>
  <c r="N28" i="6"/>
  <c r="K73" i="6"/>
  <c r="L147" i="8"/>
  <c r="D14" i="5"/>
  <c r="H453" i="5"/>
  <c r="D452" i="5"/>
  <c r="D19" i="9"/>
  <c r="I19" i="9" s="1"/>
  <c r="D13" i="7"/>
  <c r="N13" i="7" s="1"/>
  <c r="J36" i="3"/>
  <c r="P45" i="6"/>
  <c r="N45" i="6"/>
  <c r="R45" i="6"/>
  <c r="H117" i="5"/>
  <c r="H113" i="5" s="1"/>
  <c r="D113" i="5"/>
  <c r="D105" i="5" s="1"/>
  <c r="N47" i="11"/>
  <c r="M17" i="11"/>
  <c r="I17" i="11"/>
  <c r="E17" i="11"/>
  <c r="K17" i="11"/>
  <c r="G17" i="11"/>
  <c r="H17" i="11"/>
  <c r="L17" i="11"/>
  <c r="D17" i="11"/>
  <c r="J17" i="11"/>
  <c r="F17" i="11"/>
  <c r="G127" i="5"/>
  <c r="E28" i="9"/>
  <c r="J28" i="9" s="1"/>
  <c r="E19" i="7"/>
  <c r="O19" i="7" s="1"/>
  <c r="K57" i="3"/>
  <c r="G10" i="7"/>
  <c r="Q10" i="7" s="1"/>
  <c r="G16" i="9"/>
  <c r="L16" i="9" s="1"/>
  <c r="M26" i="3"/>
  <c r="D414" i="5"/>
  <c r="H348" i="5"/>
  <c r="H342" i="5" s="1"/>
  <c r="D36" i="3"/>
  <c r="D38" i="3" s="1"/>
  <c r="I39" i="3"/>
  <c r="N34" i="11"/>
  <c r="P44" i="6"/>
  <c r="R44" i="6"/>
  <c r="N44" i="6"/>
  <c r="P40" i="6"/>
  <c r="R40" i="6"/>
  <c r="N40" i="6"/>
  <c r="P26" i="6"/>
  <c r="R26" i="6"/>
  <c r="N26" i="6"/>
  <c r="D461" i="5"/>
  <c r="P35" i="6"/>
  <c r="N35" i="6"/>
  <c r="R35" i="6"/>
  <c r="P25" i="6"/>
  <c r="N25" i="6"/>
  <c r="R25" i="6"/>
  <c r="F19" i="9"/>
  <c r="K19" i="9" s="1"/>
  <c r="F13" i="7"/>
  <c r="P13" i="7" s="1"/>
  <c r="L36" i="3"/>
  <c r="E18" i="9"/>
  <c r="J18" i="9" s="1"/>
  <c r="E12" i="7"/>
  <c r="O12" i="7" s="1"/>
  <c r="K33" i="3"/>
  <c r="D11" i="7"/>
  <c r="N11" i="7" s="1"/>
  <c r="D17" i="9"/>
  <c r="I17" i="9" s="1"/>
  <c r="J29" i="3"/>
  <c r="M58" i="11"/>
  <c r="I58" i="11"/>
  <c r="E58" i="11"/>
  <c r="K58" i="11"/>
  <c r="G58" i="11"/>
  <c r="C58" i="11"/>
  <c r="J58" i="11"/>
  <c r="B58" i="11"/>
  <c r="F58" i="11"/>
  <c r="L58" i="11"/>
  <c r="H58" i="11"/>
  <c r="D58" i="11"/>
  <c r="C16" i="3"/>
  <c r="E16" i="3" s="1"/>
  <c r="B21" i="11"/>
  <c r="D10" i="3"/>
  <c r="D17" i="3" s="1"/>
  <c r="I32" i="3"/>
  <c r="H518" i="5"/>
  <c r="G408" i="5"/>
  <c r="F26" i="9"/>
  <c r="K26" i="9" s="1"/>
  <c r="F17" i="7"/>
  <c r="P17" i="7" s="1"/>
  <c r="L51" i="3"/>
  <c r="N50" i="3"/>
  <c r="Q46" i="3"/>
  <c r="J404" i="5"/>
  <c r="L28" i="3"/>
  <c r="H26" i="5"/>
  <c r="H18" i="5" s="1"/>
  <c r="D18" i="5"/>
  <c r="H80" i="5"/>
  <c r="H82" i="5"/>
  <c r="P43" i="6"/>
  <c r="N43" i="6"/>
  <c r="R43" i="6"/>
  <c r="D507" i="5"/>
  <c r="H508" i="5"/>
  <c r="H507" i="5" s="1"/>
  <c r="M29" i="11"/>
  <c r="I29" i="11"/>
  <c r="E29" i="11"/>
  <c r="K29" i="11"/>
  <c r="G29" i="11"/>
  <c r="C29" i="11"/>
  <c r="J29" i="11"/>
  <c r="B29" i="11"/>
  <c r="F29" i="11"/>
  <c r="L29" i="11"/>
  <c r="H29" i="11"/>
  <c r="D29" i="11"/>
  <c r="F325" i="5"/>
  <c r="G325" i="5" s="1"/>
  <c r="N19" i="6"/>
  <c r="R19" i="6"/>
  <c r="P19" i="6"/>
  <c r="H530" i="5"/>
  <c r="D527" i="5"/>
  <c r="D29" i="9"/>
  <c r="I29" i="9" s="1"/>
  <c r="D20" i="7"/>
  <c r="N20" i="7" s="1"/>
  <c r="J61" i="3"/>
  <c r="H51" i="3"/>
  <c r="H53" i="3" s="1"/>
  <c r="H51" i="5"/>
  <c r="D47" i="5"/>
  <c r="D39" i="5" s="1"/>
  <c r="H280" i="5"/>
  <c r="H278" i="5"/>
  <c r="N10" i="11"/>
  <c r="D84" i="5"/>
  <c r="H92" i="5"/>
  <c r="H84" i="5" s="1"/>
  <c r="N22" i="11"/>
  <c r="H442" i="5"/>
  <c r="H441" i="5" s="1"/>
  <c r="D441" i="5"/>
  <c r="F29" i="9"/>
  <c r="K29" i="9" s="1"/>
  <c r="F20" i="7"/>
  <c r="P20" i="7" s="1"/>
  <c r="L61" i="3"/>
  <c r="J272" i="5"/>
  <c r="D513" i="5"/>
  <c r="D447" i="5"/>
  <c r="H476" i="5"/>
  <c r="H478" i="5"/>
  <c r="G29" i="9"/>
  <c r="L29" i="9" s="1"/>
  <c r="G20" i="7"/>
  <c r="Q20" i="7" s="1"/>
  <c r="M61" i="3"/>
  <c r="H237" i="5"/>
  <c r="G31" i="9"/>
  <c r="L31" i="9" s="1"/>
  <c r="G22" i="7"/>
  <c r="Q22" i="7" s="1"/>
  <c r="M67" i="3"/>
  <c r="D26" i="9"/>
  <c r="I26" i="9" s="1"/>
  <c r="D17" i="7"/>
  <c r="N17" i="7" s="1"/>
  <c r="J51" i="3"/>
  <c r="D518" i="5"/>
  <c r="E31" i="9"/>
  <c r="J31" i="9" s="1"/>
  <c r="E22" i="7"/>
  <c r="O22" i="7" s="1"/>
  <c r="K67" i="3"/>
  <c r="G28" i="9"/>
  <c r="L28" i="9" s="1"/>
  <c r="G19" i="7"/>
  <c r="Q19" i="7" s="1"/>
  <c r="M57" i="3"/>
  <c r="G12" i="7"/>
  <c r="Q12" i="7" s="1"/>
  <c r="G18" i="9"/>
  <c r="L18" i="9" s="1"/>
  <c r="M33" i="3"/>
  <c r="F17" i="9"/>
  <c r="K17" i="9" s="1"/>
  <c r="F11" i="7"/>
  <c r="P11" i="7" s="1"/>
  <c r="L29" i="3"/>
  <c r="E16" i="9"/>
  <c r="J16" i="9" s="1"/>
  <c r="E10" i="7"/>
  <c r="O10" i="7" s="1"/>
  <c r="K26" i="3"/>
  <c r="L59" i="3"/>
  <c r="G210" i="5"/>
  <c r="G273" i="5" s="1"/>
  <c r="P71" i="3"/>
  <c r="P62" i="6" l="1"/>
  <c r="O62" i="6" s="1"/>
  <c r="F51" i="3"/>
  <c r="F53" i="3" s="1"/>
  <c r="H210" i="5"/>
  <c r="H273" i="5" s="1"/>
  <c r="J273" i="5" s="1"/>
  <c r="G40" i="3"/>
  <c r="G42" i="3" s="1"/>
  <c r="G43" i="3" s="1"/>
  <c r="L42" i="3"/>
  <c r="L43" i="3" s="1"/>
  <c r="H40" i="3"/>
  <c r="H42" i="3" s="1"/>
  <c r="H43" i="3" s="1"/>
  <c r="M42" i="3"/>
  <c r="M43" i="3" s="1"/>
  <c r="M38" i="3"/>
  <c r="E40" i="3"/>
  <c r="E42" i="3" s="1"/>
  <c r="E43" i="3" s="1"/>
  <c r="J42" i="3"/>
  <c r="J43" i="3" s="1"/>
  <c r="H439" i="5"/>
  <c r="H436" i="5" s="1"/>
  <c r="D436" i="5"/>
  <c r="G207" i="5"/>
  <c r="H457" i="5"/>
  <c r="H452" i="5" s="1"/>
  <c r="H470" i="5"/>
  <c r="H469" i="5" s="1"/>
  <c r="G469" i="5"/>
  <c r="G435" i="5" s="1"/>
  <c r="G471" i="5" s="1"/>
  <c r="G56" i="5"/>
  <c r="G39" i="5" s="1"/>
  <c r="G75" i="5" s="1"/>
  <c r="K63" i="3"/>
  <c r="Q50" i="3"/>
  <c r="H277" i="5"/>
  <c r="H276" i="5" s="1"/>
  <c r="D277" i="5"/>
  <c r="D276" i="5" s="1"/>
  <c r="D339" i="5" s="1"/>
  <c r="H369" i="5"/>
  <c r="H405" i="5" s="1"/>
  <c r="J405" i="5" s="1"/>
  <c r="D409" i="5"/>
  <c r="D408" i="5" s="1"/>
  <c r="H412" i="5"/>
  <c r="H409" i="5" s="1"/>
  <c r="J74" i="5"/>
  <c r="D79" i="5"/>
  <c r="D78" i="5" s="1"/>
  <c r="D141" i="5" s="1"/>
  <c r="H79" i="5"/>
  <c r="H78" i="5" s="1"/>
  <c r="H47" i="5"/>
  <c r="H39" i="5" s="1"/>
  <c r="J206" i="5"/>
  <c r="H179" i="5"/>
  <c r="H171" i="5" s="1"/>
  <c r="H207" i="5" s="1"/>
  <c r="F11" i="3" s="1"/>
  <c r="H57" i="3"/>
  <c r="H59" i="3" s="1"/>
  <c r="H60" i="3" s="1"/>
  <c r="M59" i="3"/>
  <c r="H513" i="5"/>
  <c r="H509" i="5" s="1"/>
  <c r="D509" i="5"/>
  <c r="D501" i="5" s="1"/>
  <c r="J63" i="3"/>
  <c r="E61" i="3"/>
  <c r="E63" i="3" s="1"/>
  <c r="H527" i="5"/>
  <c r="H325" i="5"/>
  <c r="G320" i="5"/>
  <c r="G303" i="5" s="1"/>
  <c r="G339" i="5" s="1"/>
  <c r="F33" i="3"/>
  <c r="F35" i="3" s="1"/>
  <c r="K35" i="3"/>
  <c r="D39" i="3"/>
  <c r="D71" i="3" s="1"/>
  <c r="H26" i="3"/>
  <c r="H28" i="3" s="1"/>
  <c r="H32" i="3" s="1"/>
  <c r="M28" i="3"/>
  <c r="M32" i="3" s="1"/>
  <c r="R62" i="6"/>
  <c r="Q62" i="6" s="1"/>
  <c r="H33" i="3"/>
  <c r="H35" i="3" s="1"/>
  <c r="H39" i="3" s="1"/>
  <c r="M35" i="3"/>
  <c r="D475" i="5"/>
  <c r="I71" i="3"/>
  <c r="N58" i="11"/>
  <c r="E29" i="3"/>
  <c r="E31" i="3" s="1"/>
  <c r="J31" i="3"/>
  <c r="N62" i="6"/>
  <c r="M62" i="6" s="1"/>
  <c r="L31" i="3"/>
  <c r="L32" i="3" s="1"/>
  <c r="G29" i="3"/>
  <c r="G31" i="3" s="1"/>
  <c r="G32" i="3" s="1"/>
  <c r="M69" i="3"/>
  <c r="H67" i="3"/>
  <c r="H69" i="3" s="1"/>
  <c r="H475" i="5"/>
  <c r="G61" i="3"/>
  <c r="G63" i="3" s="1"/>
  <c r="G70" i="3" s="1"/>
  <c r="L63" i="3"/>
  <c r="L70" i="3" s="1"/>
  <c r="M60" i="3"/>
  <c r="G51" i="3"/>
  <c r="G53" i="3" s="1"/>
  <c r="G60" i="3" s="1"/>
  <c r="L53" i="3"/>
  <c r="L60" i="3" s="1"/>
  <c r="H127" i="5"/>
  <c r="G122" i="5"/>
  <c r="G105" i="5" s="1"/>
  <c r="G141" i="5" s="1"/>
  <c r="H16" i="5"/>
  <c r="H14" i="5"/>
  <c r="F26" i="3"/>
  <c r="F28" i="3" s="1"/>
  <c r="K28" i="3"/>
  <c r="F67" i="3"/>
  <c r="F69" i="3" s="1"/>
  <c r="K69" i="3"/>
  <c r="J53" i="3"/>
  <c r="E51" i="3"/>
  <c r="E53" i="3" s="1"/>
  <c r="H61" i="3"/>
  <c r="H63" i="3" s="1"/>
  <c r="M63" i="3"/>
  <c r="H447" i="5"/>
  <c r="H443" i="5" s="1"/>
  <c r="D443" i="5"/>
  <c r="G36" i="3"/>
  <c r="G38" i="3" s="1"/>
  <c r="G39" i="3" s="1"/>
  <c r="L38" i="3"/>
  <c r="L39" i="3" s="1"/>
  <c r="F57" i="3"/>
  <c r="F59" i="3" s="1"/>
  <c r="K59" i="3"/>
  <c r="E36" i="3"/>
  <c r="E38" i="3" s="1"/>
  <c r="E39" i="3" s="1"/>
  <c r="J38" i="3"/>
  <c r="J39" i="3" s="1"/>
  <c r="D435" i="5" l="1"/>
  <c r="O42" i="3"/>
  <c r="O43" i="3" s="1"/>
  <c r="C11" i="3" s="1"/>
  <c r="N42" i="3"/>
  <c r="N43" i="3" s="1"/>
  <c r="B11" i="3" s="1"/>
  <c r="M39" i="3"/>
  <c r="O59" i="3"/>
  <c r="H435" i="5"/>
  <c r="D471" i="5"/>
  <c r="H501" i="5"/>
  <c r="J207" i="5"/>
  <c r="J60" i="3"/>
  <c r="O53" i="3"/>
  <c r="AA15" i="6"/>
  <c r="Z15" i="6"/>
  <c r="AG15" i="6" s="1"/>
  <c r="AH15" i="6" s="1"/>
  <c r="K39" i="3"/>
  <c r="O35" i="3"/>
  <c r="J70" i="3"/>
  <c r="O63" i="3"/>
  <c r="N59" i="3"/>
  <c r="M70" i="3"/>
  <c r="M71" i="3" s="1"/>
  <c r="O69" i="3"/>
  <c r="K70" i="3"/>
  <c r="AB15" i="6"/>
  <c r="AI15" i="6" s="1"/>
  <c r="AJ15" i="6" s="1"/>
  <c r="AC15" i="6"/>
  <c r="G71" i="3"/>
  <c r="J32" i="3"/>
  <c r="O31" i="3"/>
  <c r="F39" i="3"/>
  <c r="N35" i="3"/>
  <c r="L71" i="3"/>
  <c r="O38" i="3"/>
  <c r="H70" i="3"/>
  <c r="H71" i="3" s="1"/>
  <c r="N69" i="3"/>
  <c r="F70" i="3"/>
  <c r="D13" i="5"/>
  <c r="D12" i="5" s="1"/>
  <c r="D75" i="5" s="1"/>
  <c r="H122" i="5"/>
  <c r="H105" i="5" s="1"/>
  <c r="H141" i="5" s="1"/>
  <c r="J140" i="5"/>
  <c r="E32" i="3"/>
  <c r="N31" i="3"/>
  <c r="Q31" i="3" s="1"/>
  <c r="K60" i="3"/>
  <c r="F32" i="3"/>
  <c r="N28" i="3"/>
  <c r="J338" i="5"/>
  <c r="H320" i="5"/>
  <c r="H303" i="5" s="1"/>
  <c r="H339" i="5" s="1"/>
  <c r="N53" i="3"/>
  <c r="E60" i="3"/>
  <c r="K32" i="3"/>
  <c r="O28" i="3"/>
  <c r="H13" i="5"/>
  <c r="H12" i="5" s="1"/>
  <c r="H75" i="5" s="1"/>
  <c r="F60" i="3"/>
  <c r="AE15" i="6"/>
  <c r="AD15" i="6"/>
  <c r="AK15" i="6" s="1"/>
  <c r="AL15" i="6" s="1"/>
  <c r="N38" i="3"/>
  <c r="N63" i="3"/>
  <c r="E70" i="3"/>
  <c r="E11" i="3" l="1"/>
  <c r="Q42" i="3"/>
  <c r="Q43" i="3" s="1"/>
  <c r="Q59" i="3"/>
  <c r="O39" i="3"/>
  <c r="J71" i="3"/>
  <c r="O32" i="3"/>
  <c r="L9" i="11" s="1"/>
  <c r="AN15" i="6"/>
  <c r="AR15" i="6"/>
  <c r="K24" i="11"/>
  <c r="G24" i="11"/>
  <c r="C24" i="11"/>
  <c r="M24" i="11"/>
  <c r="I24" i="11"/>
  <c r="E24" i="11"/>
  <c r="L24" i="11"/>
  <c r="D24" i="11"/>
  <c r="H24" i="11"/>
  <c r="F24" i="11"/>
  <c r="B24" i="11"/>
  <c r="J24" i="11"/>
  <c r="F10" i="3"/>
  <c r="J141" i="5"/>
  <c r="C15" i="3"/>
  <c r="O70" i="3"/>
  <c r="L12" i="11"/>
  <c r="H12" i="11"/>
  <c r="D12" i="11"/>
  <c r="J12" i="11"/>
  <c r="F12" i="11"/>
  <c r="B12" i="11"/>
  <c r="G12" i="11"/>
  <c r="K12" i="11"/>
  <c r="C12" i="11"/>
  <c r="M12" i="11"/>
  <c r="E12" i="11"/>
  <c r="I12" i="11"/>
  <c r="J75" i="5"/>
  <c r="F9" i="3"/>
  <c r="N60" i="3"/>
  <c r="Q53" i="3"/>
  <c r="B13" i="3"/>
  <c r="N32" i="3"/>
  <c r="B9" i="3" s="1"/>
  <c r="Q28" i="3"/>
  <c r="Q32" i="3" s="1"/>
  <c r="E71" i="3"/>
  <c r="M46" i="11"/>
  <c r="I46" i="11"/>
  <c r="E46" i="11"/>
  <c r="K46" i="11"/>
  <c r="G46" i="11"/>
  <c r="C46" i="11"/>
  <c r="H46" i="11"/>
  <c r="L46" i="11"/>
  <c r="D46" i="11"/>
  <c r="F46" i="11"/>
  <c r="B46" i="11"/>
  <c r="J46" i="11"/>
  <c r="N70" i="3"/>
  <c r="Q63" i="3"/>
  <c r="B15" i="3"/>
  <c r="K36" i="11"/>
  <c r="G36" i="11"/>
  <c r="C36" i="11"/>
  <c r="M36" i="11"/>
  <c r="I36" i="11"/>
  <c r="E36" i="11"/>
  <c r="F36" i="11"/>
  <c r="J36" i="11"/>
  <c r="B36" i="11"/>
  <c r="L36" i="11"/>
  <c r="H36" i="11"/>
  <c r="D36" i="11"/>
  <c r="F13" i="3"/>
  <c r="J339" i="5"/>
  <c r="F71" i="3"/>
  <c r="Q38" i="3"/>
  <c r="K71" i="3"/>
  <c r="Q69" i="3"/>
  <c r="N39" i="3"/>
  <c r="B10" i="3" s="1"/>
  <c r="Q35" i="3"/>
  <c r="AP15" i="6"/>
  <c r="O60" i="3"/>
  <c r="C13" i="3"/>
  <c r="Q60" i="3" l="1"/>
  <c r="J9" i="11"/>
  <c r="J13" i="11" s="1"/>
  <c r="E13" i="3"/>
  <c r="E15" i="3"/>
  <c r="C9" i="3"/>
  <c r="E9" i="3" s="1"/>
  <c r="K9" i="11"/>
  <c r="K13" i="11" s="1"/>
  <c r="G9" i="11"/>
  <c r="G13" i="11" s="1"/>
  <c r="I9" i="11"/>
  <c r="H9" i="11"/>
  <c r="H13" i="11" s="1"/>
  <c r="M9" i="11"/>
  <c r="M13" i="11" s="1"/>
  <c r="F9" i="11"/>
  <c r="F13" i="11" s="1"/>
  <c r="E9" i="11"/>
  <c r="E13" i="11" s="1"/>
  <c r="Q39" i="3"/>
  <c r="L13" i="11"/>
  <c r="C21" i="11"/>
  <c r="D21" i="11"/>
  <c r="D25" i="11" s="1"/>
  <c r="M21" i="11"/>
  <c r="M25" i="11" s="1"/>
  <c r="I21" i="11"/>
  <c r="I25" i="11" s="1"/>
  <c r="E21" i="11"/>
  <c r="E25" i="11" s="1"/>
  <c r="K21" i="11"/>
  <c r="K25" i="11" s="1"/>
  <c r="G21" i="11"/>
  <c r="G25" i="11" s="1"/>
  <c r="L21" i="11"/>
  <c r="L25" i="11" s="1"/>
  <c r="H21" i="11"/>
  <c r="H25" i="11" s="1"/>
  <c r="J21" i="11"/>
  <c r="J25" i="11" s="1"/>
  <c r="F21" i="11"/>
  <c r="F25" i="11" s="1"/>
  <c r="C10" i="3"/>
  <c r="D9" i="11"/>
  <c r="D13" i="11" s="1"/>
  <c r="C9" i="11"/>
  <c r="N71" i="3"/>
  <c r="N24" i="11"/>
  <c r="B25" i="11"/>
  <c r="N36" i="11"/>
  <c r="N46" i="11"/>
  <c r="N12" i="11"/>
  <c r="B13" i="11"/>
  <c r="Q70" i="3"/>
  <c r="O71" i="3"/>
  <c r="M33" i="11"/>
  <c r="M37" i="11" s="1"/>
  <c r="I33" i="11"/>
  <c r="I37" i="11" s="1"/>
  <c r="E33" i="11"/>
  <c r="E37" i="11" s="1"/>
  <c r="K33" i="11"/>
  <c r="K37" i="11" s="1"/>
  <c r="G33" i="11"/>
  <c r="G37" i="11" s="1"/>
  <c r="C33" i="11"/>
  <c r="C37" i="11" s="1"/>
  <c r="F33" i="11"/>
  <c r="F37" i="11" s="1"/>
  <c r="J33" i="11"/>
  <c r="J37" i="11" s="1"/>
  <c r="B33" i="11"/>
  <c r="L33" i="11"/>
  <c r="L37" i="11" s="1"/>
  <c r="H33" i="11"/>
  <c r="H37" i="11" s="1"/>
  <c r="D33" i="11"/>
  <c r="D37" i="11" s="1"/>
  <c r="Q71" i="3" l="1"/>
  <c r="C17" i="3"/>
  <c r="E10" i="3"/>
  <c r="E17" i="3" s="1"/>
  <c r="B17" i="3"/>
  <c r="B37" i="11"/>
  <c r="N33" i="11"/>
  <c r="N37" i="11" s="1"/>
  <c r="C13" i="11"/>
  <c r="N9" i="11"/>
  <c r="N13" i="11" s="1"/>
  <c r="C25" i="11"/>
  <c r="N21" i="11"/>
  <c r="N25" i="11" s="1"/>
  <c r="H422" i="5"/>
  <c r="BI52" i="10"/>
  <c r="L414" i="5" s="1"/>
  <c r="M414" i="5" s="1"/>
  <c r="H414" i="5" l="1"/>
  <c r="H408" i="5" s="1"/>
  <c r="H471" i="5" s="1"/>
  <c r="J470" i="5"/>
  <c r="N414" i="5"/>
  <c r="D488" i="5" s="1"/>
  <c r="C49" i="11" l="1"/>
  <c r="C50" i="11" s="1"/>
  <c r="B49" i="11"/>
  <c r="G49" i="11"/>
  <c r="G50" i="11" s="1"/>
  <c r="J471" i="5"/>
  <c r="K49" i="11"/>
  <c r="K50" i="11" s="1"/>
  <c r="E49" i="11"/>
  <c r="E50" i="11" s="1"/>
  <c r="M49" i="11"/>
  <c r="M50" i="11" s="1"/>
  <c r="J49" i="11"/>
  <c r="J50" i="11" s="1"/>
  <c r="F15" i="3"/>
  <c r="L49" i="11"/>
  <c r="L50" i="11" s="1"/>
  <c r="I49" i="11"/>
  <c r="I50" i="11" s="1"/>
  <c r="H49" i="11"/>
  <c r="H50" i="11" s="1"/>
  <c r="F49" i="11"/>
  <c r="F50" i="11" s="1"/>
  <c r="D49" i="11"/>
  <c r="D50" i="11" s="1"/>
  <c r="H488" i="5"/>
  <c r="D480" i="5"/>
  <c r="D474" i="5" s="1"/>
  <c r="D537" i="5" s="1"/>
  <c r="B50" i="11" l="1"/>
  <c r="N49" i="11"/>
  <c r="N50" i="11" s="1"/>
  <c r="H480" i="5"/>
  <c r="H474" i="5" s="1"/>
  <c r="H537" i="5" s="1"/>
  <c r="J536" i="5"/>
  <c r="F61" i="11" l="1"/>
  <c r="F62" i="11" s="1"/>
  <c r="B61" i="11"/>
  <c r="M61" i="11"/>
  <c r="M62" i="11" s="1"/>
  <c r="F16" i="3"/>
  <c r="K61" i="11"/>
  <c r="K62" i="11" s="1"/>
  <c r="H538" i="5"/>
  <c r="I61" i="11"/>
  <c r="I62" i="11" s="1"/>
  <c r="E61" i="11"/>
  <c r="E62" i="11" s="1"/>
  <c r="J537" i="5"/>
  <c r="L61" i="11"/>
  <c r="L62" i="11" s="1"/>
  <c r="D61" i="11"/>
  <c r="D62" i="11" s="1"/>
  <c r="H61" i="11"/>
  <c r="H62" i="11" s="1"/>
  <c r="C61" i="11"/>
  <c r="C62" i="11" s="1"/>
  <c r="J61" i="11"/>
  <c r="J62" i="11" s="1"/>
  <c r="G61" i="11"/>
  <c r="G62" i="11" s="1"/>
  <c r="F17" i="3" l="1"/>
  <c r="G16" i="3" s="1"/>
  <c r="B62" i="11"/>
  <c r="N61" i="11"/>
  <c r="N62" i="11" s="1"/>
  <c r="G11" i="3" l="1"/>
  <c r="G15" i="3"/>
  <c r="G9" i="3"/>
  <c r="G13" i="3"/>
  <c r="G10" i="3"/>
  <c r="H16" i="3"/>
  <c r="I16" i="3" s="1"/>
  <c r="H9" i="3" l="1"/>
  <c r="G17" i="3"/>
  <c r="L13" i="3" s="1"/>
  <c r="H15" i="3"/>
  <c r="I15" i="3" s="1"/>
  <c r="H10" i="3"/>
  <c r="I10" i="3" s="1"/>
  <c r="H11" i="3"/>
  <c r="I11" i="3" s="1"/>
  <c r="H13" i="3"/>
  <c r="I13" i="3" s="1"/>
  <c r="L10" i="3" l="1"/>
  <c r="L15" i="3"/>
  <c r="L14" i="3"/>
  <c r="L12" i="3"/>
  <c r="L16" i="3"/>
  <c r="L9" i="3"/>
  <c r="L11" i="3"/>
  <c r="I9" i="3"/>
  <c r="I17" i="3" s="1"/>
  <c r="H17" i="3"/>
  <c r="L17" i="3" l="1"/>
</calcChain>
</file>

<file path=xl/sharedStrings.xml><?xml version="1.0" encoding="utf-8"?>
<sst xmlns="http://schemas.openxmlformats.org/spreadsheetml/2006/main" count="2696" uniqueCount="730">
  <si>
    <t>INSTRUCCIONES</t>
  </si>
  <si>
    <t>ÍNDICE DE TABLAS</t>
  </si>
  <si>
    <t>A) Resumen Ingresos y Egresos</t>
  </si>
  <si>
    <t>TABLA 1: RESUMEN DE INGRESOS Y EGRESOS DE CENTROS DE BENEFICIOS</t>
  </si>
  <si>
    <t>TABLA 2: DETALLE DE INGRESOS POR PRESTACIÓN Y SEGMENTO</t>
  </si>
  <si>
    <t>B) Reajuste Tarifas y Ocupación</t>
  </si>
  <si>
    <t>TABLA 3: REAJUSTE DE TARIFAS POR PRESTACIÓN Y SEGMENTO</t>
  </si>
  <si>
    <t>TABLA 4: METAS DE OCUPACIÓN POR PRESTACIÓN Y SEGMENTO</t>
  </si>
  <si>
    <t>C) Costos Directos</t>
  </si>
  <si>
    <t>TABLA 5: COSTOS DIRECTOS DE CENTROS DE BENEFICIOS</t>
  </si>
  <si>
    <t>D) Costos Indirectos</t>
  </si>
  <si>
    <t>TABLA 6: REMUNERACIONES DEL PERSONAL LEY 18.712 ADMINISTRACION CENTRAL Y APOYO ADMINISTRATIVO ASISTENCIA EDUCACIONAL</t>
  </si>
  <si>
    <t>TABLA 7: DISTRIBUCION COSTOS REMUNERACIONES ADMINISTRACION CENTRAL Y APOYO ADMINISTRATIVO A. EDUCACIONAL</t>
  </si>
  <si>
    <t>TABLA 8: COSTOS DE OPERACION ADMINISTRACIÓN CENTRAL Y  APOYO ADMINISTRATIVO ASISTENCIA EDUCACIONAL</t>
  </si>
  <si>
    <t>TABLA 9: RESUMEN DISTRIBUCION COSTOS REMUNERACIONES ADMINISTRACION CENTRAL Y APOYO ADMINISTRATIVO A. EDUCACIONAL</t>
  </si>
  <si>
    <t>TABLA 10: RESUMEN DISTRIBUCION COSTOS OPERACIÓN ADMINISTRACION CENTRAL  Y APOYO ADMINISTRATIVO A. EDUCACIONAL</t>
  </si>
  <si>
    <t>TABLA 11: FINANCIAMIENTO ADM. CENTRAL  Y APOYO ADMINISTRATIVO 
(REMUNERACIONES + COSTO OPERACIÓN)</t>
  </si>
  <si>
    <t>E) Resumen Tarifado</t>
  </si>
  <si>
    <t>TABLA 12: RESUMEN DE TARIFADO</t>
  </si>
  <si>
    <t>F) Remuneraciones</t>
  </si>
  <si>
    <t>TABLA 13: REMUNERACIONES DEL PERSONAL LEY 18.712 DE CENTROS DE BENEFICIOS</t>
  </si>
  <si>
    <t>G) Comparación Mercado</t>
  </si>
  <si>
    <t>TABLA 14: COMPARACIÓN TARIFAS CON PRECIOS DE MERCADO</t>
  </si>
  <si>
    <t>H) Detalle Datos</t>
  </si>
  <si>
    <t>I) Proyección Mensual</t>
  </si>
  <si>
    <t>ANEXO A</t>
  </si>
  <si>
    <t>A) RESUMEN DE INGRESOS Y EGRESOS</t>
  </si>
  <si>
    <t>REPARTICION:</t>
  </si>
  <si>
    <t>Depto. / Del.</t>
  </si>
  <si>
    <t>Centro de Beneficio</t>
  </si>
  <si>
    <t>Ingreso por Escuela de Verano</t>
  </si>
  <si>
    <t>Ingresos Totales</t>
  </si>
  <si>
    <t>Costos Directos</t>
  </si>
  <si>
    <t>Costos Indirectos</t>
  </si>
  <si>
    <t>Costos Totales</t>
  </si>
  <si>
    <t>Excedentes</t>
  </si>
  <si>
    <t>% Distribución Costo Indirecto</t>
  </si>
  <si>
    <t>Sala Cuna Caracolito de Mar Diurna</t>
  </si>
  <si>
    <t>Sala Cuna Caracolito de Mar Nocturna</t>
  </si>
  <si>
    <t>Sala Cuna Mar Azul Diurna</t>
  </si>
  <si>
    <t>Sala Cuna Mar Azul Nocturna</t>
  </si>
  <si>
    <t xml:space="preserve">TOTAL </t>
  </si>
  <si>
    <t>Prestación</t>
  </si>
  <si>
    <t>Cálculo Ingreso</t>
  </si>
  <si>
    <t>Mensualidad 2022</t>
  </si>
  <si>
    <t>Ingreso por Matrícula</t>
  </si>
  <si>
    <t>Ingreso por Mensualidad</t>
  </si>
  <si>
    <t>Total Anual</t>
  </si>
  <si>
    <t>Personal Servicio Activo Armada y otras FFAA</t>
  </si>
  <si>
    <t>PDI</t>
  </si>
  <si>
    <t>GENDARMERIA</t>
  </si>
  <si>
    <t>En retiro</t>
  </si>
  <si>
    <t>Casos Especiales</t>
  </si>
  <si>
    <t>Meta Ocupación</t>
  </si>
  <si>
    <t>Ingreso anual</t>
  </si>
  <si>
    <t>Ingreso total anual</t>
  </si>
  <si>
    <t>Total Prestaciones</t>
  </si>
  <si>
    <t>ANEXO B</t>
  </si>
  <si>
    <t>B) REAJUSTE DE TARIFAS Y METAS DE OCUPACIÓN POR CENTRO DE BENEFICIO</t>
  </si>
  <si>
    <t>BIENVALP</t>
  </si>
  <si>
    <t>Jardines Infantiles</t>
  </si>
  <si>
    <t>Reajuste propuesto</t>
  </si>
  <si>
    <t>Jardín Infantil Lobito Marino</t>
  </si>
  <si>
    <t>Media jornada</t>
  </si>
  <si>
    <t>Jornada completa</t>
  </si>
  <si>
    <t>Jardín Infantil Los Delfines</t>
  </si>
  <si>
    <t>Jardín Infantil Pecesitos de Colores</t>
  </si>
  <si>
    <t>Jardín Infantil Caracolito de Mar</t>
  </si>
  <si>
    <t>Salas Cunas</t>
  </si>
  <si>
    <t>Sala Cuna Caracolito de Mar</t>
  </si>
  <si>
    <t>Diurna</t>
  </si>
  <si>
    <t>Nocturna</t>
  </si>
  <si>
    <t>Media Jornada</t>
  </si>
  <si>
    <t>Sala Cuna Mar Azul</t>
  </si>
  <si>
    <t>Total Meta Ocupación</t>
  </si>
  <si>
    <t>ANEXO C</t>
  </si>
  <si>
    <t>C) ESTIMACION DE COSTOS DIRECTOS</t>
  </si>
  <si>
    <t>Depto./ Del.</t>
  </si>
  <si>
    <t>Número de Cuenta</t>
  </si>
  <si>
    <t>ítem de Gasto (según Plan de Cuenta Institucional)</t>
  </si>
  <si>
    <t>Costos Fijos</t>
  </si>
  <si>
    <t>Costos Variables</t>
  </si>
  <si>
    <t>Costo Unitario Promedio</t>
  </si>
  <si>
    <t>Cantidad</t>
  </si>
  <si>
    <t>Total</t>
  </si>
  <si>
    <t>COSTOS DE OPERACIÓN</t>
  </si>
  <si>
    <t>REMUNERACIONES DIRECTAS</t>
  </si>
  <si>
    <t>REMUNERACIONES TOTALES CÓDIGO DEL TRABAJO</t>
  </si>
  <si>
    <t>SUPLENCIAS Y REEMPLAZOS (EC o PAC)</t>
  </si>
  <si>
    <t xml:space="preserve"> INDEMNIZACIÓN CÓDIGO DEL TRABAJO</t>
  </si>
  <si>
    <t>OTRAS REMUNERACIONES (ALUMNOS EN PRACTICA)</t>
  </si>
  <si>
    <t>GASTO DE OPERACIÓN</t>
  </si>
  <si>
    <t>ALIMENTOS Y BEBIDAS (PERSONAL)</t>
  </si>
  <si>
    <t>ALIMENTOS Y BEBIDAS (NIÑOS)</t>
  </si>
  <si>
    <t>ALIMENTOS Y BEBIDAS (ALUMNOS EN PRÁCTICA)</t>
  </si>
  <si>
    <t>TEXTILES Y ACABADOS TEXTILES (CORTINAJE ROLLER, SACOS DE DORMIR, COBERTORES, ETC.)</t>
  </si>
  <si>
    <t>COMBUSTIBLE LUBRIC P.VEHICULOS</t>
  </si>
  <si>
    <t>PARA CALEFACCION (CALDERAS, ESTUFAS, ETC)</t>
  </si>
  <si>
    <t>PRODUCTOS QUIMICOS (EXTINTOR)</t>
  </si>
  <si>
    <t>MAT.P/MATEN.Y REPARACION</t>
  </si>
  <si>
    <t>EQUIPOS MENORES (EQUIPAMIENTO)</t>
  </si>
  <si>
    <t>ELECTRICIDAD</t>
  </si>
  <si>
    <t>AGUA</t>
  </si>
  <si>
    <t>GAS</t>
  </si>
  <si>
    <t>TELEFONIA FIJA</t>
  </si>
  <si>
    <t>ACCESO A INTERNET</t>
  </si>
  <si>
    <t>SERVICIOS DE ASEO</t>
  </si>
  <si>
    <t>PASAJES, FLETES Y BODEGAJE</t>
  </si>
  <si>
    <t>SERVICIO DE SUSCRIPCION (MATERIAL DE APOYO)</t>
  </si>
  <si>
    <t>SERVICIOS INFORMATICOS</t>
  </si>
  <si>
    <t>GASTOS MENORES (FOFI) DIRECTIVA DGFA N°02-DC/0201/22 FECHA ENERO 2009</t>
  </si>
  <si>
    <t>MAQUINAS Y EQUIPOS DE OFICINA (ADQUISICION)</t>
  </si>
  <si>
    <t>GASTOS DE ADMINISTRACIÓN Y VENTAS</t>
  </si>
  <si>
    <t>GASTO EN PERSONAL</t>
  </si>
  <si>
    <t>VESTUARIO ACC.Y PRENDAS DIVERSAS</t>
  </si>
  <si>
    <t>CALZADO E PERSONAL DE COCINA</t>
  </si>
  <si>
    <t>CURSOS DE CAPACITACION</t>
  </si>
  <si>
    <t>COM.DE SERVICIO EN EL PAIS (VIATICO - 2 REUNIONES ANUALES DIRECTORA)</t>
  </si>
  <si>
    <t>CONSUMOS BÁSICOS</t>
  </si>
  <si>
    <t>OTROS SERVICIOS BASICOS</t>
  </si>
  <si>
    <t>BIENES DE CONSUMO</t>
  </si>
  <si>
    <t>MATERIALES DE OFICINA</t>
  </si>
  <si>
    <t>PROD.QUIMIC,FARMACEUTICOS IND. (BOTIQUIN)</t>
  </si>
  <si>
    <t>FERT.INSECT.FUNG.Y OTROS</t>
  </si>
  <si>
    <t>MAT.Y UTILES DE ASEO</t>
  </si>
  <si>
    <t>MENAJE OFICINA CASINO Y OTROS</t>
  </si>
  <si>
    <t>MOBILIARIO Y OTROS</t>
  </si>
  <si>
    <t>EQUIPOS COMPUTACIONALES (CAMARAS DE VIGILANCIA)</t>
  </si>
  <si>
    <t>TEXTOS Y OTROS MAT.ENSEÑANZA</t>
  </si>
  <si>
    <t>SERVICIOS GENERALES</t>
  </si>
  <si>
    <t>SERVICIO DE PUBLICIDAD</t>
  </si>
  <si>
    <t>SERVICIO DE IMPRESION</t>
  </si>
  <si>
    <t>SERVICIOS DE VIGILANCIA /SEGURIDAD</t>
  </si>
  <si>
    <t>OTROS SERVICIOS GENERALES (FUMIGACIÓN)</t>
  </si>
  <si>
    <t>SEGURO PARVULOS</t>
  </si>
  <si>
    <t>OTROS SERVICIOS GENERALES (LAVANDERIIA)</t>
  </si>
  <si>
    <t>OTROS ARRIENDOS (BUSES)</t>
  </si>
  <si>
    <t>SEGURO INMUEBLES</t>
  </si>
  <si>
    <t>MANTENCIÓN Y REPARACIÓN</t>
  </si>
  <si>
    <t>MANT.Y REPAR. MOBILIARIO Y OTROS</t>
  </si>
  <si>
    <t>MANT.Y REPAR. DE EQUIPOS OFICINA</t>
  </si>
  <si>
    <t>MANT.Y REPAR. OTRAS MAQ. Y EQUIP. (COCINA)</t>
  </si>
  <si>
    <t>MANT.Y REPAR. EQUIPOS INFORMATICOS</t>
  </si>
  <si>
    <t>OTROS MANTEN. Y REPAR. MENORES (GASFITERIA Y ELECTRICIDAD)</t>
  </si>
  <si>
    <t>SERVICIO DE MANTENCION JARDINES</t>
  </si>
  <si>
    <t>OTROS MANTEN. Y REP.MENORES</t>
  </si>
  <si>
    <t>OTROS GASTOS</t>
  </si>
  <si>
    <t>CUOTA DE PADRES</t>
  </si>
  <si>
    <t>AFL</t>
  </si>
  <si>
    <t>COSTO DIRECTO TOTAL</t>
  </si>
  <si>
    <t>PAF</t>
  </si>
  <si>
    <t>Centro de Costo</t>
  </si>
  <si>
    <t>SUPLENCIAS Y REEMPLAZOS (EC  oPAC)</t>
  </si>
  <si>
    <t xml:space="preserve"> COSTOS DIRECTOS COMUNES  "CARACOLITO DE MAR"</t>
  </si>
  <si>
    <t>TOTAL</t>
  </si>
  <si>
    <t>SCD (50%)</t>
  </si>
  <si>
    <t>SCN (10%)</t>
  </si>
  <si>
    <t>JI (40%)</t>
  </si>
  <si>
    <t xml:space="preserve"> COSTOS DIRECTOS COMUNES  "MAR AZUL"</t>
  </si>
  <si>
    <t>SCD (70%)</t>
  </si>
  <si>
    <t>SCN (30%)</t>
  </si>
  <si>
    <t>TOTAL GENERAL COSTOS DIRECTOS</t>
  </si>
  <si>
    <t xml:space="preserve">COSTOS INDIRECTOS </t>
  </si>
  <si>
    <t>TABLA 6: REMUNERACIONES DEL PERSONAL LEY 18.712 ADMINISTRACION CENTRAL Y APOYO ADMINISTRATIVO ASISTENCIA RECREATIVA</t>
  </si>
  <si>
    <t>TABLA 7: DISTRIBUCION COSTOS REMUNERACIONES ADMINISTRACION CENTRAL Y APOYO ADMINISTRATIVO A. RECREATIVA</t>
  </si>
  <si>
    <t>TABLA 8: COSTOS DE OPERACION ADMINISTRACIÓN CENTRAL Y  APOYO ADMINISTRATIVO ASISTENCIA RECREATIVA</t>
  </si>
  <si>
    <t>TABLA 9: RESUMEN DISTRIBUCION COSTOS REMUNERACIONES ADMINISTRACION CENTRAL Y APOYO ADMINISTRATIVO A. RECREATIVA</t>
  </si>
  <si>
    <t>TABLA 10: RESUMEN DISTRIBUCION COSTOS OPERACIÓN ADMINISTRACION CENTRAL  Y APOYO ADMINISTRATIVO A. RECREATIVA</t>
  </si>
  <si>
    <t>Reajuste</t>
  </si>
  <si>
    <t>Unidades de Apoyo Administrativo</t>
  </si>
  <si>
    <t>Nombre</t>
  </si>
  <si>
    <t>Apellido</t>
  </si>
  <si>
    <t>Ocupación / Cargo</t>
  </si>
  <si>
    <t>ASISTENCIA RECREATIVA</t>
  </si>
  <si>
    <t>ASISTENCIA EDUCACIONAL</t>
  </si>
  <si>
    <t>ASISTENCIA COMERCIAL</t>
  </si>
  <si>
    <t>Tiempo Total</t>
  </si>
  <si>
    <t>Gasto Total Empresa</t>
  </si>
  <si>
    <t>Total Bonos anual</t>
  </si>
  <si>
    <t>Total Aguinaldos anual</t>
  </si>
  <si>
    <t>% tiempo</t>
  </si>
  <si>
    <t>$ Costo</t>
  </si>
  <si>
    <t>$ Costo Total</t>
  </si>
  <si>
    <t>$Costo Total</t>
  </si>
  <si>
    <t>ADMINISTRACIÓN CENTRAL</t>
  </si>
  <si>
    <t>Departamento de Finanzas y Abastecimiento</t>
  </si>
  <si>
    <t>ADM. CENTRAL</t>
  </si>
  <si>
    <t>SUPLENCIAS Y REEMPLAZOS</t>
  </si>
  <si>
    <t>JULIO</t>
  </si>
  <si>
    <t>PERSONAL A TRATO Y TEMPORAL</t>
  </si>
  <si>
    <t>OTRAS REMUNERACIONES</t>
  </si>
  <si>
    <t>ALIMENTOS Y BEBIDAS</t>
  </si>
  <si>
    <t>TEXTILES Y ACABADOS TEXTILES</t>
  </si>
  <si>
    <t>PARA CALEFACCION</t>
  </si>
  <si>
    <t>Departamento de RR.HH.</t>
  </si>
  <si>
    <t>PRODUCTOS QUIMICOS</t>
  </si>
  <si>
    <t>EQUIPOS MENORES</t>
  </si>
  <si>
    <t>TELEFONIA CELULAR</t>
  </si>
  <si>
    <t>Departamento de Informática</t>
  </si>
  <si>
    <t>SERVICIO DE SUSCRIPCION</t>
  </si>
  <si>
    <t>GASTOS MENORES (FOFI)</t>
  </si>
  <si>
    <t>MAQUINAS Y EQUIPOS DE OFICINA</t>
  </si>
  <si>
    <t>Otros (Planes, Gestión u otros)</t>
  </si>
  <si>
    <t>VESTUARIO ACC.Y PRENDAS DIVERS</t>
  </si>
  <si>
    <t>CALZADO</t>
  </si>
  <si>
    <t>VIATICOS PERSONAL COD.TRABAJO</t>
  </si>
  <si>
    <t>ENLACES DE TELECOMUNICACIONES</t>
  </si>
  <si>
    <t>COMB.LUBR.DIRECTOS-INDIRECTOS</t>
  </si>
  <si>
    <t>PROD.QUIMIC,FARMACEUTICOS IND.</t>
  </si>
  <si>
    <t>EQUIPOS COMPUTACIONALES</t>
  </si>
  <si>
    <t>COSTO SERVICIO DESAYUNO</t>
  </si>
  <si>
    <t>COSTOS DE TEXT. VEST,O PRENDAS</t>
  </si>
  <si>
    <t>SERVICIOS DE VIGILANCIA</t>
  </si>
  <si>
    <t>OTROS SERVICIOS GENERALES</t>
  </si>
  <si>
    <t>ÁREA APOYO A. RECREATIVA</t>
  </si>
  <si>
    <t>Asistencia Recreativa</t>
  </si>
  <si>
    <t>APOYO ADM.</t>
  </si>
  <si>
    <t>ARRIENDO DE TERRENOS</t>
  </si>
  <si>
    <t>ARRIENDO DE MOBILIARIO Y OTROS</t>
  </si>
  <si>
    <t>ARRIENDO DE MAQUINAS Y EQUIPOS</t>
  </si>
  <si>
    <t>OTROS ARRIENDOS</t>
  </si>
  <si>
    <t>ÁREA APOYO A. EDUCACIONAL</t>
  </si>
  <si>
    <t>Asistencia Educacional</t>
  </si>
  <si>
    <t>MANT.Y REPAR. OTRAS MAQ. Y EQUIP.</t>
  </si>
  <si>
    <t>OTROS MANTEN. Y REPAR. MENORES</t>
  </si>
  <si>
    <t>OTROS GASTOS IMPREVISTOS</t>
  </si>
  <si>
    <t>OTROS MATERIALES DE USO CONSUMO</t>
  </si>
  <si>
    <t>ÁREA APOYO A. COMERCIAL</t>
  </si>
  <si>
    <t>Asistencia Comercial</t>
  </si>
  <si>
    <t>COSTO  TOTAL</t>
  </si>
  <si>
    <t>ANEXO E</t>
  </si>
  <si>
    <t>E) RESUMEN DE TARIFADO</t>
  </si>
  <si>
    <t>Reajuste en pesos ($)</t>
  </si>
  <si>
    <t>Reajuste en porcentaje (%)</t>
  </si>
  <si>
    <t>ANEXO F</t>
  </si>
  <si>
    <t>F) REMUNERACIONES DEL PERSONAL CÓDIGO DEL TRABAJO</t>
  </si>
  <si>
    <t>Gasto Total Empresa
2022</t>
  </si>
  <si>
    <t>Tecnicos</t>
  </si>
  <si>
    <t>Manip. Alim</t>
  </si>
  <si>
    <t>Aux. Aseo</t>
  </si>
  <si>
    <t>Técnicos</t>
  </si>
  <si>
    <t>Jardín Infantil Pececitos de Colores</t>
  </si>
  <si>
    <t>Directora. EC</t>
  </si>
  <si>
    <t xml:space="preserve"> Ed. De Párvulos </t>
  </si>
  <si>
    <t>TOTAL GENERAL</t>
  </si>
  <si>
    <t>ANEXO G</t>
  </si>
  <si>
    <t>G) COMPARACIÓN TARIFAS CON PRECIOS DE MERCADO</t>
  </si>
  <si>
    <r>
      <rPr>
        <sz val="10"/>
        <rFont val="Arial"/>
        <family val="2"/>
        <charset val="1"/>
      </rPr>
      <t xml:space="preserve">Con el objeto de medir comparativamente el bienestar otorgado al personal de la Armada, es necesario recabar antecedentes comparativos que permitan cuantificar las alternativas de precios que ofrece el mercado </t>
    </r>
    <r>
      <rPr>
        <b/>
        <u/>
        <sz val="10"/>
        <rFont val="Arial"/>
        <family val="2"/>
        <charset val="1"/>
      </rPr>
      <t>dentro de la misma comuna en la que se encuentran los Jardines Infantiles (J.I.) y Salas Cunas (S.C.)</t>
    </r>
    <r>
      <rPr>
        <sz val="10"/>
        <rFont val="Arial"/>
        <family val="2"/>
        <charset val="1"/>
      </rPr>
      <t xml:space="preserve"> de su Repartición. Este cuadro comparativo debe ser completado con, </t>
    </r>
    <r>
      <rPr>
        <b/>
        <u/>
        <sz val="10"/>
        <rFont val="Arial"/>
        <family val="2"/>
        <charset val="1"/>
      </rPr>
      <t>A LO MENOS</t>
    </r>
    <r>
      <rPr>
        <sz val="10"/>
        <rFont val="Arial"/>
        <family val="2"/>
        <charset val="1"/>
      </rPr>
      <t xml:space="preserve">, dos instituciones públicas o privadas </t>
    </r>
    <r>
      <rPr>
        <b/>
        <u/>
        <sz val="10"/>
        <rFont val="Arial"/>
        <family val="2"/>
        <charset val="1"/>
      </rPr>
      <t>puedan considerarse como las principales competencias directas</t>
    </r>
    <r>
      <rPr>
        <sz val="10"/>
        <rFont val="Arial"/>
        <family val="2"/>
        <charset val="1"/>
      </rPr>
      <t xml:space="preserve"> y que otorguen </t>
    </r>
    <r>
      <rPr>
        <b/>
        <u/>
        <sz val="10"/>
        <rFont val="Arial"/>
        <family val="2"/>
        <charset val="1"/>
      </rPr>
      <t>prestaciones de calidad igual o similar</t>
    </r>
    <r>
      <rPr>
        <sz val="10"/>
        <rFont val="Arial"/>
        <family val="2"/>
        <charset val="1"/>
      </rPr>
      <t xml:space="preserve"> a las brindadas por las instalaciones de este Departamento/Delegación.</t>
    </r>
  </si>
  <si>
    <t>% Respecto a Precio Promedio Mercado</t>
  </si>
  <si>
    <t>COMPARACIÓN 1</t>
  </si>
  <si>
    <t>COMPARACIÓN 2</t>
  </si>
  <si>
    <t>Precio promedio mercado (ppm)</t>
  </si>
  <si>
    <t>Institución</t>
  </si>
  <si>
    <t>Mensualidad</t>
  </si>
  <si>
    <t>H) DETALLE DE DATOS COMPLEMENTARIOS</t>
  </si>
  <si>
    <t xml:space="preserve">NIVEL </t>
  </si>
  <si>
    <t xml:space="preserve">MANTENIMIENTO </t>
  </si>
  <si>
    <t>DESCRIPCIÓN DEL TRABAJO</t>
  </si>
  <si>
    <t>FRECUENCIA</t>
  </si>
  <si>
    <t>CANTIDAD</t>
  </si>
  <si>
    <t>UNIDAD</t>
  </si>
  <si>
    <t>VALOR $</t>
  </si>
  <si>
    <t>VALOR ANUAL</t>
  </si>
  <si>
    <t xml:space="preserve">MANTENIMIENTO 1er NIVEL </t>
  </si>
  <si>
    <t>MANTENCIÓN Y REPARACIONES EN TECHUMBRE</t>
  </si>
  <si>
    <t>ANUAL</t>
  </si>
  <si>
    <t>ML</t>
  </si>
  <si>
    <t>MANTENCION DE ARTEFACTOS SANITARIOS Y LAVAPLATOS</t>
  </si>
  <si>
    <t>FUNCIONAMIENTO  Y FITTINGS WC</t>
  </si>
  <si>
    <t>UN</t>
  </si>
  <si>
    <t>SELLOS DE SILICONAS</t>
  </si>
  <si>
    <t>GL</t>
  </si>
  <si>
    <t>REPARACIONES Y MANTENCIÓN DE ARTEFACTOS DE COCINA</t>
  </si>
  <si>
    <t>MANTENCIÓN ELÉCTRICA</t>
  </si>
  <si>
    <t>LUMINARIAS Y ENCHUFE</t>
  </si>
  <si>
    <t>MANTENIMIENTO 2do NIVEL</t>
  </si>
  <si>
    <t>MANTENCIÓN EXTERIOR</t>
  </si>
  <si>
    <t>VEREDAS Y PAVIMENTOS</t>
  </si>
  <si>
    <t>REJAS Y PROTECCIONES</t>
  </si>
  <si>
    <t>TECHUMBRE EDIFICACIÓN</t>
  </si>
  <si>
    <t>CANALES Y HOJALATERÍA</t>
  </si>
  <si>
    <t>2 AÑOS</t>
  </si>
  <si>
    <t>OFICINAS, COMEDORES, PASILLOS Y ETC.</t>
  </si>
  <si>
    <t>BAÑOS PERSONAL</t>
  </si>
  <si>
    <t>FACHADAS</t>
  </si>
  <si>
    <t>REJA PERIMETRAL</t>
  </si>
  <si>
    <t>MARCO Y VENTANAS</t>
  </si>
  <si>
    <t>CAMBIO DE GRIFERÍA LAVAMANOS, TINETA Y LAVAPLATOS</t>
  </si>
  <si>
    <t>MANTENCIÓN MOBILIARIO</t>
  </si>
  <si>
    <t>MANTENCIÓN REVESTIMIENTOS PISO Y MURO</t>
  </si>
  <si>
    <t>CERÁMICOS DE PISO Y MURO</t>
  </si>
  <si>
    <t>MANTENCIÓN PUERTA Y VENTANA</t>
  </si>
  <si>
    <t>MANTENCIÓN SANITARIA</t>
  </si>
  <si>
    <t>REVISIÓN DE AGUA POTABLE</t>
  </si>
  <si>
    <t>REVISIÓN DE ALCANTARILLADO</t>
  </si>
  <si>
    <t>MANTENCION CAMPANA COCINA</t>
  </si>
  <si>
    <t xml:space="preserve">MANTENCION RED HUMEDA (gabinetes, extintores, señaletica) </t>
  </si>
  <si>
    <t xml:space="preserve">PODA Y TALA </t>
  </si>
  <si>
    <t>CAMBIO DE TECHUMBRE</t>
  </si>
  <si>
    <t>10 AÑOS</t>
  </si>
  <si>
    <t>CAMBIO DE PUERTAS Y CERRADURAS</t>
  </si>
  <si>
    <t>8 AÑOS</t>
  </si>
  <si>
    <t>REPOSICION LAVAMANOS Y WC</t>
  </si>
  <si>
    <t>REPOSICION COCINA</t>
  </si>
  <si>
    <t xml:space="preserve">REPOSICION CAMPANA </t>
  </si>
  <si>
    <t>TABLA N°15: PROYECCIÓN MENSUAL</t>
  </si>
  <si>
    <t>ENERO</t>
  </si>
  <si>
    <t>FEBRERO</t>
  </si>
  <si>
    <t>MARZO</t>
  </si>
  <si>
    <t>ABRIL</t>
  </si>
  <si>
    <t>MAYO</t>
  </si>
  <si>
    <t>JUNIO</t>
  </si>
  <si>
    <t>AGOSTO</t>
  </si>
  <si>
    <t>SEPTIEMBRE</t>
  </si>
  <si>
    <t>OCTUBRE</t>
  </si>
  <si>
    <t>NOVIEMBRE</t>
  </si>
  <si>
    <t>DICIEMBRE</t>
  </si>
  <si>
    <t>MATRICULA</t>
  </si>
  <si>
    <t>PERSONAL</t>
  </si>
  <si>
    <t>Jardin Infantil Lobito Marino</t>
  </si>
  <si>
    <t>ACUMULADO A DICIEMBRE</t>
  </si>
  <si>
    <t>INGRESOS DE OPERACION</t>
  </si>
  <si>
    <t>REMUNERACIONES COD.DEL TRABAJO</t>
  </si>
  <si>
    <t>BONOS CÓDIGO DEL TRABAJO</t>
  </si>
  <si>
    <t>COSTOS  DE OPERACION</t>
  </si>
  <si>
    <t>RESULTADO OPERACIONAL</t>
  </si>
  <si>
    <t>Jardin Infantil Los Delfines</t>
  </si>
  <si>
    <t>Sala Cuna Caracolito de Mar (Diurna)</t>
  </si>
  <si>
    <t>Sala Cuna Mar Azul (Diurna)</t>
  </si>
  <si>
    <t>Sala Cuna Mar Azul (Nocturna)</t>
  </si>
  <si>
    <t>Educ. Parv</t>
  </si>
  <si>
    <t>Educ. de Parv PAC</t>
  </si>
  <si>
    <t>Aux. Aseo TT</t>
  </si>
  <si>
    <t>Matrícula 2023</t>
  </si>
  <si>
    <t>Mensualidad 2023</t>
  </si>
  <si>
    <t>Tarifa 2023</t>
  </si>
  <si>
    <t>Propuesta Mensualidad 2023</t>
  </si>
  <si>
    <t>Meta Ocupación niños 2023</t>
  </si>
  <si>
    <t>COSTO DIRECTO ESTIMADO 2023</t>
  </si>
  <si>
    <t>Gasto Total Empresa
2023</t>
  </si>
  <si>
    <t>Costo Total por Servidor Reajustado 2023</t>
  </si>
  <si>
    <t>Costo total anual servidor  2022</t>
  </si>
  <si>
    <t>REMUNERACIONES 2022</t>
  </si>
  <si>
    <t>COSTO INDIRECTO ESTIMADO 2023</t>
  </si>
  <si>
    <t>Costo Total Remuneraciones 2023 por Centro de Beneficio</t>
  </si>
  <si>
    <t>Costo Total Remuneraciones 2023  por Centro de Beneficio</t>
  </si>
  <si>
    <t>Paulina</t>
  </si>
  <si>
    <t>Solari</t>
  </si>
  <si>
    <t>Sandra</t>
  </si>
  <si>
    <t>Molina</t>
  </si>
  <si>
    <t>Avelina</t>
  </si>
  <si>
    <t>Muñoz</t>
  </si>
  <si>
    <t>Paula</t>
  </si>
  <si>
    <t>Valladares</t>
  </si>
  <si>
    <t>Silvana</t>
  </si>
  <si>
    <t>Peñafiel</t>
  </si>
  <si>
    <t>Patricia</t>
  </si>
  <si>
    <t>Soto</t>
  </si>
  <si>
    <t>Romero</t>
  </si>
  <si>
    <t>Karen</t>
  </si>
  <si>
    <t>LOS DELFINES</t>
  </si>
  <si>
    <t>REFRIGERADOR</t>
  </si>
  <si>
    <t>PARLANTES</t>
  </si>
  <si>
    <t>SC Vitamina</t>
  </si>
  <si>
    <t>SC Charlie Brown</t>
  </si>
  <si>
    <t>JI Charlie Brown</t>
  </si>
  <si>
    <t>JI Quest</t>
  </si>
  <si>
    <t>JI Mundo Naranja (Bosques Montemar)</t>
  </si>
  <si>
    <t>El Abedul Montessori</t>
  </si>
  <si>
    <t>Gratuitos / Junji</t>
  </si>
  <si>
    <t>Sc Personitas</t>
  </si>
  <si>
    <t>SC Mar de Tesoros</t>
  </si>
  <si>
    <t>Farias Ormeño</t>
  </si>
  <si>
    <t>María Ines</t>
  </si>
  <si>
    <t>Ximena</t>
  </si>
  <si>
    <t>Lorca Ramirez</t>
  </si>
  <si>
    <t xml:space="preserve">Patricia </t>
  </si>
  <si>
    <t>Leon Arce</t>
  </si>
  <si>
    <t>Domitila</t>
  </si>
  <si>
    <t>Vargas Saavedra</t>
  </si>
  <si>
    <t>CANT. MASCARILLAS</t>
  </si>
  <si>
    <t>CANT.COFIAS</t>
  </si>
  <si>
    <t>CANT. GUANTES</t>
  </si>
  <si>
    <t>AMONIO</t>
  </si>
  <si>
    <t>ALCH.GEL</t>
  </si>
  <si>
    <t>VALOR UN</t>
  </si>
  <si>
    <t>VALOR LT</t>
  </si>
  <si>
    <t>LOBITO</t>
  </si>
  <si>
    <t>PECECITOS</t>
  </si>
  <si>
    <t>SC CARACOLITO</t>
  </si>
  <si>
    <t>SC MAR AZUL</t>
  </si>
  <si>
    <t>COEF. TEC</t>
  </si>
  <si>
    <t>ALCOHOL 70%</t>
  </si>
  <si>
    <t>ALCOHOL 70 %</t>
  </si>
  <si>
    <t>EPP</t>
  </si>
  <si>
    <t>PROYECCIÓN</t>
  </si>
  <si>
    <t>CANTIDAD NIVELES</t>
  </si>
  <si>
    <t>EDUC</t>
  </si>
  <si>
    <t>TEC. PARV</t>
  </si>
  <si>
    <t>MANIP. ALIM</t>
  </si>
  <si>
    <t>AUX. ASEO</t>
  </si>
  <si>
    <t>LOBITO MARINO</t>
  </si>
  <si>
    <t>SC MAR AZUL DIUR</t>
  </si>
  <si>
    <t>SC MAR AZUL NOC</t>
  </si>
  <si>
    <t>DIRECTORA EC</t>
  </si>
  <si>
    <t>Co Asist Tec Parv</t>
  </si>
  <si>
    <t>EC Directora</t>
  </si>
  <si>
    <t>EC Educ. Parv</t>
  </si>
  <si>
    <t>PAC Educ. Parv</t>
  </si>
  <si>
    <t>Co Asist. Tec. Parv</t>
  </si>
  <si>
    <t xml:space="preserve">Josefina </t>
  </si>
  <si>
    <t>Correa</t>
  </si>
  <si>
    <t>Ibarra</t>
  </si>
  <si>
    <t>Mariela</t>
  </si>
  <si>
    <t>Vicent</t>
  </si>
  <si>
    <t xml:space="preserve">Educ. Pedag. </t>
  </si>
  <si>
    <t>Camila</t>
  </si>
  <si>
    <t>Agurto</t>
  </si>
  <si>
    <t>NN</t>
  </si>
  <si>
    <t>Jardín Infantil  Lobito Marino</t>
  </si>
  <si>
    <t>Isabel</t>
  </si>
  <si>
    <t>Pereira</t>
  </si>
  <si>
    <t>Jessica</t>
  </si>
  <si>
    <t>Seulvedad</t>
  </si>
  <si>
    <t xml:space="preserve">Joseline </t>
  </si>
  <si>
    <t>Alvarado</t>
  </si>
  <si>
    <t>Ma. Esther</t>
  </si>
  <si>
    <t>Ampuero</t>
  </si>
  <si>
    <t>Maricel</t>
  </si>
  <si>
    <t>Morales</t>
  </si>
  <si>
    <t xml:space="preserve">Andrea </t>
  </si>
  <si>
    <t>Martinez</t>
  </si>
  <si>
    <t>Ma. De Jesus</t>
  </si>
  <si>
    <t>Valenzuela</t>
  </si>
  <si>
    <t>Miriam</t>
  </si>
  <si>
    <t>Bustos</t>
  </si>
  <si>
    <t>Luisa</t>
  </si>
  <si>
    <t>Lazo</t>
  </si>
  <si>
    <t xml:space="preserve">Gina </t>
  </si>
  <si>
    <t>Basualto</t>
  </si>
  <si>
    <t xml:space="preserve">Susan </t>
  </si>
  <si>
    <t>Oyarce</t>
  </si>
  <si>
    <t>Caroline</t>
  </si>
  <si>
    <t xml:space="preserve">Javiera </t>
  </si>
  <si>
    <t>Bravo</t>
  </si>
  <si>
    <t>Katiuska</t>
  </si>
  <si>
    <t>Perez</t>
  </si>
  <si>
    <t>Beatriz</t>
  </si>
  <si>
    <t>Baeza</t>
  </si>
  <si>
    <t>Claudia</t>
  </si>
  <si>
    <t>Cofre</t>
  </si>
  <si>
    <t>Dennis</t>
  </si>
  <si>
    <t>Gutierrez</t>
  </si>
  <si>
    <t>Herrera</t>
  </si>
  <si>
    <t>Ana</t>
  </si>
  <si>
    <t>Vanessa</t>
  </si>
  <si>
    <t>Jimenez</t>
  </si>
  <si>
    <t>Varas</t>
  </si>
  <si>
    <t xml:space="preserve">Jacqueline </t>
  </si>
  <si>
    <t>Angela</t>
  </si>
  <si>
    <t>Galleguillos</t>
  </si>
  <si>
    <t>Lesly</t>
  </si>
  <si>
    <t>Peña</t>
  </si>
  <si>
    <t>Scarlet</t>
  </si>
  <si>
    <t>Mena</t>
  </si>
  <si>
    <t>Charline</t>
  </si>
  <si>
    <t>Yelicich</t>
  </si>
  <si>
    <t>Castillo</t>
  </si>
  <si>
    <t>Katherin</t>
  </si>
  <si>
    <t>Matus</t>
  </si>
  <si>
    <t>Marta</t>
  </si>
  <si>
    <t>Mateluna</t>
  </si>
  <si>
    <t>Ruth</t>
  </si>
  <si>
    <t>Huerta</t>
  </si>
  <si>
    <t xml:space="preserve">Ximena </t>
  </si>
  <si>
    <t>Cartes</t>
  </si>
  <si>
    <t xml:space="preserve">Marcela </t>
  </si>
  <si>
    <t>Eliz</t>
  </si>
  <si>
    <t>Michelle</t>
  </si>
  <si>
    <t>Godoy</t>
  </si>
  <si>
    <t>CARACOLITO</t>
  </si>
  <si>
    <t>ESTUFAS</t>
  </si>
  <si>
    <t>MENAJE</t>
  </si>
  <si>
    <t>MAR AZUL</t>
  </si>
  <si>
    <t>Daniela</t>
  </si>
  <si>
    <t>Saravia</t>
  </si>
  <si>
    <t>Paola</t>
  </si>
  <si>
    <t>Diaz</t>
  </si>
  <si>
    <t>Guillermina</t>
  </si>
  <si>
    <t>Tracy</t>
  </si>
  <si>
    <t>Gloria</t>
  </si>
  <si>
    <t>Pavez</t>
  </si>
  <si>
    <t>Joselyn</t>
  </si>
  <si>
    <t>Magali</t>
  </si>
  <si>
    <t>Sara</t>
  </si>
  <si>
    <t>Micaela</t>
  </si>
  <si>
    <t>Ivania</t>
  </si>
  <si>
    <t>Estormi</t>
  </si>
  <si>
    <t>Valeria</t>
  </si>
  <si>
    <t>Sonia</t>
  </si>
  <si>
    <t>Carolina</t>
  </si>
  <si>
    <t>Nayareth</t>
  </si>
  <si>
    <t>Estefania</t>
  </si>
  <si>
    <t>Maria</t>
  </si>
  <si>
    <t>Ivonne</t>
  </si>
  <si>
    <t>Cuevas</t>
  </si>
  <si>
    <t>Oyarzo</t>
  </si>
  <si>
    <t>Ruz</t>
  </si>
  <si>
    <t>Olivares</t>
  </si>
  <si>
    <t xml:space="preserve">González </t>
  </si>
  <si>
    <t xml:space="preserve">Gómez </t>
  </si>
  <si>
    <t xml:space="preserve">Mitrovich </t>
  </si>
  <si>
    <t>Delgado</t>
  </si>
  <si>
    <t xml:space="preserve">Rodríguez </t>
  </si>
  <si>
    <t xml:space="preserve">Escudero </t>
  </si>
  <si>
    <t xml:space="preserve">Acevedo </t>
  </si>
  <si>
    <t xml:space="preserve">Contreras </t>
  </si>
  <si>
    <t>Ines</t>
  </si>
  <si>
    <t>Fabiola</t>
  </si>
  <si>
    <t>Vidal</t>
  </si>
  <si>
    <t>Olga</t>
  </si>
  <si>
    <t>Collao</t>
  </si>
  <si>
    <t>Ignacia</t>
  </si>
  <si>
    <t>Cabezas</t>
  </si>
  <si>
    <t>Karina</t>
  </si>
  <si>
    <t>Escobar</t>
  </si>
  <si>
    <t>Constanza</t>
  </si>
  <si>
    <t>OP Contable</t>
  </si>
  <si>
    <t>Edith</t>
  </si>
  <si>
    <t>Marambio Kerr</t>
  </si>
  <si>
    <t>Tesoreria</t>
  </si>
  <si>
    <t>Julio</t>
  </si>
  <si>
    <t>Piaggio Morla</t>
  </si>
  <si>
    <t>Jefe Adquisiciones</t>
  </si>
  <si>
    <t>Oscar</t>
  </si>
  <si>
    <t>Aguirre Gonzalez</t>
  </si>
  <si>
    <t>Rendición Cuentas</t>
  </si>
  <si>
    <t>Luis</t>
  </si>
  <si>
    <t>Silva Cardenas</t>
  </si>
  <si>
    <t>Enc. Compras Area Adquisiciones</t>
  </si>
  <si>
    <t>Juan</t>
  </si>
  <si>
    <t>Diaz Fredes</t>
  </si>
  <si>
    <t>Contador General</t>
  </si>
  <si>
    <t>Carla</t>
  </si>
  <si>
    <t>Veliz Pizarro</t>
  </si>
  <si>
    <t>Op RRHH</t>
  </si>
  <si>
    <t>Hector</t>
  </si>
  <si>
    <t>Delgado Delgado</t>
  </si>
  <si>
    <t xml:space="preserve">Orlando </t>
  </si>
  <si>
    <t>Salco Cantillana</t>
  </si>
  <si>
    <t>Prevencionista</t>
  </si>
  <si>
    <t>Nicol</t>
  </si>
  <si>
    <t>Valdebenito Ferrada</t>
  </si>
  <si>
    <t>Psicologa</t>
  </si>
  <si>
    <t>Cesar</t>
  </si>
  <si>
    <t>Cornejo Magaña</t>
  </si>
  <si>
    <t>Encc. Informatica</t>
  </si>
  <si>
    <t>Gerardo</t>
  </si>
  <si>
    <t>Tapia Henriquez</t>
  </si>
  <si>
    <t xml:space="preserve">Abel </t>
  </si>
  <si>
    <t>Estay Castillo</t>
  </si>
  <si>
    <t>Limpieza, aseo y mantención</t>
  </si>
  <si>
    <t>Catalina</t>
  </si>
  <si>
    <t>Silva Hoth</t>
  </si>
  <si>
    <t>Periodista</t>
  </si>
  <si>
    <t>Miguel</t>
  </si>
  <si>
    <t>Albayay Leppe</t>
  </si>
  <si>
    <t>Brigada Movil</t>
  </si>
  <si>
    <t>Marjorie</t>
  </si>
  <si>
    <t>Poblete Guerra</t>
  </si>
  <si>
    <t>OP Contable/educ</t>
  </si>
  <si>
    <t>PLANES MANTENCIÓN 2023</t>
  </si>
  <si>
    <t xml:space="preserve"> VALOR $ </t>
  </si>
  <si>
    <t xml:space="preserve"> VALOR ANUAL </t>
  </si>
  <si>
    <t>LIMPIEZA DE CANALES DE AGUA LLUVIAS Y RESUMIDEROS</t>
  </si>
  <si>
    <t xml:space="preserve"> ML </t>
  </si>
  <si>
    <t xml:space="preserve"> UN </t>
  </si>
  <si>
    <t xml:space="preserve">FUNCIONAMIENTO Y FITTINGS LAVAMANOS, TINETAS, LAVAPLATO Y LAVAFONDO </t>
  </si>
  <si>
    <t xml:space="preserve"> GL </t>
  </si>
  <si>
    <t>CALEFONT</t>
  </si>
  <si>
    <t>ARTEFACTO COCINA Y FOGON</t>
  </si>
  <si>
    <t xml:space="preserve"> un </t>
  </si>
  <si>
    <t>MANTENCION PATIO GOMA CAUCHO</t>
  </si>
  <si>
    <t>5 AÑOS</t>
  </si>
  <si>
    <t xml:space="preserve"> m2 </t>
  </si>
  <si>
    <t>PATIO DE JUEGO (PASTO SINTETICO)</t>
  </si>
  <si>
    <t>PATIO TECHADO TIPO VELA</t>
  </si>
  <si>
    <t xml:space="preserve"> ml </t>
  </si>
  <si>
    <t xml:space="preserve">TECHUMBRE EN PATIO </t>
  </si>
  <si>
    <t>MANTENCIÓN PINTURA INTERIOR CIELOS Y MUROS</t>
  </si>
  <si>
    <t xml:space="preserve">SALA DE ACTIVIDADES </t>
  </si>
  <si>
    <t>3 AÑOS</t>
  </si>
  <si>
    <t xml:space="preserve">SALA DE HÁBITOS HIGIÉNICOS </t>
  </si>
  <si>
    <t>MANTENCION PINTURA EXTERIOR</t>
  </si>
  <si>
    <t xml:space="preserve"> gl </t>
  </si>
  <si>
    <t>CAMBIO DE SIFONES Y DESAGUES</t>
  </si>
  <si>
    <t xml:space="preserve">MUEBLES DE COCINA  </t>
  </si>
  <si>
    <t>PISO FLOTANTE</t>
  </si>
  <si>
    <t>PUERTAS, CERRADURAS Y BISAGRAS</t>
  </si>
  <si>
    <t>FUNCIONAMIENTO DE VENTANAS</t>
  </si>
  <si>
    <t>CIRCUITOS TABLERO Y TIERRA</t>
  </si>
  <si>
    <t>MANTENCIÓN CLIMA Y EXTRACCION</t>
  </si>
  <si>
    <t>MANENCION CALEFACTORES</t>
  </si>
  <si>
    <t xml:space="preserve">MANTENCION INSTALACIONES DE EMERGENCIA </t>
  </si>
  <si>
    <t xml:space="preserve">MANTENCION DE BOMBAS </t>
  </si>
  <si>
    <t>MANTENCION GENERADOR</t>
  </si>
  <si>
    <t xml:space="preserve">MANTENCION SENSORES DE HUMO </t>
  </si>
  <si>
    <t xml:space="preserve">MANTENCION JARDINES </t>
  </si>
  <si>
    <t xml:space="preserve">MANTENIMIENTO 3ER NIVEL </t>
  </si>
  <si>
    <t>REPOSICION  DE VENTANAS</t>
  </si>
  <si>
    <t xml:space="preserve"> uni </t>
  </si>
  <si>
    <t>REPOSICION DE CALEFACTORES</t>
  </si>
  <si>
    <t xml:space="preserve">REPOSICION FOGON </t>
  </si>
  <si>
    <t>REPOSICION PISO GOMA CAUCHO</t>
  </si>
  <si>
    <t xml:space="preserve"> M2 </t>
  </si>
  <si>
    <t>UF</t>
  </si>
  <si>
    <t xml:space="preserve">PATIO DE JUEGO </t>
  </si>
  <si>
    <t>m2</t>
  </si>
  <si>
    <t>ml</t>
  </si>
  <si>
    <t>un</t>
  </si>
  <si>
    <t>REPOSICIONES</t>
  </si>
  <si>
    <t>uni</t>
  </si>
  <si>
    <t>UF ANUAL 2023</t>
  </si>
  <si>
    <t>Objetivo: Ofrecer instancias de análisis y reflexión sobre diferentes tipos de materiales educativos que apoyen y dinamicen el proceso de aprendizaje, favoreciendo el intercambio y la construcción conjunta de saberes. Contar con capacitación para aplicar diferentes estrategias pedagógicas relacionadas con los procesos de aprendizaje a la luz de las nuevas Bases Curriculares de la Educación Parvularia.</t>
  </si>
  <si>
    <t>AREA TECNICO PEDAGOGICA</t>
  </si>
  <si>
    <t xml:space="preserve">Capacitación interna o externa al JI / SC </t>
  </si>
  <si>
    <t>Responsable</t>
  </si>
  <si>
    <t>Recursos</t>
  </si>
  <si>
    <t>Fecha y Tiempo de realización</t>
  </si>
  <si>
    <t>Fuente de extracción de la información</t>
  </si>
  <si>
    <t>(curso, taller, seminario, charla, entre otros)</t>
  </si>
  <si>
    <t>(Humanos, materiales y/o financieros)</t>
  </si>
  <si>
    <t>Creación de Materiales Educativos en Educación Parvularia</t>
  </si>
  <si>
    <t>EDUCREA</t>
  </si>
  <si>
    <t>EDUCREA.CL</t>
  </si>
  <si>
    <t>Estrategias Didácticas de Apoyo al Rol de las Asistentes de Párvulos.</t>
  </si>
  <si>
    <t xml:space="preserve">Agosto </t>
  </si>
  <si>
    <t>AREA GESTION CURRICULAR</t>
  </si>
  <si>
    <t>Capacitación interna o externa al JI / SC</t>
  </si>
  <si>
    <r>
      <rPr>
        <b/>
        <sz val="11"/>
        <color rgb="FF000000"/>
        <rFont val="Calibri"/>
        <family val="2"/>
        <charset val="1"/>
      </rPr>
      <t xml:space="preserve"> </t>
    </r>
    <r>
      <rPr>
        <sz val="11"/>
        <color rgb="FF000000"/>
        <rFont val="Calibri"/>
        <family val="2"/>
        <charset val="1"/>
      </rPr>
      <t>(curso, taller, seminario, charla, entre otros)</t>
    </r>
  </si>
  <si>
    <t>Abril</t>
  </si>
  <si>
    <t>Septiembre</t>
  </si>
  <si>
    <t>Valor curso p/p $ 249.000</t>
  </si>
  <si>
    <t>PLAN CAPACITACION 2023</t>
  </si>
  <si>
    <t>Valor curso p/p $ 65.000</t>
  </si>
  <si>
    <t>Valor curso p/p $65.000</t>
  </si>
  <si>
    <t xml:space="preserve"> 12 hrs cronológicas</t>
  </si>
  <si>
    <t>12 hrs. cronológicas</t>
  </si>
  <si>
    <t>90  hrs cronologicas</t>
  </si>
  <si>
    <t>PROPUESTA 2023</t>
  </si>
  <si>
    <t xml:space="preserve">Creación de plataforma E-erling con capsulas y charlas de temas educativos, autocuidado y trabajo colaborativo. </t>
  </si>
  <si>
    <t>MICROONDAS</t>
  </si>
  <si>
    <t>IMPRESORA</t>
  </si>
  <si>
    <t>TERMOLAMINADORA</t>
  </si>
  <si>
    <t>PARLANTES AULA</t>
  </si>
  <si>
    <t>EQUIP. MENORES</t>
  </si>
  <si>
    <t>MOBILIARIO</t>
  </si>
  <si>
    <t>SILLAS OF</t>
  </si>
  <si>
    <t>SOFA DESCANSO</t>
  </si>
  <si>
    <t>EQUIP.MENORES</t>
  </si>
  <si>
    <t>COMPU. OF</t>
  </si>
  <si>
    <t>REPOSICIÓN COCINA MENAJE</t>
  </si>
  <si>
    <t>MATERIAL SENSORIAL</t>
  </si>
  <si>
    <t>EQUIPOS MEMORES</t>
  </si>
  <si>
    <t>MICOONDAS</t>
  </si>
  <si>
    <t>MENSAJE</t>
  </si>
  <si>
    <t>CUCHARAS</t>
  </si>
  <si>
    <t>CHUPETES FRUTA</t>
  </si>
  <si>
    <t>LIMPIA MAMDERAS</t>
  </si>
  <si>
    <t>CAJAS PLASTICAS COCINA</t>
  </si>
  <si>
    <t>OLLAS AC.INOX</t>
  </si>
  <si>
    <t>LOZA</t>
  </si>
  <si>
    <t>RADIO PARLANTES</t>
  </si>
  <si>
    <t>GENERADOR</t>
  </si>
  <si>
    <t>LICUADORA IND</t>
  </si>
  <si>
    <t>COCINA 4 SEDILE</t>
  </si>
  <si>
    <t>BANCA MADERA</t>
  </si>
  <si>
    <t>ESCALERAS MUDADOR</t>
  </si>
  <si>
    <t>PISO AULA ADULTO</t>
  </si>
  <si>
    <t>SILLAS DE COMER</t>
  </si>
  <si>
    <t>SILLAS NIDO</t>
  </si>
  <si>
    <t xml:space="preserve">CUNAS CAMAROTE </t>
  </si>
  <si>
    <t>OF LOCKER</t>
  </si>
  <si>
    <t>CHUTES FRUTAS</t>
  </si>
  <si>
    <t>MAMADERA CUCHARA</t>
  </si>
  <si>
    <t>MATERIAL DIDACTICO</t>
  </si>
  <si>
    <t>TATAMIS</t>
  </si>
  <si>
    <t>Diplomado Coordinador y Encargado convivencia escolar</t>
  </si>
  <si>
    <t>CACEM</t>
  </si>
  <si>
    <t>Diplomado Directoras Jardines Infantiles</t>
  </si>
  <si>
    <t>40 hrs cronológicas</t>
  </si>
  <si>
    <t>Objetivo: Desarrollar conocimiento, capacidades y habilidades para liderar una gestión de excelencia centrada en las competencias pedagogica, administrativas y financieras.</t>
  </si>
  <si>
    <t>internet</t>
  </si>
  <si>
    <t>cotización</t>
  </si>
  <si>
    <t>Colación 1/2 Jornada JI Lobito Marino</t>
  </si>
  <si>
    <t>EQUIP. MEN</t>
  </si>
  <si>
    <t>PARL ACTOS</t>
  </si>
  <si>
    <t>PARL SALAS</t>
  </si>
  <si>
    <t>Zuñiga</t>
  </si>
  <si>
    <t>JUEGOS PATIO</t>
  </si>
  <si>
    <t>REPOSICION LAVAMANOS Y WC Lavandinos</t>
  </si>
  <si>
    <t>Moncada</t>
  </si>
  <si>
    <t>se elimina</t>
  </si>
  <si>
    <t xml:space="preserve">eliminado </t>
  </si>
  <si>
    <t>PONCE QUIROZ</t>
  </si>
  <si>
    <t>MARCIA LETICIA</t>
  </si>
  <si>
    <t>COORDINARORA ADMINISTRATIVA</t>
  </si>
  <si>
    <t>CHAMORRO JIMENEZ</t>
  </si>
  <si>
    <t>MARCELA ANDREA</t>
  </si>
  <si>
    <t>ASISTENTE ADMINISTRATIVO</t>
  </si>
  <si>
    <t>MOISES ARIEL</t>
  </si>
  <si>
    <t>DURAN NAVIA</t>
  </si>
  <si>
    <t>OP CONTABLE A. RECREATIVA</t>
  </si>
  <si>
    <t>GREECE MARJORIE</t>
  </si>
  <si>
    <t>ANDREOTTI CUEVAS</t>
  </si>
  <si>
    <t>SUP. OP CONTABLE A. COMERCIAL</t>
  </si>
  <si>
    <t>CASTRO VIDELA</t>
  </si>
  <si>
    <t>SOFIA</t>
  </si>
  <si>
    <t>OP CONTABLE A. COMERCIAL</t>
  </si>
  <si>
    <t>NAVAJAS SANTINI</t>
  </si>
  <si>
    <t>JAVIER</t>
  </si>
  <si>
    <t>JEFE ASISTENCIA</t>
  </si>
  <si>
    <t>CALVO ALVAREZ</t>
  </si>
  <si>
    <t>CECILIA</t>
  </si>
  <si>
    <t>INFORMATICA</t>
  </si>
  <si>
    <t>MANRIQUEZ VILLENA</t>
  </si>
  <si>
    <t>ARTURO</t>
  </si>
  <si>
    <t>MAURICIO ABRAHAM</t>
  </si>
  <si>
    <t>OLMOS OLMOS</t>
  </si>
  <si>
    <t>MARKETING /COMERCIAL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</si>
</sst>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0">
    <numFmt numFmtId="6" formatCode="&quot;$&quot;#,##0;[Red]&quot;$&quot;\-#,##0"/>
    <numFmt numFmtId="44" formatCode="_ &quot;$&quot;* #,##0.00_ ;_ &quot;$&quot;* \-#,##0.00_ ;_ &quot;$&quot;* &quot;-&quot;??_ ;_ @_ "/>
    <numFmt numFmtId="164" formatCode="_-&quot;$&quot;\ * #,##0_-;\-&quot;$&quot;\ * #,##0_-;_-&quot;$&quot;\ * &quot;-&quot;_-;_-@_-"/>
    <numFmt numFmtId="165" formatCode="&quot;$&quot;#,##0;[Red]\-&quot;$&quot;#,##0"/>
    <numFmt numFmtId="166" formatCode="0\ %"/>
    <numFmt numFmtId="167" formatCode="_-&quot;$ &quot;* #,##0_-;&quot;-$ &quot;* #,##0_-;_-&quot;$ &quot;* \-_-;_-@_-"/>
    <numFmt numFmtId="168" formatCode="_-\$* #,##0.00_-;&quot;-$&quot;* #,##0.00_-;_-\$* \-??_-;_-@_-"/>
    <numFmt numFmtId="169" formatCode="#,##0_ ;[Red]\-#,##0\ "/>
    <numFmt numFmtId="170" formatCode="_-* #,##0.00_-;\-* #,##0.00_-;_-* \-??_-;_-@_-"/>
    <numFmt numFmtId="171" formatCode="_-\ * #,##0_-;&quot;$ &quot;* #,##0_-;_-\ * \-_-;_-@_-"/>
    <numFmt numFmtId="172" formatCode="_-\$* #,##0_-;&quot;-$&quot;* #,##0_-;_-\$* \-??_-;_-@_-"/>
    <numFmt numFmtId="173" formatCode="0.0%"/>
    <numFmt numFmtId="174" formatCode="#,##0_ ;\-#,##0\ "/>
    <numFmt numFmtId="175" formatCode="_-* #,##0.0_-;\-* #,##0.0_-;_-* \-??_-;_-@_-"/>
    <numFmt numFmtId="176" formatCode="_(* #,##0_);_(* \(#,##0\);_(* \-_);_(@_)"/>
    <numFmt numFmtId="177" formatCode="_-* #,##0_-;\-* #,##0_-;_-* \-??_-;_-@_-"/>
    <numFmt numFmtId="178" formatCode="\$#,##0_);&quot;($&quot;#,##0\)"/>
    <numFmt numFmtId="179" formatCode="_ * #,##0_ ;_ * \-#,##0_ ;_ * \-_ ;_ @_ "/>
    <numFmt numFmtId="180" formatCode="_ \$* #,##0_ ;_ \$* \-#,##0_ ;_ \$* \-_ ;_ @_ "/>
    <numFmt numFmtId="181" formatCode="&quot;$ &quot;#,##0"/>
    <numFmt numFmtId="182" formatCode="0.00\ %"/>
    <numFmt numFmtId="183" formatCode="0&quot; AÑOS&quot;"/>
    <numFmt numFmtId="184" formatCode="_-&quot;$ &quot;* #,##0_-;&quot;-$ &quot;* #,##0_-;_-&quot;$ &quot;* \-??_-;_-@_-"/>
    <numFmt numFmtId="185" formatCode="0.0"/>
    <numFmt numFmtId="186" formatCode="_-[$$-340A]\ * #,##0_-;\-[$$-340A]\ * #,##0_-;_-[$$-340A]\ * \-??_-;_-@_-"/>
    <numFmt numFmtId="187" formatCode="\$#,##0;[Red]&quot;$-&quot;#,##0"/>
    <numFmt numFmtId="188" formatCode="0\ &quot;AÑOS&quot;"/>
    <numFmt numFmtId="189" formatCode="_ [$$-340A]* #,##0_ ;_ [$$-340A]* \-#,##0_ ;_ [$$-340A]* &quot;-&quot;??_ ;_ @_ "/>
    <numFmt numFmtId="190" formatCode="_ * #,##0.0_ ;_ * \-#,##0.0_ ;_ * &quot;-&quot;?_ ;_ @_ "/>
    <numFmt numFmtId="191" formatCode="_-&quot;$&quot;* #,##0_-;\-&quot;$&quot;* #,##0_-;_-&quot;$&quot;* &quot;-&quot;??_-;_-@_-"/>
  </numFmts>
  <fonts count="60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b/>
      <sz val="10"/>
      <name val="Arial"/>
      <family val="2"/>
      <charset val="1"/>
    </font>
    <font>
      <u/>
      <sz val="10"/>
      <color rgb="FF0000FF"/>
      <name val="Arial"/>
      <family val="2"/>
      <charset val="1"/>
    </font>
    <font>
      <b/>
      <u/>
      <sz val="12"/>
      <color rgb="FF0000CC"/>
      <name val="Arial"/>
      <family val="2"/>
      <charset val="1"/>
    </font>
    <font>
      <b/>
      <sz val="10"/>
      <color rgb="FFFF0000"/>
      <name val="Arial"/>
      <family val="2"/>
      <charset val="1"/>
    </font>
    <font>
      <b/>
      <sz val="10"/>
      <color rgb="FF00CCFF"/>
      <name val="Arial"/>
      <family val="2"/>
      <charset val="1"/>
    </font>
    <font>
      <b/>
      <sz val="12"/>
      <name val="Arial"/>
      <family val="2"/>
      <charset val="1"/>
    </font>
    <font>
      <b/>
      <sz val="10"/>
      <color rgb="FFFFFFFF"/>
      <name val="Arial"/>
      <family val="2"/>
      <charset val="1"/>
    </font>
    <font>
      <sz val="10"/>
      <color rgb="FFFF0000"/>
      <name val="Arial"/>
      <family val="2"/>
      <charset val="1"/>
    </font>
    <font>
      <b/>
      <sz val="11"/>
      <name val="Arial"/>
      <family val="2"/>
      <charset val="1"/>
    </font>
    <font>
      <b/>
      <sz val="12"/>
      <color rgb="FFFFFFFF"/>
      <name val="Arial"/>
      <family val="2"/>
      <charset val="1"/>
    </font>
    <font>
      <b/>
      <sz val="10"/>
      <color rgb="FF000099"/>
      <name val="Arial"/>
      <family val="2"/>
      <charset val="1"/>
    </font>
    <font>
      <b/>
      <sz val="10"/>
      <color rgb="FF000000"/>
      <name val="Arial"/>
      <family val="2"/>
      <charset val="1"/>
    </font>
    <font>
      <sz val="10"/>
      <color rgb="FF000000"/>
      <name val="Arial"/>
      <family val="2"/>
      <charset val="1"/>
    </font>
    <font>
      <b/>
      <sz val="10"/>
      <color rgb="FFFFFFFF"/>
      <name val="Arial Narrow"/>
      <family val="2"/>
      <charset val="1"/>
    </font>
    <font>
      <b/>
      <sz val="10"/>
      <color rgb="FF000000"/>
      <name val="Arial Narrow"/>
      <family val="2"/>
      <charset val="1"/>
    </font>
    <font>
      <b/>
      <sz val="16"/>
      <name val="Arial"/>
      <family val="2"/>
      <charset val="1"/>
    </font>
    <font>
      <sz val="9"/>
      <color rgb="FF000000"/>
      <name val="Arial"/>
      <family val="2"/>
      <charset val="1"/>
    </font>
    <font>
      <b/>
      <u/>
      <sz val="10"/>
      <name val="Arial"/>
      <family val="2"/>
      <charset val="1"/>
    </font>
    <font>
      <b/>
      <sz val="12"/>
      <color rgb="FF000000"/>
      <name val="Calibri"/>
      <family val="2"/>
      <charset val="1"/>
    </font>
    <font>
      <b/>
      <sz val="8"/>
      <color rgb="FF000000"/>
      <name val="Calibri"/>
      <family val="2"/>
      <charset val="1"/>
    </font>
    <font>
      <sz val="8"/>
      <name val="Calibri"/>
      <family val="2"/>
      <charset val="1"/>
    </font>
    <font>
      <sz val="8"/>
      <color rgb="FF000000"/>
      <name val="Calibri"/>
      <family val="2"/>
      <charset val="1"/>
    </font>
    <font>
      <sz val="8"/>
      <color rgb="FF000000"/>
      <name val="Arial"/>
      <family val="2"/>
      <charset val="1"/>
    </font>
    <font>
      <b/>
      <sz val="11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0"/>
      <name val="Times New Roman"/>
      <family val="1"/>
      <charset val="1"/>
    </font>
    <font>
      <sz val="11"/>
      <name val="Calibri"/>
      <family val="2"/>
      <charset val="1"/>
    </font>
    <font>
      <sz val="12"/>
      <color rgb="FF000000"/>
      <name val="Calibri"/>
      <family val="2"/>
      <charset val="1"/>
    </font>
    <font>
      <b/>
      <sz val="10"/>
      <color rgb="FF000000"/>
      <name val="Calibri"/>
      <family val="2"/>
      <charset val="1"/>
    </font>
    <font>
      <sz val="10"/>
      <name val="Arial"/>
      <family val="2"/>
      <charset val="1"/>
    </font>
    <font>
      <b/>
      <sz val="8"/>
      <color rgb="FFFF0000"/>
      <name val="Calibri"/>
      <family val="2"/>
      <charset val="1"/>
    </font>
    <font>
      <sz val="8"/>
      <color rgb="FFFF0000"/>
      <name val="Calibri"/>
      <family val="2"/>
      <charset val="1"/>
    </font>
    <font>
      <b/>
      <u/>
      <sz val="12"/>
      <name val="Arial"/>
      <family val="2"/>
      <charset val="1"/>
    </font>
    <font>
      <b/>
      <sz val="11"/>
      <color theme="1"/>
      <name val="Calibri"/>
      <family val="2"/>
      <scheme val="minor"/>
    </font>
    <font>
      <sz val="8"/>
      <name val="Arial"/>
      <family val="2"/>
      <charset val="1"/>
    </font>
    <font>
      <b/>
      <sz val="8"/>
      <name val="Arial"/>
      <family val="2"/>
      <charset val="1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000000"/>
      <name val="Calibri"/>
      <family val="2"/>
      <charset val="1"/>
    </font>
    <font>
      <sz val="10"/>
      <color rgb="FF000000"/>
      <name val="Calibri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color theme="1"/>
      <name val="Calibri"/>
      <family val="2"/>
      <scheme val="minor"/>
    </font>
    <font>
      <sz val="10"/>
      <name val="Calibri"/>
      <family val="2"/>
      <charset val="1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000000"/>
      <name val="Calibri"/>
      <family val="2"/>
    </font>
    <font>
      <sz val="9"/>
      <name val="Arial"/>
      <family val="2"/>
      <charset val="1"/>
    </font>
    <font>
      <b/>
      <sz val="9"/>
      <name val="Arial"/>
      <family val="2"/>
    </font>
    <font>
      <sz val="9"/>
      <color rgb="FF000000"/>
      <name val="Calibri"/>
      <family val="2"/>
      <charset val="1"/>
    </font>
    <font>
      <sz val="9"/>
      <color rgb="FF000000"/>
      <name val="Calibri"/>
      <family val="2"/>
    </font>
    <font>
      <sz val="8"/>
      <color rgb="FFFF0000"/>
      <name val="Arial"/>
      <family val="2"/>
      <charset val="1"/>
    </font>
    <font>
      <sz val="10"/>
      <name val="Arial"/>
      <family val="2"/>
    </font>
  </fonts>
  <fills count="72">
    <fill>
      <patternFill patternType="none"/>
    </fill>
    <fill>
      <patternFill patternType="gray125"/>
    </fill>
    <fill>
      <patternFill patternType="solid">
        <fgColor rgb="FFA6A6A7"/>
        <bgColor rgb="FFA2A3AE"/>
      </patternFill>
    </fill>
    <fill>
      <patternFill patternType="solid">
        <fgColor rgb="FFFFFFFF"/>
        <bgColor rgb="FFFFFFF2"/>
      </patternFill>
    </fill>
    <fill>
      <patternFill patternType="solid">
        <fgColor rgb="FFFFFF00"/>
        <bgColor rgb="FFDFDF00"/>
      </patternFill>
    </fill>
    <fill>
      <patternFill patternType="solid">
        <fgColor rgb="FFBFBFBF"/>
        <bgColor rgb="FFBFBFC0"/>
      </patternFill>
    </fill>
    <fill>
      <patternFill patternType="solid">
        <fgColor rgb="FF0B2B4B"/>
        <bgColor rgb="FF000000"/>
      </patternFill>
    </fill>
    <fill>
      <patternFill patternType="solid">
        <fgColor rgb="FFC00000"/>
        <bgColor rgb="FFFF0000"/>
      </patternFill>
    </fill>
    <fill>
      <patternFill patternType="solid">
        <fgColor rgb="FFC6D9F1"/>
        <bgColor rgb="FFB9CDE5"/>
      </patternFill>
    </fill>
    <fill>
      <patternFill patternType="solid">
        <fgColor rgb="FFF3DCDB"/>
        <bgColor rgb="FFE6D3DF"/>
      </patternFill>
    </fill>
    <fill>
      <patternFill patternType="solid">
        <fgColor rgb="FFADBDD3"/>
        <bgColor rgb="FFB5B5CF"/>
      </patternFill>
    </fill>
    <fill>
      <patternFill patternType="solid">
        <fgColor rgb="FFD3C0C0"/>
        <bgColor rgb="FFBFBFC0"/>
      </patternFill>
    </fill>
    <fill>
      <patternFill patternType="solid">
        <fgColor rgb="FFDFDFE0"/>
        <bgColor rgb="FFD9D9D9"/>
      </patternFill>
    </fill>
    <fill>
      <patternFill patternType="solid">
        <fgColor rgb="FF8EB7E5"/>
        <bgColor rgb="FF95B3D7"/>
      </patternFill>
    </fill>
    <fill>
      <patternFill patternType="solid">
        <fgColor rgb="FF568ED4"/>
        <bgColor rgb="FF578FD5"/>
      </patternFill>
    </fill>
    <fill>
      <patternFill patternType="solid">
        <fgColor rgb="FFB9CDE5"/>
        <bgColor rgb="FFB5C6E8"/>
      </patternFill>
    </fill>
    <fill>
      <patternFill patternType="solid">
        <fgColor rgb="FFFFFFF2"/>
        <bgColor rgb="FFFFFFFF"/>
      </patternFill>
    </fill>
    <fill>
      <patternFill patternType="solid">
        <fgColor rgb="FFDFDF00"/>
        <bgColor rgb="FFFFC000"/>
      </patternFill>
    </fill>
    <fill>
      <patternFill patternType="solid">
        <fgColor rgb="FFB1C0EB"/>
        <bgColor rgb="FFB5C6E8"/>
      </patternFill>
    </fill>
    <fill>
      <patternFill patternType="solid">
        <fgColor rgb="FF649DD7"/>
        <bgColor rgb="FF5C95D6"/>
      </patternFill>
    </fill>
    <fill>
      <patternFill patternType="solid">
        <fgColor rgb="FFD9D9D9"/>
        <bgColor rgb="FFDFDFE0"/>
      </patternFill>
    </fill>
    <fill>
      <patternFill patternType="solid">
        <fgColor rgb="FFB5C6E8"/>
        <bgColor rgb="FFB1C0EB"/>
      </patternFill>
    </fill>
    <fill>
      <patternFill patternType="solid">
        <fgColor rgb="FF5C95D6"/>
        <bgColor rgb="FF578FD5"/>
      </patternFill>
    </fill>
    <fill>
      <patternFill patternType="solid">
        <fgColor rgb="FFA1B3C9"/>
        <bgColor rgb="FF95B3D7"/>
      </patternFill>
    </fill>
    <fill>
      <patternFill patternType="solid">
        <fgColor rgb="FF94A2B5"/>
        <bgColor rgb="FFA2A3AE"/>
      </patternFill>
    </fill>
    <fill>
      <patternFill patternType="solid">
        <fgColor rgb="FFBFBF00"/>
        <bgColor rgb="FFDFDF00"/>
      </patternFill>
    </fill>
    <fill>
      <patternFill patternType="solid">
        <fgColor rgb="FFD99694"/>
        <bgColor rgb="FFBD9CA1"/>
      </patternFill>
    </fill>
    <fill>
      <patternFill patternType="solid">
        <fgColor rgb="FFB48384"/>
        <bgColor rgb="FFA0816E"/>
      </patternFill>
    </fill>
    <fill>
      <patternFill patternType="darkGray">
        <fgColor rgb="FF8EB7E5"/>
        <bgColor rgb="FF95B3D7"/>
      </patternFill>
    </fill>
    <fill>
      <patternFill patternType="solid">
        <fgColor rgb="FFF79646"/>
        <bgColor rgb="FFD8833E"/>
      </patternFill>
    </fill>
    <fill>
      <patternFill patternType="solid">
        <fgColor rgb="FF3D81C5"/>
        <bgColor rgb="FF2B79BB"/>
      </patternFill>
    </fill>
    <fill>
      <patternFill patternType="solid">
        <fgColor rgb="FF9E9E9F"/>
        <bgColor rgb="FF94A2B5"/>
      </patternFill>
    </fill>
    <fill>
      <patternFill patternType="solid">
        <fgColor rgb="FFB5B5CF"/>
        <bgColor rgb="FFBABAC7"/>
      </patternFill>
    </fill>
    <fill>
      <patternFill patternType="solid">
        <fgColor rgb="FFB8C1C4"/>
        <bgColor rgb="FFBFBFC0"/>
      </patternFill>
    </fill>
    <fill>
      <patternFill patternType="darkGray">
        <fgColor rgb="FF0B2B4B"/>
        <bgColor rgb="FF000000"/>
      </patternFill>
    </fill>
    <fill>
      <patternFill patternType="solid">
        <fgColor rgb="FFBDBDBE"/>
        <bgColor rgb="FFBFBFBF"/>
      </patternFill>
    </fill>
    <fill>
      <patternFill patternType="solid">
        <fgColor rgb="FFA2A3AE"/>
        <bgColor rgb="FFA6A6A7"/>
      </patternFill>
    </fill>
    <fill>
      <patternFill patternType="darkGray">
        <fgColor rgb="FFA0816E"/>
        <bgColor rgb="FFB48384"/>
      </patternFill>
    </fill>
    <fill>
      <patternFill patternType="solid">
        <fgColor rgb="FFBD9CA1"/>
        <bgColor rgb="FFB5A5A5"/>
      </patternFill>
    </fill>
    <fill>
      <patternFill patternType="solid">
        <fgColor rgb="FFDBCBE4"/>
        <bgColor rgb="FFE6D3DF"/>
      </patternFill>
    </fill>
    <fill>
      <patternFill patternType="solid">
        <fgColor rgb="FFB5A5A5"/>
        <bgColor rgb="FFA6A6A7"/>
      </patternFill>
    </fill>
    <fill>
      <patternFill patternType="solid">
        <fgColor rgb="FFE6D3DF"/>
        <bgColor rgb="FFD9D9D9"/>
      </patternFill>
    </fill>
    <fill>
      <patternFill patternType="mediumGray">
        <fgColor rgb="FF849DBF"/>
        <bgColor rgb="FF94A2B5"/>
      </patternFill>
    </fill>
    <fill>
      <patternFill patternType="solid">
        <fgColor rgb="FF578FD5"/>
        <bgColor rgb="FF568ED4"/>
      </patternFill>
    </fill>
    <fill>
      <patternFill patternType="darkGray">
        <fgColor rgb="FF849DBF"/>
        <bgColor rgb="FF799CC6"/>
      </patternFill>
    </fill>
    <fill>
      <patternFill patternType="solid">
        <fgColor rgb="FFD8833E"/>
        <bgColor rgb="FFF79646"/>
      </patternFill>
    </fill>
    <fill>
      <patternFill patternType="solid">
        <fgColor rgb="FFB97035"/>
        <bgColor rgb="FFD8833E"/>
      </patternFill>
    </fill>
    <fill>
      <patternFill patternType="solid">
        <fgColor rgb="FFBFBFC0"/>
        <bgColor rgb="FFBFBFBF"/>
      </patternFill>
    </fill>
    <fill>
      <patternFill patternType="darkGray">
        <fgColor rgb="FF2B79BB"/>
        <bgColor rgb="FF3D81C5"/>
      </patternFill>
    </fill>
    <fill>
      <patternFill patternType="solid">
        <fgColor rgb="FFBABAC7"/>
        <bgColor rgb="FFBDBDBE"/>
      </patternFill>
    </fill>
    <fill>
      <patternFill patternType="darkGray">
        <fgColor rgb="FFB8C1C4"/>
        <bgColor rgb="FFBFBFC0"/>
      </patternFill>
    </fill>
    <fill>
      <patternFill patternType="solid">
        <fgColor rgb="FF799CC6"/>
        <bgColor rgb="FF849DBF"/>
      </patternFill>
    </fill>
    <fill>
      <patternFill patternType="solid">
        <fgColor rgb="FF95B3D7"/>
        <bgColor rgb="FF8EB7E5"/>
      </patternFill>
    </fill>
    <fill>
      <patternFill patternType="solid">
        <fgColor rgb="FF00B7F7"/>
        <bgColor rgb="FF3D81C5"/>
      </patternFill>
    </fill>
    <fill>
      <patternFill patternType="solid">
        <fgColor rgb="FFE6B9B8"/>
        <bgColor rgb="FFD3C0C0"/>
      </patternFill>
    </fill>
    <fill>
      <patternFill patternType="solid">
        <fgColor rgb="FFE4E6EC"/>
        <bgColor rgb="FFDFDFE0"/>
      </patternFill>
    </fill>
    <fill>
      <patternFill patternType="mediumGray">
        <fgColor rgb="FFA2A3AE"/>
        <bgColor rgb="FF9E9E9F"/>
      </patternFill>
    </fill>
    <fill>
      <patternFill patternType="solid">
        <fgColor rgb="FFE4E6EC"/>
        <bgColor rgb="FFDFDFE0"/>
      </patternFill>
    </fill>
    <fill>
      <patternFill patternType="solid">
        <fgColor theme="0"/>
        <bgColor indexed="64"/>
      </patternFill>
    </fill>
    <fill>
      <patternFill patternType="lightGray">
        <fgColor rgb="FFDFDF00"/>
        <bgColor rgb="FFBFBF00"/>
      </patternFill>
    </fill>
    <fill>
      <patternFill patternType="solid">
        <fgColor theme="4" tint="0.59999389629810485"/>
        <bgColor rgb="FFB9CDE5"/>
      </patternFill>
    </fill>
    <fill>
      <patternFill patternType="solid">
        <fgColor theme="4" tint="0.59999389629810485"/>
        <bgColor rgb="FFDFDF00"/>
      </patternFill>
    </fill>
    <fill>
      <patternFill patternType="solid">
        <fgColor theme="0"/>
        <bgColor rgb="FFDFDF00"/>
      </patternFill>
    </fill>
    <fill>
      <patternFill patternType="solid">
        <fgColor theme="0"/>
        <bgColor rgb="FFB9CDE5"/>
      </patternFill>
    </fill>
    <fill>
      <patternFill patternType="solid">
        <fgColor theme="0"/>
        <bgColor rgb="FFFFFFF2"/>
      </patternFill>
    </fill>
    <fill>
      <patternFill patternType="solid">
        <fgColor theme="0"/>
        <bgColor rgb="FFB8C1C4"/>
      </patternFill>
    </fill>
    <fill>
      <patternFill patternType="solid">
        <fgColor rgb="FFFFC000"/>
        <bgColor rgb="FFDFDF00"/>
      </patternFill>
    </fill>
    <fill>
      <patternFill patternType="solid">
        <fgColor rgb="FFA8D08D"/>
        <bgColor rgb="FFB8C1C4"/>
      </patternFill>
    </fill>
    <fill>
      <patternFill patternType="solid">
        <fgColor rgb="FFFFD966"/>
        <bgColor rgb="FFDFDF00"/>
      </patternFill>
    </fill>
    <fill>
      <patternFill patternType="solid">
        <fgColor rgb="FFFFFFFF"/>
        <bgColor rgb="FF000000"/>
      </patternFill>
    </fill>
    <fill>
      <patternFill patternType="solid">
        <fgColor rgb="FFFFFFFF"/>
        <bgColor rgb="FFDFDF00"/>
      </patternFill>
    </fill>
    <fill>
      <patternFill patternType="solid">
        <fgColor rgb="FFFFFF00"/>
        <bgColor indexed="64"/>
      </patternFill>
    </fill>
  </fills>
  <borders count="80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rgb="FF2B79BB"/>
      </left>
      <right style="thin">
        <color rgb="FF2B79BB"/>
      </right>
      <top/>
      <bottom style="thin">
        <color rgb="FF2B79BB"/>
      </bottom>
      <diagonal/>
    </border>
    <border>
      <left style="thin">
        <color rgb="FF2B79BB"/>
      </left>
      <right style="thin">
        <color rgb="FF2B79BB"/>
      </right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rgb="FF95B3D7"/>
      </bottom>
      <diagonal/>
    </border>
    <border>
      <left style="medium">
        <color auto="1"/>
      </left>
      <right style="medium">
        <color auto="1"/>
      </right>
      <top/>
      <bottom/>
      <diagonal/>
    </border>
  </borders>
  <cellStyleXfs count="11">
    <xf numFmtId="0" fontId="0" fillId="0" borderId="0"/>
    <xf numFmtId="170" fontId="32" fillId="0" borderId="0"/>
    <xf numFmtId="168" fontId="32" fillId="0" borderId="0"/>
    <xf numFmtId="166" fontId="32" fillId="0" borderId="0"/>
    <xf numFmtId="0" fontId="3" fillId="0" borderId="0" applyBorder="0" applyProtection="0"/>
    <xf numFmtId="180" fontId="32" fillId="0" borderId="0" applyBorder="0" applyProtection="0"/>
    <xf numFmtId="164" fontId="32" fillId="0" borderId="0" applyFont="0" applyFill="0" applyBorder="0" applyAlignment="0" applyProtection="0"/>
    <xf numFmtId="0" fontId="32" fillId="0" borderId="0"/>
    <xf numFmtId="44" fontId="1" fillId="0" borderId="0" applyFont="0" applyFill="0" applyBorder="0" applyAlignment="0" applyProtection="0"/>
    <xf numFmtId="168" fontId="59" fillId="0" borderId="0"/>
    <xf numFmtId="168" fontId="32" fillId="0" borderId="0"/>
  </cellStyleXfs>
  <cellXfs count="1411">
    <xf numFmtId="0" fontId="0" fillId="0" borderId="0" xfId="0"/>
    <xf numFmtId="0" fontId="0" fillId="2" borderId="0" xfId="0" applyFill="1" applyProtection="1"/>
    <xf numFmtId="0" fontId="2" fillId="2" borderId="0" xfId="0" applyFont="1" applyFill="1" applyBorder="1" applyAlignment="1" applyProtection="1">
      <alignment horizontal="center" vertical="center"/>
    </xf>
    <xf numFmtId="0" fontId="0" fillId="0" borderId="0" xfId="0" applyFont="1" applyProtection="1"/>
    <xf numFmtId="0" fontId="2" fillId="0" borderId="0" xfId="0" applyFont="1" applyBorder="1" applyAlignment="1" applyProtection="1">
      <alignment horizontal="center" vertical="center"/>
    </xf>
    <xf numFmtId="0" fontId="3" fillId="0" borderId="0" xfId="4" applyFont="1" applyBorder="1" applyAlignment="1" applyProtection="1">
      <alignment vertical="center"/>
    </xf>
    <xf numFmtId="0" fontId="3" fillId="0" borderId="0" xfId="4" applyBorder="1" applyAlignment="1" applyProtection="1">
      <alignment vertical="center"/>
    </xf>
    <xf numFmtId="0" fontId="0" fillId="0" borderId="0" xfId="0" applyFont="1"/>
    <xf numFmtId="0" fontId="3" fillId="3" borderId="0" xfId="4" applyFont="1" applyFill="1" applyBorder="1" applyAlignment="1" applyProtection="1">
      <alignment vertical="center"/>
    </xf>
    <xf numFmtId="0" fontId="3" fillId="3" borderId="0" xfId="4" applyFill="1" applyBorder="1" applyAlignment="1" applyProtection="1">
      <alignment vertical="center"/>
    </xf>
    <xf numFmtId="0" fontId="3" fillId="0" borderId="0" xfId="4" applyBorder="1" applyAlignment="1" applyProtection="1"/>
    <xf numFmtId="0" fontId="3" fillId="0" borderId="0" xfId="4" applyBorder="1" applyAlignment="1" applyProtection="1">
      <alignment horizontal="left" vertical="center"/>
    </xf>
    <xf numFmtId="0" fontId="4" fillId="0" borderId="0" xfId="0" applyFont="1" applyBorder="1" applyAlignment="1" applyProtection="1">
      <alignment horizontal="left" vertical="center"/>
    </xf>
    <xf numFmtId="0" fontId="3" fillId="0" borderId="0" xfId="4" applyFont="1" applyBorder="1" applyAlignment="1" applyProtection="1">
      <alignment horizontal="left" vertical="center" wrapText="1"/>
    </xf>
    <xf numFmtId="0" fontId="4" fillId="0" borderId="0" xfId="0" applyFont="1" applyBorder="1" applyAlignment="1" applyProtection="1">
      <alignment vertical="center" wrapText="1"/>
    </xf>
    <xf numFmtId="0" fontId="4" fillId="0" borderId="0" xfId="0" applyFont="1" applyBorder="1" applyAlignment="1" applyProtection="1">
      <alignment vertical="center"/>
    </xf>
    <xf numFmtId="0" fontId="3" fillId="3" borderId="0" xfId="4" applyFont="1" applyFill="1" applyBorder="1" applyAlignment="1" applyProtection="1">
      <alignment horizontal="left" vertical="center"/>
    </xf>
    <xf numFmtId="0" fontId="3" fillId="3" borderId="0" xfId="4" applyFill="1" applyBorder="1" applyAlignment="1" applyProtection="1">
      <alignment horizontal="left" vertical="center"/>
    </xf>
    <xf numFmtId="0" fontId="3" fillId="0" borderId="0" xfId="4" applyBorder="1" applyAlignment="1" applyProtection="1">
      <alignment horizontal="left"/>
    </xf>
    <xf numFmtId="0" fontId="0" fillId="0" borderId="0" xfId="0" applyFont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0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0" fillId="0" borderId="0" xfId="0" applyFont="1" applyBorder="1" applyAlignment="1" applyProtection="1">
      <alignment vertical="center"/>
    </xf>
    <xf numFmtId="166" fontId="5" fillId="0" borderId="0" xfId="3" applyFont="1" applyBorder="1" applyAlignment="1" applyProtection="1">
      <alignment vertical="center"/>
    </xf>
    <xf numFmtId="166" fontId="0" fillId="0" borderId="0" xfId="3" applyFont="1" applyProtection="1"/>
    <xf numFmtId="0" fontId="2" fillId="0" borderId="0" xfId="0" applyFont="1" applyAlignment="1" applyProtection="1">
      <alignment horizontal="right" vertical="center"/>
    </xf>
    <xf numFmtId="0" fontId="2" fillId="0" borderId="0" xfId="0" applyFont="1" applyBorder="1" applyAlignment="1" applyProtection="1">
      <alignment horizontal="right" vertical="center"/>
    </xf>
    <xf numFmtId="0" fontId="4" fillId="0" borderId="0" xfId="0" applyFont="1" applyBorder="1" applyAlignment="1" applyProtection="1">
      <alignment horizontal="left" vertical="center" indent="4"/>
    </xf>
    <xf numFmtId="0" fontId="2" fillId="0" borderId="3" xfId="0" applyFont="1" applyBorder="1" applyAlignment="1" applyProtection="1">
      <alignment vertical="center"/>
    </xf>
    <xf numFmtId="166" fontId="2" fillId="0" borderId="0" xfId="3" applyFont="1" applyBorder="1" applyAlignment="1" applyProtection="1">
      <alignment horizontal="center" vertical="center"/>
    </xf>
    <xf numFmtId="0" fontId="2" fillId="5" borderId="4" xfId="0" applyFont="1" applyFill="1" applyBorder="1" applyAlignment="1" applyProtection="1">
      <alignment horizontal="center" vertical="center" wrapText="1"/>
    </xf>
    <xf numFmtId="167" fontId="8" fillId="6" borderId="2" xfId="0" applyNumberFormat="1" applyFont="1" applyFill="1" applyBorder="1" applyAlignment="1" applyProtection="1">
      <alignment horizontal="center" vertical="center" wrapText="1"/>
    </xf>
    <xf numFmtId="167" fontId="8" fillId="6" borderId="5" xfId="0" applyNumberFormat="1" applyFont="1" applyFill="1" applyBorder="1" applyAlignment="1" applyProtection="1">
      <alignment horizontal="center" vertical="center" wrapText="1"/>
    </xf>
    <xf numFmtId="0" fontId="8" fillId="6" borderId="4" xfId="0" applyFont="1" applyFill="1" applyBorder="1" applyAlignment="1" applyProtection="1">
      <alignment horizontal="center" vertical="center" wrapText="1"/>
    </xf>
    <xf numFmtId="0" fontId="8" fillId="7" borderId="2" xfId="0" applyFont="1" applyFill="1" applyBorder="1" applyAlignment="1" applyProtection="1">
      <alignment horizontal="center" vertical="center" wrapText="1"/>
    </xf>
    <xf numFmtId="0" fontId="8" fillId="7" borderId="6" xfId="0" applyFont="1" applyFill="1" applyBorder="1" applyAlignment="1" applyProtection="1">
      <alignment horizontal="center" vertical="center" wrapText="1"/>
    </xf>
    <xf numFmtId="0" fontId="2" fillId="5" borderId="2" xfId="0" applyFont="1" applyFill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left" vertical="center"/>
    </xf>
    <xf numFmtId="167" fontId="0" fillId="8" borderId="2" xfId="2" applyNumberFormat="1" applyFont="1" applyFill="1" applyBorder="1" applyAlignment="1" applyProtection="1">
      <alignment vertical="center"/>
    </xf>
    <xf numFmtId="167" fontId="0" fillId="8" borderId="4" xfId="2" applyNumberFormat="1" applyFont="1" applyFill="1" applyBorder="1" applyAlignment="1" applyProtection="1">
      <alignment vertical="center"/>
    </xf>
    <xf numFmtId="167" fontId="2" fillId="8" borderId="7" xfId="2" applyNumberFormat="1" applyFont="1" applyFill="1" applyBorder="1" applyAlignment="1" applyProtection="1">
      <alignment vertical="center"/>
    </xf>
    <xf numFmtId="167" fontId="0" fillId="9" borderId="2" xfId="2" applyNumberFormat="1" applyFont="1" applyFill="1" applyBorder="1" applyAlignment="1" applyProtection="1">
      <alignment vertical="center"/>
    </xf>
    <xf numFmtId="167" fontId="0" fillId="9" borderId="6" xfId="2" applyNumberFormat="1" applyFont="1" applyFill="1" applyBorder="1" applyAlignment="1" applyProtection="1">
      <alignment vertical="center"/>
    </xf>
    <xf numFmtId="167" fontId="2" fillId="9" borderId="2" xfId="2" applyNumberFormat="1" applyFont="1" applyFill="1" applyBorder="1" applyAlignment="1" applyProtection="1">
      <alignment vertical="center"/>
    </xf>
    <xf numFmtId="167" fontId="2" fillId="0" borderId="2" xfId="2" applyNumberFormat="1" applyFont="1" applyBorder="1" applyAlignment="1" applyProtection="1">
      <alignment vertical="center"/>
    </xf>
    <xf numFmtId="167" fontId="2" fillId="3" borderId="0" xfId="2" applyNumberFormat="1" applyFont="1" applyFill="1" applyBorder="1" applyAlignment="1" applyProtection="1">
      <alignment vertical="center"/>
    </xf>
    <xf numFmtId="166" fontId="32" fillId="0" borderId="2" xfId="3" applyBorder="1" applyAlignment="1" applyProtection="1">
      <alignment horizontal="center" vertical="center"/>
    </xf>
    <xf numFmtId="166" fontId="9" fillId="0" borderId="0" xfId="3" applyFont="1" applyBorder="1" applyAlignment="1" applyProtection="1">
      <alignment horizontal="center" vertical="center"/>
    </xf>
    <xf numFmtId="167" fontId="0" fillId="9" borderId="5" xfId="2" applyNumberFormat="1" applyFont="1" applyFill="1" applyBorder="1" applyAlignment="1" applyProtection="1">
      <alignment vertical="center"/>
    </xf>
    <xf numFmtId="167" fontId="0" fillId="0" borderId="0" xfId="0" applyNumberFormat="1" applyFont="1" applyAlignment="1" applyProtection="1">
      <alignment vertical="center"/>
    </xf>
    <xf numFmtId="167" fontId="0" fillId="10" borderId="2" xfId="2" applyNumberFormat="1" applyFont="1" applyFill="1" applyBorder="1" applyAlignment="1" applyProtection="1">
      <alignment vertical="center"/>
    </xf>
    <xf numFmtId="167" fontId="0" fillId="10" borderId="4" xfId="2" applyNumberFormat="1" applyFont="1" applyFill="1" applyBorder="1" applyAlignment="1" applyProtection="1">
      <alignment vertical="center"/>
    </xf>
    <xf numFmtId="167" fontId="2" fillId="10" borderId="7" xfId="2" applyNumberFormat="1" applyFont="1" applyFill="1" applyBorder="1" applyAlignment="1" applyProtection="1">
      <alignment vertical="center"/>
    </xf>
    <xf numFmtId="167" fontId="0" fillId="11" borderId="5" xfId="2" applyNumberFormat="1" applyFont="1" applyFill="1" applyBorder="1" applyAlignment="1" applyProtection="1">
      <alignment vertical="center"/>
    </xf>
    <xf numFmtId="167" fontId="2" fillId="11" borderId="2" xfId="2" applyNumberFormat="1" applyFont="1" applyFill="1" applyBorder="1" applyAlignment="1" applyProtection="1">
      <alignment vertical="center"/>
    </xf>
    <xf numFmtId="167" fontId="2" fillId="12" borderId="2" xfId="2" applyNumberFormat="1" applyFont="1" applyFill="1" applyBorder="1" applyAlignment="1" applyProtection="1">
      <alignment vertical="center"/>
    </xf>
    <xf numFmtId="166" fontId="32" fillId="0" borderId="0" xfId="3" applyBorder="1" applyAlignment="1" applyProtection="1">
      <alignment horizontal="center" vertical="center"/>
    </xf>
    <xf numFmtId="167" fontId="0" fillId="8" borderId="5" xfId="2" applyNumberFormat="1" applyFont="1" applyFill="1" applyBorder="1" applyAlignment="1" applyProtection="1">
      <alignment vertical="center"/>
    </xf>
    <xf numFmtId="167" fontId="2" fillId="8" borderId="2" xfId="2" applyNumberFormat="1" applyFont="1" applyFill="1" applyBorder="1" applyAlignment="1" applyProtection="1">
      <alignment vertical="center"/>
    </xf>
    <xf numFmtId="167" fontId="2" fillId="8" borderId="3" xfId="2" applyNumberFormat="1" applyFont="1" applyFill="1" applyBorder="1" applyAlignment="1" applyProtection="1">
      <alignment vertical="center"/>
    </xf>
    <xf numFmtId="167" fontId="2" fillId="9" borderId="8" xfId="2" applyNumberFormat="1" applyFont="1" applyFill="1" applyBorder="1" applyAlignment="1" applyProtection="1">
      <alignment vertical="center"/>
    </xf>
    <xf numFmtId="167" fontId="2" fillId="0" borderId="8" xfId="2" applyNumberFormat="1" applyFont="1" applyBorder="1" applyAlignment="1" applyProtection="1">
      <alignment vertical="center"/>
    </xf>
    <xf numFmtId="0" fontId="2" fillId="5" borderId="4" xfId="0" applyFont="1" applyFill="1" applyBorder="1" applyAlignment="1" applyProtection="1">
      <alignment horizontal="center" vertical="center"/>
    </xf>
    <xf numFmtId="167" fontId="10" fillId="5" borderId="2" xfId="2" applyNumberFormat="1" applyFont="1" applyFill="1" applyBorder="1" applyAlignment="1" applyProtection="1">
      <alignment vertical="center"/>
    </xf>
    <xf numFmtId="167" fontId="10" fillId="5" borderId="6" xfId="2" applyNumberFormat="1" applyFont="1" applyFill="1" applyBorder="1" applyAlignment="1" applyProtection="1">
      <alignment vertical="center"/>
    </xf>
    <xf numFmtId="167" fontId="2" fillId="0" borderId="0" xfId="0" applyNumberFormat="1" applyFont="1" applyAlignment="1" applyProtection="1">
      <alignment vertical="center"/>
    </xf>
    <xf numFmtId="166" fontId="2" fillId="5" borderId="2" xfId="3" applyFont="1" applyFill="1" applyBorder="1" applyAlignment="1" applyProtection="1">
      <alignment horizontal="center" vertical="center"/>
    </xf>
    <xf numFmtId="0" fontId="2" fillId="3" borderId="0" xfId="0" applyFont="1" applyFill="1" applyBorder="1" applyAlignment="1" applyProtection="1">
      <alignment horizontal="left" vertical="center"/>
    </xf>
    <xf numFmtId="168" fontId="2" fillId="0" borderId="0" xfId="2" applyFont="1" applyBorder="1" applyAlignment="1" applyProtection="1">
      <alignment vertical="center"/>
    </xf>
    <xf numFmtId="169" fontId="2" fillId="0" borderId="0" xfId="0" applyNumberFormat="1" applyFont="1" applyAlignment="1" applyProtection="1">
      <alignment vertical="center"/>
    </xf>
    <xf numFmtId="0" fontId="0" fillId="0" borderId="0" xfId="0" applyFont="1" applyAlignment="1" applyProtection="1">
      <alignment horizontal="center" vertical="center"/>
    </xf>
    <xf numFmtId="167" fontId="2" fillId="14" borderId="17" xfId="0" applyNumberFormat="1" applyFont="1" applyFill="1" applyBorder="1" applyAlignment="1" applyProtection="1">
      <alignment horizontal="center" vertical="center" wrapText="1"/>
    </xf>
    <xf numFmtId="167" fontId="2" fillId="14" borderId="5" xfId="0" applyNumberFormat="1" applyFont="1" applyFill="1" applyBorder="1" applyAlignment="1" applyProtection="1">
      <alignment horizontal="center" vertical="center" wrapText="1"/>
    </xf>
    <xf numFmtId="167" fontId="2" fillId="14" borderId="18" xfId="0" applyNumberFormat="1" applyFont="1" applyFill="1" applyBorder="1" applyAlignment="1" applyProtection="1">
      <alignment horizontal="center" vertical="center" wrapText="1"/>
    </xf>
    <xf numFmtId="167" fontId="2" fillId="14" borderId="19" xfId="0" applyNumberFormat="1" applyFont="1" applyFill="1" applyBorder="1" applyAlignment="1" applyProtection="1">
      <alignment horizontal="center" vertical="center" wrapText="1"/>
    </xf>
    <xf numFmtId="167" fontId="0" fillId="0" borderId="22" xfId="0" applyNumberFormat="1" applyFont="1" applyBorder="1" applyAlignment="1" applyProtection="1">
      <alignment vertical="center"/>
    </xf>
    <xf numFmtId="167" fontId="0" fillId="0" borderId="20" xfId="2" applyNumberFormat="1" applyFont="1" applyBorder="1" applyAlignment="1" applyProtection="1">
      <alignment vertical="center"/>
    </xf>
    <xf numFmtId="167" fontId="0" fillId="0" borderId="21" xfId="2" applyNumberFormat="1" applyFont="1" applyBorder="1" applyAlignment="1" applyProtection="1">
      <alignment vertical="center"/>
    </xf>
    <xf numFmtId="167" fontId="0" fillId="0" borderId="22" xfId="2" applyNumberFormat="1" applyFont="1" applyBorder="1" applyAlignment="1" applyProtection="1">
      <alignment vertical="center"/>
    </xf>
    <xf numFmtId="167" fontId="0" fillId="0" borderId="23" xfId="2" applyNumberFormat="1" applyFont="1" applyBorder="1" applyAlignment="1" applyProtection="1">
      <alignment vertical="center"/>
    </xf>
    <xf numFmtId="167" fontId="0" fillId="12" borderId="24" xfId="2" applyNumberFormat="1" applyFont="1" applyFill="1" applyBorder="1" applyAlignment="1" applyProtection="1">
      <alignment horizontal="right" vertical="center"/>
    </xf>
    <xf numFmtId="167" fontId="0" fillId="12" borderId="21" xfId="2" applyNumberFormat="1" applyFont="1" applyFill="1" applyBorder="1" applyAlignment="1" applyProtection="1">
      <alignment horizontal="right" vertical="center"/>
    </xf>
    <xf numFmtId="167" fontId="0" fillId="3" borderId="21" xfId="2" applyNumberFormat="1" applyFont="1" applyFill="1" applyBorder="1" applyAlignment="1" applyProtection="1">
      <alignment vertical="center"/>
    </xf>
    <xf numFmtId="167" fontId="0" fillId="0" borderId="4" xfId="0" applyNumberFormat="1" applyFont="1" applyBorder="1" applyAlignment="1" applyProtection="1">
      <alignment vertical="center"/>
    </xf>
    <xf numFmtId="171" fontId="0" fillId="0" borderId="25" xfId="1" applyNumberFormat="1" applyFont="1" applyBorder="1" applyAlignment="1" applyProtection="1">
      <alignment vertical="center"/>
    </xf>
    <xf numFmtId="171" fontId="0" fillId="0" borderId="2" xfId="1" applyNumberFormat="1" applyFont="1" applyBorder="1" applyAlignment="1" applyProtection="1">
      <alignment vertical="center"/>
    </xf>
    <xf numFmtId="171" fontId="0" fillId="0" borderId="26" xfId="1" applyNumberFormat="1" applyFont="1" applyBorder="1" applyAlignment="1" applyProtection="1">
      <alignment vertical="center"/>
    </xf>
    <xf numFmtId="167" fontId="0" fillId="12" borderId="6" xfId="2" applyNumberFormat="1" applyFont="1" applyFill="1" applyBorder="1" applyAlignment="1" applyProtection="1">
      <alignment horizontal="right" vertical="center"/>
    </xf>
    <xf numFmtId="167" fontId="0" fillId="12" borderId="2" xfId="2" applyNumberFormat="1" applyFont="1" applyFill="1" applyBorder="1" applyAlignment="1" applyProtection="1">
      <alignment horizontal="right" vertical="center"/>
    </xf>
    <xf numFmtId="171" fontId="0" fillId="4" borderId="2" xfId="1" applyNumberFormat="1" applyFont="1" applyFill="1" applyBorder="1" applyAlignment="1" applyProtection="1">
      <alignment vertical="center"/>
      <protection locked="0"/>
    </xf>
    <xf numFmtId="167" fontId="2" fillId="15" borderId="4" xfId="0" applyNumberFormat="1" applyFont="1" applyFill="1" applyBorder="1" applyAlignment="1" applyProtection="1">
      <alignment vertical="center"/>
    </xf>
    <xf numFmtId="167" fontId="2" fillId="15" borderId="25" xfId="2" applyNumberFormat="1" applyFont="1" applyFill="1" applyBorder="1" applyAlignment="1" applyProtection="1">
      <alignment vertical="center"/>
    </xf>
    <xf numFmtId="167" fontId="2" fillId="15" borderId="2" xfId="2" applyNumberFormat="1" applyFont="1" applyFill="1" applyBorder="1" applyAlignment="1" applyProtection="1">
      <alignment vertical="center"/>
    </xf>
    <xf numFmtId="167" fontId="2" fillId="15" borderId="26" xfId="2" applyNumberFormat="1" applyFont="1" applyFill="1" applyBorder="1" applyAlignment="1" applyProtection="1">
      <alignment vertical="center"/>
    </xf>
    <xf numFmtId="167" fontId="2" fillId="15" borderId="6" xfId="2" applyNumberFormat="1" applyFont="1" applyFill="1" applyBorder="1" applyAlignment="1" applyProtection="1">
      <alignment horizontal="right" vertical="center"/>
    </xf>
    <xf numFmtId="167" fontId="2" fillId="15" borderId="2" xfId="2" applyNumberFormat="1" applyFont="1" applyFill="1" applyBorder="1" applyAlignment="1" applyProtection="1">
      <alignment horizontal="right" vertical="center"/>
    </xf>
    <xf numFmtId="167" fontId="2" fillId="15" borderId="26" xfId="2" applyNumberFormat="1" applyFont="1" applyFill="1" applyBorder="1" applyAlignment="1" applyProtection="1">
      <alignment horizontal="right" vertical="center"/>
    </xf>
    <xf numFmtId="167" fontId="0" fillId="0" borderId="25" xfId="2" applyNumberFormat="1" applyFont="1" applyBorder="1" applyAlignment="1" applyProtection="1">
      <alignment vertical="center"/>
    </xf>
    <xf numFmtId="167" fontId="0" fillId="0" borderId="2" xfId="2" applyNumberFormat="1" applyFont="1" applyBorder="1" applyAlignment="1" applyProtection="1">
      <alignment vertical="center"/>
    </xf>
    <xf numFmtId="167" fontId="0" fillId="0" borderId="26" xfId="2" applyNumberFormat="1" applyFont="1" applyBorder="1" applyAlignment="1" applyProtection="1">
      <alignment vertical="center"/>
    </xf>
    <xf numFmtId="167" fontId="0" fillId="3" borderId="2" xfId="2" applyNumberFormat="1" applyFont="1" applyFill="1" applyBorder="1" applyAlignment="1" applyProtection="1">
      <alignment vertical="center"/>
    </xf>
    <xf numFmtId="167" fontId="10" fillId="14" borderId="25" xfId="2" applyNumberFormat="1" applyFont="1" applyFill="1" applyBorder="1" applyAlignment="1" applyProtection="1">
      <alignment vertical="center" wrapText="1"/>
    </xf>
    <xf numFmtId="167" fontId="10" fillId="14" borderId="2" xfId="2" applyNumberFormat="1" applyFont="1" applyFill="1" applyBorder="1" applyAlignment="1" applyProtection="1">
      <alignment vertical="center" wrapText="1"/>
    </xf>
    <xf numFmtId="167" fontId="10" fillId="14" borderId="26" xfId="2" applyNumberFormat="1" applyFont="1" applyFill="1" applyBorder="1" applyAlignment="1" applyProtection="1">
      <alignment vertical="center" wrapText="1"/>
    </xf>
    <xf numFmtId="167" fontId="10" fillId="14" borderId="6" xfId="2" applyNumberFormat="1" applyFont="1" applyFill="1" applyBorder="1" applyAlignment="1" applyProtection="1">
      <alignment vertical="center" wrapText="1"/>
    </xf>
    <xf numFmtId="167" fontId="0" fillId="12" borderId="25" xfId="2" applyNumberFormat="1" applyFont="1" applyFill="1" applyBorder="1" applyAlignment="1" applyProtection="1">
      <alignment vertical="center"/>
    </xf>
    <xf numFmtId="167" fontId="0" fillId="12" borderId="2" xfId="2" applyNumberFormat="1" applyFont="1" applyFill="1" applyBorder="1" applyAlignment="1" applyProtection="1">
      <alignment vertical="center"/>
    </xf>
    <xf numFmtId="167" fontId="0" fillId="12" borderId="26" xfId="2" applyNumberFormat="1" applyFont="1" applyFill="1" applyBorder="1" applyAlignment="1" applyProtection="1">
      <alignment vertical="center"/>
    </xf>
    <xf numFmtId="171" fontId="0" fillId="12" borderId="25" xfId="1" applyNumberFormat="1" applyFont="1" applyFill="1" applyBorder="1" applyAlignment="1" applyProtection="1">
      <alignment vertical="center"/>
    </xf>
    <xf numFmtId="171" fontId="0" fillId="12" borderId="2" xfId="1" applyNumberFormat="1" applyFont="1" applyFill="1" applyBorder="1" applyAlignment="1" applyProtection="1">
      <alignment vertical="center"/>
    </xf>
    <xf numFmtId="171" fontId="0" fillId="12" borderId="26" xfId="1" applyNumberFormat="1" applyFont="1" applyFill="1" applyBorder="1" applyAlignment="1" applyProtection="1">
      <alignment vertical="center"/>
    </xf>
    <xf numFmtId="171" fontId="0" fillId="17" borderId="2" xfId="1" applyNumberFormat="1" applyFont="1" applyFill="1" applyBorder="1" applyAlignment="1" applyProtection="1">
      <alignment vertical="center"/>
      <protection locked="0"/>
    </xf>
    <xf numFmtId="167" fontId="2" fillId="18" borderId="25" xfId="2" applyNumberFormat="1" applyFont="1" applyFill="1" applyBorder="1" applyAlignment="1" applyProtection="1">
      <alignment vertical="center"/>
    </xf>
    <xf numFmtId="167" fontId="2" fillId="18" borderId="2" xfId="2" applyNumberFormat="1" applyFont="1" applyFill="1" applyBorder="1" applyAlignment="1" applyProtection="1">
      <alignment vertical="center"/>
    </xf>
    <xf numFmtId="167" fontId="2" fillId="18" borderId="26" xfId="2" applyNumberFormat="1" applyFont="1" applyFill="1" applyBorder="1" applyAlignment="1" applyProtection="1">
      <alignment vertical="center"/>
    </xf>
    <xf numFmtId="167" fontId="2" fillId="18" borderId="6" xfId="2" applyNumberFormat="1" applyFont="1" applyFill="1" applyBorder="1" applyAlignment="1" applyProtection="1">
      <alignment horizontal="right" vertical="center"/>
    </xf>
    <xf numFmtId="167" fontId="2" fillId="18" borderId="2" xfId="2" applyNumberFormat="1" applyFont="1" applyFill="1" applyBorder="1" applyAlignment="1" applyProtection="1">
      <alignment horizontal="right" vertical="center"/>
    </xf>
    <xf numFmtId="167" fontId="2" fillId="18" borderId="26" xfId="2" applyNumberFormat="1" applyFont="1" applyFill="1" applyBorder="1" applyAlignment="1" applyProtection="1">
      <alignment horizontal="right" vertical="center"/>
    </xf>
    <xf numFmtId="167" fontId="10" fillId="19" borderId="27" xfId="2" applyNumberFormat="1" applyFont="1" applyFill="1" applyBorder="1" applyAlignment="1" applyProtection="1">
      <alignment vertical="center" wrapText="1"/>
    </xf>
    <xf numFmtId="167" fontId="10" fillId="19" borderId="29" xfId="2" applyNumberFormat="1" applyFont="1" applyFill="1" applyBorder="1" applyAlignment="1" applyProtection="1">
      <alignment vertical="center" wrapText="1"/>
    </xf>
    <xf numFmtId="167" fontId="10" fillId="19" borderId="30" xfId="2" applyNumberFormat="1" applyFont="1" applyFill="1" applyBorder="1" applyAlignment="1" applyProtection="1">
      <alignment vertical="center" wrapText="1"/>
    </xf>
    <xf numFmtId="167" fontId="10" fillId="19" borderId="31" xfId="2" applyNumberFormat="1" applyFont="1" applyFill="1" applyBorder="1" applyAlignment="1" applyProtection="1">
      <alignment vertical="center" wrapText="1"/>
    </xf>
    <xf numFmtId="167" fontId="0" fillId="0" borderId="33" xfId="0" applyNumberFormat="1" applyFont="1" applyBorder="1" applyAlignment="1" applyProtection="1">
      <alignment vertical="center"/>
    </xf>
    <xf numFmtId="167" fontId="0" fillId="12" borderId="36" xfId="2" applyNumberFormat="1" applyFont="1" applyFill="1" applyBorder="1" applyAlignment="1" applyProtection="1">
      <alignment horizontal="right" vertical="center"/>
    </xf>
    <xf numFmtId="167" fontId="0" fillId="12" borderId="8" xfId="2" applyNumberFormat="1" applyFont="1" applyFill="1" applyBorder="1" applyAlignment="1" applyProtection="1">
      <alignment horizontal="right" vertical="center"/>
    </xf>
    <xf numFmtId="167" fontId="0" fillId="12" borderId="8" xfId="2" applyNumberFormat="1" applyFont="1" applyFill="1" applyBorder="1" applyAlignment="1" applyProtection="1">
      <alignment vertical="center"/>
    </xf>
    <xf numFmtId="167" fontId="2" fillId="21" borderId="2" xfId="2" applyNumberFormat="1" applyFont="1" applyFill="1" applyBorder="1" applyAlignment="1" applyProtection="1">
      <alignment vertical="center"/>
    </xf>
    <xf numFmtId="167" fontId="10" fillId="14" borderId="27" xfId="2" applyNumberFormat="1" applyFont="1" applyFill="1" applyBorder="1" applyAlignment="1" applyProtection="1">
      <alignment vertical="center" wrapText="1"/>
    </xf>
    <xf numFmtId="167" fontId="10" fillId="14" borderId="29" xfId="2" applyNumberFormat="1" applyFont="1" applyFill="1" applyBorder="1" applyAlignment="1" applyProtection="1">
      <alignment vertical="center" wrapText="1"/>
    </xf>
    <xf numFmtId="167" fontId="10" fillId="14" borderId="30" xfId="2" applyNumberFormat="1" applyFont="1" applyFill="1" applyBorder="1" applyAlignment="1" applyProtection="1">
      <alignment vertical="center" wrapText="1"/>
    </xf>
    <xf numFmtId="167" fontId="10" fillId="14" borderId="37" xfId="2" applyNumberFormat="1" applyFont="1" applyFill="1" applyBorder="1" applyAlignment="1" applyProtection="1">
      <alignment vertical="center" wrapText="1"/>
    </xf>
    <xf numFmtId="167" fontId="10" fillId="14" borderId="5" xfId="2" applyNumberFormat="1" applyFont="1" applyFill="1" applyBorder="1" applyAlignment="1" applyProtection="1">
      <alignment vertical="center" wrapText="1"/>
    </xf>
    <xf numFmtId="167" fontId="10" fillId="22" borderId="5" xfId="2" applyNumberFormat="1" applyFont="1" applyFill="1" applyBorder="1" applyAlignment="1" applyProtection="1">
      <alignment vertical="center" wrapText="1"/>
    </xf>
    <xf numFmtId="167" fontId="10" fillId="14" borderId="19" xfId="2" applyNumberFormat="1" applyFont="1" applyFill="1" applyBorder="1" applyAlignment="1" applyProtection="1">
      <alignment vertical="center" wrapText="1"/>
    </xf>
    <xf numFmtId="167" fontId="0" fillId="12" borderId="21" xfId="2" applyNumberFormat="1" applyFont="1" applyFill="1" applyBorder="1" applyAlignment="1" applyProtection="1">
      <alignment vertical="center"/>
    </xf>
    <xf numFmtId="167" fontId="2" fillId="21" borderId="6" xfId="2" applyNumberFormat="1" applyFont="1" applyFill="1" applyBorder="1" applyAlignment="1" applyProtection="1">
      <alignment horizontal="right" vertical="center"/>
    </xf>
    <xf numFmtId="167" fontId="10" fillId="22" borderId="27" xfId="2" applyNumberFormat="1" applyFont="1" applyFill="1" applyBorder="1" applyAlignment="1" applyProtection="1">
      <alignment vertical="center" wrapText="1"/>
    </xf>
    <xf numFmtId="167" fontId="10" fillId="14" borderId="40" xfId="2" applyNumberFormat="1" applyFont="1" applyFill="1" applyBorder="1" applyAlignment="1" applyProtection="1">
      <alignment vertical="center" wrapText="1"/>
    </xf>
    <xf numFmtId="167" fontId="10" fillId="14" borderId="41" xfId="2" applyNumberFormat="1" applyFont="1" applyFill="1" applyBorder="1" applyAlignment="1" applyProtection="1">
      <alignment vertical="center" wrapText="1"/>
    </xf>
    <xf numFmtId="167" fontId="10" fillId="14" borderId="42" xfId="2" applyNumberFormat="1" applyFont="1" applyFill="1" applyBorder="1" applyAlignment="1" applyProtection="1">
      <alignment vertical="center" wrapText="1"/>
    </xf>
    <xf numFmtId="167" fontId="10" fillId="14" borderId="43" xfId="2" applyNumberFormat="1" applyFont="1" applyFill="1" applyBorder="1" applyAlignment="1" applyProtection="1">
      <alignment vertical="center" wrapText="1"/>
    </xf>
    <xf numFmtId="167" fontId="10" fillId="14" borderId="44" xfId="2" applyNumberFormat="1" applyFont="1" applyFill="1" applyBorder="1" applyAlignment="1" applyProtection="1">
      <alignment vertical="center" wrapText="1"/>
    </xf>
    <xf numFmtId="0" fontId="0" fillId="0" borderId="0" xfId="0" applyFont="1" applyBorder="1" applyProtection="1"/>
    <xf numFmtId="1" fontId="0" fillId="0" borderId="0" xfId="3" applyNumberFormat="1" applyFont="1" applyProtection="1"/>
    <xf numFmtId="167" fontId="2" fillId="0" borderId="0" xfId="0" applyNumberFormat="1" applyFont="1" applyBorder="1" applyAlignment="1" applyProtection="1">
      <alignment horizontal="center" vertical="center" wrapText="1"/>
    </xf>
    <xf numFmtId="167" fontId="2" fillId="5" borderId="10" xfId="0" applyNumberFormat="1" applyFont="1" applyFill="1" applyBorder="1" applyAlignment="1" applyProtection="1">
      <alignment horizontal="center" vertical="center" wrapText="1"/>
    </xf>
    <xf numFmtId="167" fontId="2" fillId="5" borderId="14" xfId="0" applyNumberFormat="1" applyFont="1" applyFill="1" applyBorder="1" applyAlignment="1" applyProtection="1">
      <alignment horizontal="center" vertical="center" wrapText="1"/>
    </xf>
    <xf numFmtId="167" fontId="2" fillId="5" borderId="15" xfId="0" applyNumberFormat="1" applyFont="1" applyFill="1" applyBorder="1" applyAlignment="1" applyProtection="1">
      <alignment horizontal="center" vertical="center" wrapText="1"/>
    </xf>
    <xf numFmtId="167" fontId="2" fillId="14" borderId="37" xfId="0" applyNumberFormat="1" applyFont="1" applyFill="1" applyBorder="1" applyAlignment="1" applyProtection="1">
      <alignment horizontal="center" vertical="center" wrapText="1"/>
    </xf>
    <xf numFmtId="0" fontId="0" fillId="15" borderId="23" xfId="0" applyFont="1" applyFill="1" applyBorder="1" applyAlignment="1" applyProtection="1">
      <alignment horizontal="left" vertical="center"/>
    </xf>
    <xf numFmtId="172" fontId="0" fillId="15" borderId="20" xfId="2" applyNumberFormat="1" applyFont="1" applyFill="1" applyBorder="1" applyAlignment="1" applyProtection="1">
      <alignment vertical="center"/>
    </xf>
    <xf numFmtId="172" fontId="0" fillId="15" borderId="21" xfId="2" applyNumberFormat="1" applyFont="1" applyFill="1" applyBorder="1" applyAlignment="1" applyProtection="1">
      <alignment vertical="center"/>
    </xf>
    <xf numFmtId="172" fontId="0" fillId="15" borderId="22" xfId="2" applyNumberFormat="1" applyFont="1" applyFill="1" applyBorder="1" applyAlignment="1" applyProtection="1">
      <alignment vertical="center"/>
    </xf>
    <xf numFmtId="173" fontId="0" fillId="4" borderId="20" xfId="2" applyNumberFormat="1" applyFont="1" applyFill="1" applyBorder="1" applyAlignment="1" applyProtection="1">
      <alignment horizontal="center" vertical="center"/>
      <protection locked="0"/>
    </xf>
    <xf numFmtId="173" fontId="0" fillId="15" borderId="21" xfId="2" applyNumberFormat="1" applyFont="1" applyFill="1" applyBorder="1" applyAlignment="1" applyProtection="1">
      <alignment horizontal="center" vertical="center"/>
    </xf>
    <xf numFmtId="173" fontId="0" fillId="15" borderId="23" xfId="2" applyNumberFormat="1" applyFont="1" applyFill="1" applyBorder="1" applyAlignment="1" applyProtection="1">
      <alignment horizontal="center" vertical="center"/>
    </xf>
    <xf numFmtId="172" fontId="0" fillId="8" borderId="21" xfId="2" applyNumberFormat="1" applyFont="1" applyFill="1" applyBorder="1" applyAlignment="1" applyProtection="1">
      <alignment vertical="center"/>
    </xf>
    <xf numFmtId="172" fontId="0" fillId="8" borderId="23" xfId="2" applyNumberFormat="1" applyFont="1" applyFill="1" applyBorder="1" applyAlignment="1" applyProtection="1">
      <alignment vertical="center"/>
    </xf>
    <xf numFmtId="172" fontId="0" fillId="0" borderId="0" xfId="2" applyNumberFormat="1" applyFont="1" applyBorder="1" applyAlignment="1" applyProtection="1">
      <alignment vertical="center"/>
    </xf>
    <xf numFmtId="0" fontId="0" fillId="15" borderId="30" xfId="0" applyFont="1" applyFill="1" applyBorder="1" applyAlignment="1" applyProtection="1">
      <alignment horizontal="left" vertical="center"/>
    </xf>
    <xf numFmtId="172" fontId="0" fillId="15" borderId="27" xfId="2" applyNumberFormat="1" applyFont="1" applyFill="1" applyBorder="1" applyAlignment="1" applyProtection="1">
      <alignment vertical="center"/>
    </xf>
    <xf numFmtId="172" fontId="0" fillId="15" borderId="29" xfId="2" applyNumberFormat="1" applyFont="1" applyFill="1" applyBorder="1" applyAlignment="1" applyProtection="1">
      <alignment vertical="center"/>
    </xf>
    <xf numFmtId="172" fontId="0" fillId="15" borderId="28" xfId="2" applyNumberFormat="1" applyFont="1" applyFill="1" applyBorder="1" applyAlignment="1" applyProtection="1">
      <alignment vertical="center"/>
    </xf>
    <xf numFmtId="173" fontId="0" fillId="4" borderId="27" xfId="2" applyNumberFormat="1" applyFont="1" applyFill="1" applyBorder="1" applyAlignment="1" applyProtection="1">
      <alignment horizontal="center" vertical="center"/>
      <protection locked="0"/>
    </xf>
    <xf numFmtId="173" fontId="0" fillId="15" borderId="29" xfId="2" applyNumberFormat="1" applyFont="1" applyFill="1" applyBorder="1" applyAlignment="1" applyProtection="1">
      <alignment horizontal="center" vertical="center"/>
    </xf>
    <xf numFmtId="173" fontId="0" fillId="15" borderId="30" xfId="2" applyNumberFormat="1" applyFont="1" applyFill="1" applyBorder="1" applyAlignment="1" applyProtection="1">
      <alignment horizontal="center" vertical="center"/>
    </xf>
    <xf numFmtId="172" fontId="0" fillId="8" borderId="31" xfId="2" applyNumberFormat="1" applyFont="1" applyFill="1" applyBorder="1" applyAlignment="1" applyProtection="1">
      <alignment vertical="center"/>
    </xf>
    <xf numFmtId="172" fontId="0" fillId="8" borderId="29" xfId="2" applyNumberFormat="1" applyFont="1" applyFill="1" applyBorder="1" applyAlignment="1" applyProtection="1">
      <alignment vertical="center"/>
    </xf>
    <xf numFmtId="172" fontId="0" fillId="8" borderId="30" xfId="2" applyNumberFormat="1" applyFont="1" applyFill="1" applyBorder="1" applyAlignment="1" applyProtection="1">
      <alignment vertical="center"/>
    </xf>
    <xf numFmtId="172" fontId="0" fillId="8" borderId="36" xfId="2" applyNumberFormat="1" applyFont="1" applyFill="1" applyBorder="1" applyAlignment="1" applyProtection="1">
      <alignment vertical="center"/>
    </xf>
    <xf numFmtId="172" fontId="0" fillId="8" borderId="8" xfId="2" applyNumberFormat="1" applyFont="1" applyFill="1" applyBorder="1" applyAlignment="1" applyProtection="1">
      <alignment vertical="center"/>
    </xf>
    <xf numFmtId="172" fontId="0" fillId="8" borderId="35" xfId="2" applyNumberFormat="1" applyFont="1" applyFill="1" applyBorder="1" applyAlignment="1" applyProtection="1">
      <alignment vertical="center"/>
    </xf>
    <xf numFmtId="172" fontId="0" fillId="0" borderId="0" xfId="2" applyNumberFormat="1" applyFont="1" applyBorder="1" applyProtection="1"/>
    <xf numFmtId="172" fontId="0" fillId="15" borderId="17" xfId="2" applyNumberFormat="1" applyFont="1" applyFill="1" applyBorder="1" applyAlignment="1" applyProtection="1">
      <alignment vertical="center"/>
    </xf>
    <xf numFmtId="173" fontId="0" fillId="4" borderId="17" xfId="2" applyNumberFormat="1" applyFont="1" applyFill="1" applyBorder="1" applyAlignment="1" applyProtection="1">
      <alignment horizontal="center" vertical="center"/>
      <protection locked="0"/>
    </xf>
    <xf numFmtId="173" fontId="0" fillId="15" borderId="5" xfId="2" applyNumberFormat="1" applyFont="1" applyFill="1" applyBorder="1" applyAlignment="1" applyProtection="1">
      <alignment horizontal="center" vertical="center"/>
    </xf>
    <xf numFmtId="173" fontId="0" fillId="15" borderId="19" xfId="2" applyNumberFormat="1" applyFont="1" applyFill="1" applyBorder="1" applyAlignment="1" applyProtection="1">
      <alignment horizontal="center" vertical="center"/>
    </xf>
    <xf numFmtId="172" fontId="0" fillId="8" borderId="5" xfId="2" applyNumberFormat="1" applyFont="1" applyFill="1" applyBorder="1" applyAlignment="1" applyProtection="1">
      <alignment vertical="center"/>
    </xf>
    <xf numFmtId="172" fontId="0" fillId="8" borderId="19" xfId="2" applyNumberFormat="1" applyFont="1" applyFill="1" applyBorder="1" applyAlignment="1" applyProtection="1">
      <alignment vertical="center"/>
    </xf>
    <xf numFmtId="173" fontId="0" fillId="15" borderId="41" xfId="2" applyNumberFormat="1" applyFont="1" applyFill="1" applyBorder="1" applyAlignment="1" applyProtection="1">
      <alignment horizontal="center" vertical="center"/>
    </xf>
    <xf numFmtId="172" fontId="0" fillId="8" borderId="41" xfId="2" applyNumberFormat="1" applyFont="1" applyFill="1" applyBorder="1" applyAlignment="1" applyProtection="1">
      <alignment vertical="center"/>
    </xf>
    <xf numFmtId="172" fontId="0" fillId="8" borderId="44" xfId="2" applyNumberFormat="1" applyFont="1" applyFill="1" applyBorder="1" applyAlignment="1" applyProtection="1">
      <alignment vertical="center"/>
    </xf>
    <xf numFmtId="167" fontId="2" fillId="5" borderId="17" xfId="0" applyNumberFormat="1" applyFont="1" applyFill="1" applyBorder="1" applyAlignment="1" applyProtection="1">
      <alignment horizontal="center" vertical="center" wrapText="1"/>
    </xf>
    <xf numFmtId="167" fontId="2" fillId="5" borderId="5" xfId="0" applyNumberFormat="1" applyFont="1" applyFill="1" applyBorder="1" applyAlignment="1" applyProtection="1">
      <alignment horizontal="center" vertical="center" wrapText="1"/>
    </xf>
    <xf numFmtId="167" fontId="2" fillId="5" borderId="18" xfId="0" applyNumberFormat="1" applyFont="1" applyFill="1" applyBorder="1" applyAlignment="1" applyProtection="1">
      <alignment horizontal="center" vertical="center" wrapText="1"/>
    </xf>
    <xf numFmtId="0" fontId="0" fillId="15" borderId="22" xfId="0" applyFont="1" applyFill="1" applyBorder="1" applyAlignment="1" applyProtection="1">
      <alignment horizontal="left" vertical="center"/>
    </xf>
    <xf numFmtId="0" fontId="0" fillId="15" borderId="4" xfId="0" applyFont="1" applyFill="1" applyBorder="1" applyAlignment="1" applyProtection="1">
      <alignment horizontal="left" vertical="center"/>
    </xf>
    <xf numFmtId="0" fontId="0" fillId="15" borderId="28" xfId="0" applyFont="1" applyFill="1" applyBorder="1" applyAlignment="1" applyProtection="1">
      <alignment horizontal="left" vertical="center"/>
    </xf>
    <xf numFmtId="0" fontId="0" fillId="15" borderId="33" xfId="0" applyFont="1" applyFill="1" applyBorder="1" applyAlignment="1" applyProtection="1">
      <alignment horizontal="left" vertical="center"/>
    </xf>
    <xf numFmtId="172" fontId="0" fillId="23" borderId="2" xfId="2" applyNumberFormat="1" applyFont="1" applyFill="1" applyBorder="1" applyAlignment="1" applyProtection="1">
      <alignment vertical="center"/>
    </xf>
    <xf numFmtId="172" fontId="0" fillId="23" borderId="4" xfId="2" applyNumberFormat="1" applyFont="1" applyFill="1" applyBorder="1" applyAlignment="1" applyProtection="1">
      <alignment vertical="center"/>
    </xf>
    <xf numFmtId="173" fontId="0" fillId="4" borderId="25" xfId="2" applyNumberFormat="1" applyFont="1" applyFill="1" applyBorder="1" applyAlignment="1" applyProtection="1">
      <alignment horizontal="center" vertical="center"/>
      <protection locked="0"/>
    </xf>
    <xf numFmtId="172" fontId="0" fillId="8" borderId="6" xfId="2" applyNumberFormat="1" applyFont="1" applyFill="1" applyBorder="1" applyAlignment="1" applyProtection="1">
      <alignment vertical="center"/>
    </xf>
    <xf numFmtId="166" fontId="32" fillId="0" borderId="0" xfId="3" applyProtection="1"/>
    <xf numFmtId="167" fontId="2" fillId="14" borderId="38" xfId="0" applyNumberFormat="1" applyFont="1" applyFill="1" applyBorder="1" applyAlignment="1" applyProtection="1">
      <alignment horizontal="center" vertical="center" wrapText="1"/>
    </xf>
    <xf numFmtId="167" fontId="2" fillId="14" borderId="54" xfId="0" applyNumberFormat="1" applyFont="1" applyFill="1" applyBorder="1" applyAlignment="1" applyProtection="1">
      <alignment horizontal="center" vertical="center" wrapText="1"/>
    </xf>
    <xf numFmtId="167" fontId="2" fillId="14" borderId="55" xfId="0" applyNumberFormat="1" applyFont="1" applyFill="1" applyBorder="1" applyAlignment="1" applyProtection="1">
      <alignment horizontal="center" vertical="center" wrapText="1"/>
    </xf>
    <xf numFmtId="0" fontId="0" fillId="0" borderId="56" xfId="0" applyFont="1" applyBorder="1" applyAlignment="1" applyProtection="1">
      <alignment horizontal="left" vertical="center"/>
    </xf>
    <xf numFmtId="174" fontId="0" fillId="4" borderId="20" xfId="2" applyNumberFormat="1" applyFont="1" applyFill="1" applyBorder="1" applyAlignment="1" applyProtection="1">
      <alignment horizontal="center" vertical="center"/>
      <protection locked="0"/>
    </xf>
    <xf numFmtId="174" fontId="0" fillId="4" borderId="21" xfId="2" applyNumberFormat="1" applyFont="1" applyFill="1" applyBorder="1" applyAlignment="1" applyProtection="1">
      <alignment horizontal="center" vertical="center"/>
      <protection locked="0"/>
    </xf>
    <xf numFmtId="174" fontId="0" fillId="4" borderId="22" xfId="2" applyNumberFormat="1" applyFont="1" applyFill="1" applyBorder="1" applyAlignment="1" applyProtection="1">
      <alignment horizontal="center" vertical="center"/>
      <protection locked="0"/>
    </xf>
    <xf numFmtId="174" fontId="2" fillId="8" borderId="13" xfId="0" applyNumberFormat="1" applyFont="1" applyFill="1" applyBorder="1" applyAlignment="1" applyProtection="1">
      <alignment horizontal="center" vertical="center"/>
    </xf>
    <xf numFmtId="0" fontId="0" fillId="0" borderId="57" xfId="0" applyFont="1" applyBorder="1" applyAlignment="1" applyProtection="1">
      <alignment horizontal="left" vertical="center"/>
    </xf>
    <xf numFmtId="174" fontId="0" fillId="4" borderId="27" xfId="2" applyNumberFormat="1" applyFont="1" applyFill="1" applyBorder="1" applyAlignment="1" applyProtection="1">
      <alignment horizontal="center" vertical="center"/>
      <protection locked="0"/>
    </xf>
    <xf numFmtId="174" fontId="0" fillId="4" borderId="29" xfId="2" applyNumberFormat="1" applyFont="1" applyFill="1" applyBorder="1" applyAlignment="1" applyProtection="1">
      <alignment horizontal="center" vertical="center"/>
      <protection locked="0"/>
    </xf>
    <xf numFmtId="174" fontId="0" fillId="4" borderId="28" xfId="2" applyNumberFormat="1" applyFont="1" applyFill="1" applyBorder="1" applyAlignment="1" applyProtection="1">
      <alignment horizontal="center" vertical="center"/>
      <protection locked="0"/>
    </xf>
    <xf numFmtId="174" fontId="2" fillId="8" borderId="58" xfId="0" applyNumberFormat="1" applyFont="1" applyFill="1" applyBorder="1" applyAlignment="1" applyProtection="1">
      <alignment horizontal="center" vertical="center"/>
    </xf>
    <xf numFmtId="174" fontId="2" fillId="8" borderId="39" xfId="0" applyNumberFormat="1" applyFont="1" applyFill="1" applyBorder="1" applyAlignment="1" applyProtection="1">
      <alignment horizontal="center" vertical="center"/>
    </xf>
    <xf numFmtId="0" fontId="9" fillId="0" borderId="0" xfId="0" applyFont="1" applyBorder="1" applyProtection="1"/>
    <xf numFmtId="0" fontId="0" fillId="0" borderId="0" xfId="0" applyFont="1" applyBorder="1" applyAlignment="1" applyProtection="1">
      <alignment horizontal="center" vertical="center"/>
    </xf>
    <xf numFmtId="172" fontId="9" fillId="0" borderId="0" xfId="2" applyNumberFormat="1" applyFont="1" applyProtection="1"/>
    <xf numFmtId="0" fontId="0" fillId="0" borderId="59" xfId="0" applyFont="1" applyBorder="1" applyAlignment="1" applyProtection="1">
      <alignment horizontal="left" vertical="center"/>
    </xf>
    <xf numFmtId="174" fontId="2" fillId="8" borderId="60" xfId="0" applyNumberFormat="1" applyFont="1" applyFill="1" applyBorder="1" applyAlignment="1" applyProtection="1">
      <alignment horizontal="center" vertical="center"/>
    </xf>
    <xf numFmtId="172" fontId="9" fillId="0" borderId="0" xfId="0" applyNumberFormat="1" applyFont="1" applyBorder="1" applyProtection="1"/>
    <xf numFmtId="0" fontId="0" fillId="0" borderId="61" xfId="0" applyFont="1" applyBorder="1" applyAlignment="1" applyProtection="1">
      <alignment horizontal="left" vertical="center"/>
    </xf>
    <xf numFmtId="0" fontId="0" fillId="0" borderId="3" xfId="0" applyFont="1" applyBorder="1" applyAlignment="1" applyProtection="1">
      <alignment horizontal="left" vertical="center"/>
    </xf>
    <xf numFmtId="174" fontId="2" fillId="24" borderId="13" xfId="0" applyNumberFormat="1" applyFont="1" applyFill="1" applyBorder="1" applyAlignment="1" applyProtection="1">
      <alignment horizontal="center" vertical="center"/>
    </xf>
    <xf numFmtId="174" fontId="2" fillId="24" borderId="58" xfId="0" applyNumberFormat="1" applyFont="1" applyFill="1" applyBorder="1" applyAlignment="1" applyProtection="1">
      <alignment horizontal="center" vertical="center"/>
    </xf>
    <xf numFmtId="0" fontId="0" fillId="0" borderId="12" xfId="0" applyFont="1" applyBorder="1" applyAlignment="1" applyProtection="1">
      <alignment horizontal="left" vertical="center"/>
    </xf>
    <xf numFmtId="0" fontId="9" fillId="0" borderId="0" xfId="0" applyFont="1" applyBorder="1" applyAlignment="1" applyProtection="1">
      <alignment horizontal="left" vertical="center"/>
    </xf>
    <xf numFmtId="0" fontId="0" fillId="0" borderId="50" xfId="0" applyFont="1" applyBorder="1" applyAlignment="1" applyProtection="1">
      <alignment horizontal="left" vertical="center"/>
    </xf>
    <xf numFmtId="174" fontId="2" fillId="10" borderId="51" xfId="0" applyNumberFormat="1" applyFont="1" applyFill="1" applyBorder="1" applyAlignment="1" applyProtection="1">
      <alignment horizontal="center" vertical="center"/>
    </xf>
    <xf numFmtId="0" fontId="0" fillId="0" borderId="63" xfId="0" applyFont="1" applyBorder="1" applyAlignment="1" applyProtection="1">
      <alignment horizontal="left" vertical="center"/>
    </xf>
    <xf numFmtId="174" fontId="0" fillId="4" borderId="34" xfId="2" applyNumberFormat="1" applyFont="1" applyFill="1" applyBorder="1" applyAlignment="1" applyProtection="1">
      <alignment horizontal="center" vertical="center"/>
      <protection locked="0"/>
    </xf>
    <xf numFmtId="174" fontId="0" fillId="4" borderId="8" xfId="2" applyNumberFormat="1" applyFont="1" applyFill="1" applyBorder="1" applyAlignment="1" applyProtection="1">
      <alignment horizontal="center" vertical="center"/>
      <protection locked="0"/>
    </xf>
    <xf numFmtId="174" fontId="0" fillId="4" borderId="33" xfId="2" applyNumberFormat="1" applyFont="1" applyFill="1" applyBorder="1" applyAlignment="1" applyProtection="1">
      <alignment horizontal="center" vertical="center"/>
      <protection locked="0"/>
    </xf>
    <xf numFmtId="174" fontId="2" fillId="8" borderId="64" xfId="0" applyNumberFormat="1" applyFont="1" applyFill="1" applyBorder="1" applyAlignment="1" applyProtection="1">
      <alignment horizontal="center" vertical="center"/>
    </xf>
    <xf numFmtId="0" fontId="0" fillId="0" borderId="7" xfId="0" applyFont="1" applyBorder="1" applyAlignment="1" applyProtection="1">
      <alignment horizontal="left" vertical="center"/>
    </xf>
    <xf numFmtId="174" fontId="0" fillId="4" borderId="25" xfId="2" applyNumberFormat="1" applyFont="1" applyFill="1" applyBorder="1" applyAlignment="1" applyProtection="1">
      <alignment horizontal="center" vertical="center"/>
      <protection locked="0"/>
    </xf>
    <xf numFmtId="174" fontId="0" fillId="4" borderId="2" xfId="2" applyNumberFormat="1" applyFont="1" applyFill="1" applyBorder="1" applyAlignment="1" applyProtection="1">
      <alignment horizontal="center" vertical="center"/>
      <protection locked="0"/>
    </xf>
    <xf numFmtId="174" fontId="0" fillId="4" borderId="4" xfId="2" applyNumberFormat="1" applyFont="1" applyFill="1" applyBorder="1" applyAlignment="1" applyProtection="1">
      <alignment horizontal="center" vertical="center"/>
      <protection locked="0"/>
    </xf>
    <xf numFmtId="174" fontId="2" fillId="8" borderId="51" xfId="0" applyNumberFormat="1" applyFont="1" applyFill="1" applyBorder="1" applyAlignment="1" applyProtection="1">
      <alignment horizontal="center" vertical="center"/>
    </xf>
    <xf numFmtId="175" fontId="0" fillId="0" borderId="0" xfId="1" applyNumberFormat="1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175" fontId="2" fillId="5" borderId="2" xfId="1" applyNumberFormat="1" applyFont="1" applyFill="1" applyBorder="1" applyAlignment="1" applyProtection="1">
      <alignment horizontal="center" vertical="center" wrapText="1"/>
    </xf>
    <xf numFmtId="0" fontId="2" fillId="26" borderId="6" xfId="0" applyFont="1" applyFill="1" applyBorder="1" applyAlignment="1" applyProtection="1">
      <alignment horizontal="center" vertical="center"/>
    </xf>
    <xf numFmtId="0" fontId="13" fillId="26" borderId="4" xfId="0" applyFont="1" applyFill="1" applyBorder="1" applyAlignment="1" applyProtection="1">
      <alignment horizontal="left" vertical="center"/>
    </xf>
    <xf numFmtId="167" fontId="13" fillId="26" borderId="2" xfId="2" applyNumberFormat="1" applyFont="1" applyFill="1" applyBorder="1" applyAlignment="1" applyProtection="1">
      <alignment horizontal="center" vertical="center"/>
    </xf>
    <xf numFmtId="167" fontId="13" fillId="27" borderId="2" xfId="2" applyNumberFormat="1" applyFont="1" applyFill="1" applyBorder="1" applyAlignment="1" applyProtection="1">
      <alignment vertical="center"/>
    </xf>
    <xf numFmtId="167" fontId="2" fillId="26" borderId="2" xfId="2" applyNumberFormat="1" applyFont="1" applyFill="1" applyBorder="1" applyAlignment="1" applyProtection="1">
      <alignment vertical="center"/>
    </xf>
    <xf numFmtId="167" fontId="13" fillId="26" borderId="6" xfId="2" applyNumberFormat="1" applyFont="1" applyFill="1" applyBorder="1" applyAlignment="1" applyProtection="1">
      <alignment horizontal="center" vertical="center"/>
    </xf>
    <xf numFmtId="0" fontId="2" fillId="9" borderId="36" xfId="0" applyFont="1" applyFill="1" applyBorder="1" applyAlignment="1" applyProtection="1">
      <alignment horizontal="center" vertical="center" wrapText="1"/>
    </xf>
    <xf numFmtId="0" fontId="13" fillId="9" borderId="4" xfId="0" applyFont="1" applyFill="1" applyBorder="1" applyAlignment="1" applyProtection="1">
      <alignment horizontal="left" vertical="center"/>
    </xf>
    <xf numFmtId="167" fontId="13" fillId="9" borderId="2" xfId="2" applyNumberFormat="1" applyFont="1" applyFill="1" applyBorder="1" applyAlignment="1" applyProtection="1">
      <alignment horizontal="center" vertical="center"/>
    </xf>
    <xf numFmtId="167" fontId="13" fillId="11" borderId="2" xfId="2" applyNumberFormat="1" applyFont="1" applyFill="1" applyBorder="1" applyAlignment="1" applyProtection="1">
      <alignment vertical="center"/>
    </xf>
    <xf numFmtId="167" fontId="13" fillId="9" borderId="36" xfId="2" applyNumberFormat="1" applyFont="1" applyFill="1" applyBorder="1" applyAlignment="1" applyProtection="1">
      <alignment horizontal="center" vertical="center"/>
    </xf>
    <xf numFmtId="167" fontId="14" fillId="8" borderId="2" xfId="2" applyNumberFormat="1" applyFont="1" applyFill="1" applyBorder="1" applyAlignment="1" applyProtection="1">
      <alignment vertical="center"/>
    </xf>
    <xf numFmtId="167" fontId="13" fillId="28" borderId="6" xfId="2" applyNumberFormat="1" applyFont="1" applyFill="1" applyBorder="1" applyAlignment="1" applyProtection="1">
      <alignment vertical="center"/>
    </xf>
    <xf numFmtId="167" fontId="0" fillId="4" borderId="2" xfId="2" applyNumberFormat="1" applyFont="1" applyFill="1" applyBorder="1" applyAlignment="1" applyProtection="1">
      <alignment vertical="center"/>
      <protection locked="0"/>
    </xf>
    <xf numFmtId="167" fontId="14" fillId="4" borderId="2" xfId="2" applyNumberFormat="1" applyFont="1" applyFill="1" applyBorder="1" applyAlignment="1" applyProtection="1">
      <alignment vertical="center"/>
      <protection locked="0"/>
    </xf>
    <xf numFmtId="177" fontId="14" fillId="4" borderId="2" xfId="1" applyNumberFormat="1" applyFont="1" applyFill="1" applyBorder="1" applyAlignment="1" applyProtection="1">
      <alignment vertical="center"/>
      <protection locked="0"/>
    </xf>
    <xf numFmtId="167" fontId="13" fillId="9" borderId="2" xfId="2" applyNumberFormat="1" applyFont="1" applyFill="1" applyBorder="1" applyAlignment="1" applyProtection="1">
      <alignment horizontal="center" vertical="center"/>
      <protection locked="0"/>
    </xf>
    <xf numFmtId="0" fontId="14" fillId="4" borderId="2" xfId="0" applyFont="1" applyFill="1" applyBorder="1" applyAlignment="1" applyProtection="1">
      <alignment vertical="center"/>
      <protection locked="0"/>
    </xf>
    <xf numFmtId="0" fontId="13" fillId="4" borderId="2" xfId="0" applyFont="1" applyFill="1" applyBorder="1" applyAlignment="1" applyProtection="1">
      <alignment vertical="center"/>
      <protection locked="0"/>
    </xf>
    <xf numFmtId="167" fontId="14" fillId="29" borderId="2" xfId="2" applyNumberFormat="1" applyFont="1" applyFill="1" applyBorder="1" applyAlignment="1" applyProtection="1">
      <alignment vertical="center"/>
      <protection locked="0"/>
    </xf>
    <xf numFmtId="0" fontId="14" fillId="29" borderId="2" xfId="0" applyFont="1" applyFill="1" applyBorder="1" applyAlignment="1" applyProtection="1">
      <alignment vertical="center"/>
      <protection locked="0"/>
    </xf>
    <xf numFmtId="167" fontId="13" fillId="4" borderId="2" xfId="2" applyNumberFormat="1" applyFont="1" applyFill="1" applyBorder="1" applyAlignment="1" applyProtection="1">
      <alignment vertical="center"/>
      <protection locked="0"/>
    </xf>
    <xf numFmtId="167" fontId="13" fillId="9" borderId="2" xfId="2" applyNumberFormat="1" applyFont="1" applyFill="1" applyBorder="1" applyAlignment="1" applyProtection="1">
      <alignment vertical="center"/>
      <protection locked="0"/>
    </xf>
    <xf numFmtId="167" fontId="13" fillId="9" borderId="2" xfId="2" applyNumberFormat="1" applyFont="1" applyFill="1" applyBorder="1" applyAlignment="1" applyProtection="1">
      <alignment vertical="center"/>
    </xf>
    <xf numFmtId="167" fontId="13" fillId="9" borderId="6" xfId="2" applyNumberFormat="1" applyFont="1" applyFill="1" applyBorder="1" applyAlignment="1" applyProtection="1">
      <alignment vertical="center"/>
    </xf>
    <xf numFmtId="0" fontId="13" fillId="9" borderId="2" xfId="0" applyFont="1" applyFill="1" applyBorder="1" applyAlignment="1" applyProtection="1">
      <alignment vertical="center"/>
      <protection locked="0"/>
    </xf>
    <xf numFmtId="167" fontId="0" fillId="29" borderId="2" xfId="2" applyNumberFormat="1" applyFont="1" applyFill="1" applyBorder="1" applyAlignment="1" applyProtection="1">
      <alignment vertical="center"/>
    </xf>
    <xf numFmtId="0" fontId="14" fillId="8" borderId="2" xfId="0" applyFont="1" applyFill="1" applyBorder="1" applyAlignment="1" applyProtection="1">
      <alignment vertical="center"/>
    </xf>
    <xf numFmtId="167" fontId="13" fillId="28" borderId="37" xfId="2" applyNumberFormat="1" applyFont="1" applyFill="1" applyBorder="1" applyAlignment="1" applyProtection="1">
      <alignment vertical="center"/>
    </xf>
    <xf numFmtId="178" fontId="2" fillId="14" borderId="2" xfId="2" applyNumberFormat="1" applyFont="1" applyFill="1" applyBorder="1" applyAlignment="1" applyProtection="1">
      <alignment vertical="center"/>
    </xf>
    <xf numFmtId="178" fontId="2" fillId="14" borderId="6" xfId="2" applyNumberFormat="1" applyFont="1" applyFill="1" applyBorder="1" applyAlignment="1" applyProtection="1">
      <alignment vertical="center"/>
    </xf>
    <xf numFmtId="0" fontId="2" fillId="14" borderId="2" xfId="0" applyFont="1" applyFill="1" applyBorder="1" applyAlignment="1" applyProtection="1">
      <alignment horizontal="center" vertical="center" wrapText="1"/>
    </xf>
    <xf numFmtId="0" fontId="2" fillId="14" borderId="8" xfId="0" applyFont="1" applyFill="1" applyBorder="1" applyAlignment="1" applyProtection="1">
      <alignment vertical="center"/>
    </xf>
    <xf numFmtId="0" fontId="2" fillId="5" borderId="5" xfId="0" applyFont="1" applyFill="1" applyBorder="1" applyAlignment="1" applyProtection="1">
      <alignment horizontal="center" vertical="center" wrapText="1"/>
    </xf>
    <xf numFmtId="175" fontId="2" fillId="5" borderId="5" xfId="1" applyNumberFormat="1" applyFont="1" applyFill="1" applyBorder="1" applyAlignment="1" applyProtection="1">
      <alignment horizontal="center" vertical="center" wrapText="1"/>
    </xf>
    <xf numFmtId="0" fontId="13" fillId="26" borderId="2" xfId="0" applyFont="1" applyFill="1" applyBorder="1" applyAlignment="1" applyProtection="1">
      <alignment horizontal="left" vertical="center"/>
    </xf>
    <xf numFmtId="167" fontId="13" fillId="26" borderId="2" xfId="2" applyNumberFormat="1" applyFont="1" applyFill="1" applyBorder="1" applyAlignment="1" applyProtection="1">
      <alignment vertical="center"/>
    </xf>
    <xf numFmtId="0" fontId="9" fillId="3" borderId="0" xfId="0" applyFont="1" applyFill="1" applyAlignment="1" applyProtection="1">
      <alignment vertical="center"/>
    </xf>
    <xf numFmtId="0" fontId="13" fillId="9" borderId="2" xfId="0" applyFont="1" applyFill="1" applyBorder="1" applyAlignment="1" applyProtection="1">
      <alignment horizontal="left" vertical="center"/>
    </xf>
    <xf numFmtId="167" fontId="0" fillId="15" borderId="2" xfId="2" applyNumberFormat="1" applyFont="1" applyFill="1" applyBorder="1" applyAlignment="1" applyProtection="1">
      <alignment vertical="center"/>
    </xf>
    <xf numFmtId="167" fontId="14" fillId="3" borderId="2" xfId="2" applyNumberFormat="1" applyFont="1" applyFill="1" applyBorder="1" applyAlignment="1" applyProtection="1">
      <alignment vertical="center"/>
    </xf>
    <xf numFmtId="177" fontId="14" fillId="3" borderId="2" xfId="1" applyNumberFormat="1" applyFont="1" applyFill="1" applyBorder="1" applyAlignment="1" applyProtection="1">
      <alignment vertical="center"/>
    </xf>
    <xf numFmtId="179" fontId="13" fillId="4" borderId="2" xfId="5" applyNumberFormat="1" applyFont="1" applyFill="1" applyBorder="1" applyAlignment="1" applyProtection="1">
      <alignment vertical="center"/>
      <protection locked="0"/>
    </xf>
    <xf numFmtId="179" fontId="14" fillId="29" borderId="2" xfId="5" applyNumberFormat="1" applyFont="1" applyFill="1" applyBorder="1" applyAlignment="1" applyProtection="1">
      <alignment vertical="center"/>
      <protection locked="0"/>
    </xf>
    <xf numFmtId="0" fontId="13" fillId="26" borderId="2" xfId="0" applyFont="1" applyFill="1" applyBorder="1" applyAlignment="1" applyProtection="1">
      <alignment vertical="center"/>
    </xf>
    <xf numFmtId="0" fontId="13" fillId="9" borderId="2" xfId="0" applyFont="1" applyFill="1" applyBorder="1" applyAlignment="1" applyProtection="1">
      <alignment vertical="center"/>
    </xf>
    <xf numFmtId="167" fontId="0" fillId="29" borderId="2" xfId="2" applyNumberFormat="1" applyFont="1" applyFill="1" applyBorder="1" applyAlignment="1" applyProtection="1">
      <alignment vertical="center"/>
      <protection locked="0"/>
    </xf>
    <xf numFmtId="0" fontId="2" fillId="14" borderId="4" xfId="0" applyFont="1" applyFill="1" applyBorder="1" applyAlignment="1" applyProtection="1">
      <alignment vertical="center"/>
    </xf>
    <xf numFmtId="0" fontId="2" fillId="32" borderId="2" xfId="0" applyFont="1" applyFill="1" applyBorder="1" applyAlignment="1" applyProtection="1">
      <alignment horizontal="center" vertical="center" wrapText="1"/>
    </xf>
    <xf numFmtId="175" fontId="2" fillId="32" borderId="2" xfId="1" applyNumberFormat="1" applyFont="1" applyFill="1" applyBorder="1" applyAlignment="1" applyProtection="1">
      <alignment horizontal="center" vertical="center" wrapText="1"/>
    </xf>
    <xf numFmtId="167" fontId="13" fillId="36" borderId="2" xfId="2" applyNumberFormat="1" applyFont="1" applyFill="1" applyBorder="1" applyAlignment="1" applyProtection="1">
      <alignment horizontal="center" vertical="center"/>
    </xf>
    <xf numFmtId="167" fontId="13" fillId="37" borderId="2" xfId="2" applyNumberFormat="1" applyFont="1" applyFill="1" applyBorder="1" applyAlignment="1" applyProtection="1">
      <alignment vertical="center"/>
    </xf>
    <xf numFmtId="167" fontId="2" fillId="37" borderId="2" xfId="2" applyNumberFormat="1" applyFont="1" applyFill="1" applyBorder="1" applyAlignment="1" applyProtection="1">
      <alignment vertical="center"/>
    </xf>
    <xf numFmtId="167" fontId="13" fillId="36" borderId="6" xfId="2" applyNumberFormat="1" applyFont="1" applyFill="1" applyBorder="1" applyAlignment="1" applyProtection="1">
      <alignment horizontal="center" vertical="center"/>
    </xf>
    <xf numFmtId="0" fontId="13" fillId="38" borderId="4" xfId="0" applyFont="1" applyFill="1" applyBorder="1" applyAlignment="1" applyProtection="1">
      <alignment horizontal="left" vertical="center"/>
    </xf>
    <xf numFmtId="167" fontId="13" fillId="39" borderId="2" xfId="2" applyNumberFormat="1" applyFont="1" applyFill="1" applyBorder="1" applyAlignment="1" applyProtection="1">
      <alignment horizontal="center" vertical="center"/>
    </xf>
    <xf numFmtId="167" fontId="13" fillId="40" borderId="2" xfId="2" applyNumberFormat="1" applyFont="1" applyFill="1" applyBorder="1" applyAlignment="1" applyProtection="1">
      <alignment vertical="center"/>
    </xf>
    <xf numFmtId="167" fontId="2" fillId="40" borderId="2" xfId="2" applyNumberFormat="1" applyFont="1" applyFill="1" applyBorder="1" applyAlignment="1" applyProtection="1">
      <alignment vertical="center"/>
    </xf>
    <xf numFmtId="167" fontId="13" fillId="39" borderId="36" xfId="2" applyNumberFormat="1" applyFont="1" applyFill="1" applyBorder="1" applyAlignment="1" applyProtection="1">
      <alignment horizontal="center" vertical="center"/>
    </xf>
    <xf numFmtId="0" fontId="13" fillId="41" borderId="4" xfId="0" applyFont="1" applyFill="1" applyBorder="1" applyAlignment="1" applyProtection="1">
      <alignment horizontal="left" vertical="center"/>
    </xf>
    <xf numFmtId="167" fontId="0" fillId="42" borderId="2" xfId="2" applyNumberFormat="1" applyFont="1" applyFill="1" applyBorder="1" applyAlignment="1" applyProtection="1">
      <alignment vertical="center"/>
    </xf>
    <xf numFmtId="167" fontId="14" fillId="24" borderId="2" xfId="2" applyNumberFormat="1" applyFont="1" applyFill="1" applyBorder="1" applyAlignment="1" applyProtection="1">
      <alignment vertical="center"/>
    </xf>
    <xf numFmtId="177" fontId="14" fillId="24" borderId="2" xfId="1" applyNumberFormat="1" applyFont="1" applyFill="1" applyBorder="1" applyAlignment="1" applyProtection="1">
      <alignment vertical="center"/>
    </xf>
    <xf numFmtId="167" fontId="13" fillId="43" borderId="6" xfId="2" applyNumberFormat="1" applyFont="1" applyFill="1" applyBorder="1" applyAlignment="1" applyProtection="1">
      <alignment vertical="center"/>
    </xf>
    <xf numFmtId="176" fontId="14" fillId="12" borderId="4" xfId="0" applyNumberFormat="1" applyFont="1" applyFill="1" applyBorder="1" applyAlignment="1" applyProtection="1">
      <alignment horizontal="left" wrapText="1"/>
    </xf>
    <xf numFmtId="180" fontId="0" fillId="17" borderId="2" xfId="5" applyFont="1" applyFill="1" applyBorder="1" applyAlignment="1" applyProtection="1">
      <alignment horizontal="center" vertical="center"/>
    </xf>
    <xf numFmtId="172" fontId="32" fillId="44" borderId="2" xfId="2" applyNumberFormat="1" applyFill="1" applyBorder="1" applyAlignment="1" applyProtection="1">
      <alignment vertical="center"/>
    </xf>
    <xf numFmtId="172" fontId="32" fillId="44" borderId="2" xfId="2" applyNumberFormat="1" applyFill="1" applyBorder="1" applyProtection="1"/>
    <xf numFmtId="167" fontId="0" fillId="25" borderId="2" xfId="2" applyNumberFormat="1" applyFont="1" applyFill="1" applyBorder="1" applyAlignment="1" applyProtection="1">
      <alignment vertical="center"/>
    </xf>
    <xf numFmtId="167" fontId="14" fillId="25" borderId="2" xfId="2" applyNumberFormat="1" applyFont="1" applyFill="1" applyBorder="1" applyAlignment="1" applyProtection="1">
      <alignment vertical="center"/>
    </xf>
    <xf numFmtId="177" fontId="14" fillId="25" borderId="2" xfId="1" applyNumberFormat="1" applyFont="1" applyFill="1" applyBorder="1" applyAlignment="1" applyProtection="1">
      <alignment vertical="center"/>
    </xf>
    <xf numFmtId="176" fontId="14" fillId="12" borderId="4" xfId="0" applyNumberFormat="1" applyFont="1" applyFill="1" applyBorder="1" applyAlignment="1" applyProtection="1">
      <alignment horizontal="left"/>
    </xf>
    <xf numFmtId="180" fontId="0" fillId="45" borderId="2" xfId="5" applyFont="1" applyFill="1" applyBorder="1" applyAlignment="1" applyProtection="1">
      <alignment horizontal="center" vertical="center"/>
    </xf>
    <xf numFmtId="167" fontId="13" fillId="24" borderId="2" xfId="2" applyNumberFormat="1" applyFont="1" applyFill="1" applyBorder="1" applyAlignment="1" applyProtection="1">
      <alignment vertical="center"/>
    </xf>
    <xf numFmtId="177" fontId="32" fillId="24" borderId="2" xfId="1" applyNumberFormat="1" applyFill="1" applyBorder="1" applyProtection="1"/>
    <xf numFmtId="167" fontId="13" fillId="36" borderId="36" xfId="2" applyNumberFormat="1" applyFont="1" applyFill="1" applyBorder="1" applyAlignment="1" applyProtection="1">
      <alignment horizontal="center" vertical="center"/>
    </xf>
    <xf numFmtId="177" fontId="32" fillId="25" borderId="2" xfId="1" applyNumberFormat="1" applyFill="1" applyBorder="1" applyProtection="1"/>
    <xf numFmtId="167" fontId="13" fillId="39" borderId="2" xfId="2" applyNumberFormat="1" applyFont="1" applyFill="1" applyBorder="1" applyAlignment="1" applyProtection="1">
      <alignment vertical="center"/>
    </xf>
    <xf numFmtId="167" fontId="0" fillId="46" borderId="2" xfId="2" applyNumberFormat="1" applyFont="1" applyFill="1" applyBorder="1" applyAlignment="1" applyProtection="1">
      <alignment vertical="center"/>
    </xf>
    <xf numFmtId="177" fontId="32" fillId="46" borderId="2" xfId="1" applyNumberFormat="1" applyFill="1" applyBorder="1" applyProtection="1"/>
    <xf numFmtId="167" fontId="13" fillId="43" borderId="37" xfId="2" applyNumberFormat="1" applyFont="1" applyFill="1" applyBorder="1" applyAlignment="1" applyProtection="1">
      <alignment vertical="center"/>
    </xf>
    <xf numFmtId="178" fontId="2" fillId="19" borderId="2" xfId="2" applyNumberFormat="1" applyFont="1" applyFill="1" applyBorder="1" applyAlignment="1" applyProtection="1">
      <alignment vertical="center"/>
    </xf>
    <xf numFmtId="178" fontId="2" fillId="48" borderId="2" xfId="2" applyNumberFormat="1" applyFont="1" applyFill="1" applyBorder="1" applyAlignment="1" applyProtection="1">
      <alignment vertical="center"/>
    </xf>
    <xf numFmtId="178" fontId="2" fillId="19" borderId="6" xfId="2" applyNumberFormat="1" applyFont="1" applyFill="1" applyBorder="1" applyAlignment="1" applyProtection="1">
      <alignment vertical="center"/>
    </xf>
    <xf numFmtId="0" fontId="2" fillId="49" borderId="2" xfId="0" applyFont="1" applyFill="1" applyBorder="1" applyAlignment="1" applyProtection="1">
      <alignment horizontal="center" vertical="center" wrapText="1"/>
    </xf>
    <xf numFmtId="175" fontId="2" fillId="49" borderId="2" xfId="1" applyNumberFormat="1" applyFont="1" applyFill="1" applyBorder="1" applyAlignment="1" applyProtection="1">
      <alignment horizontal="center" vertical="center" wrapText="1"/>
    </xf>
    <xf numFmtId="177" fontId="0" fillId="4" borderId="2" xfId="1" applyNumberFormat="1" applyFont="1" applyFill="1" applyBorder="1" applyProtection="1">
      <protection locked="0"/>
    </xf>
    <xf numFmtId="177" fontId="0" fillId="29" borderId="2" xfId="1" applyNumberFormat="1" applyFont="1" applyFill="1" applyBorder="1" applyProtection="1">
      <protection locked="0"/>
    </xf>
    <xf numFmtId="180" fontId="0" fillId="29" borderId="2" xfId="5" applyFont="1" applyFill="1" applyBorder="1" applyAlignment="1" applyProtection="1">
      <alignment horizontal="center" vertical="center"/>
      <protection locked="0"/>
    </xf>
    <xf numFmtId="177" fontId="32" fillId="4" borderId="2" xfId="1" applyNumberFormat="1" applyFill="1" applyBorder="1" applyProtection="1">
      <protection locked="0"/>
    </xf>
    <xf numFmtId="177" fontId="32" fillId="29" borderId="2" xfId="1" applyNumberFormat="1" applyFill="1" applyBorder="1" applyProtection="1">
      <protection locked="0"/>
    </xf>
    <xf numFmtId="177" fontId="32" fillId="8" borderId="2" xfId="1" applyNumberFormat="1" applyFill="1" applyBorder="1" applyProtection="1"/>
    <xf numFmtId="167" fontId="13" fillId="38" borderId="2" xfId="2" applyNumberFormat="1" applyFont="1" applyFill="1" applyBorder="1" applyAlignment="1" applyProtection="1">
      <alignment horizontal="center" vertical="center"/>
    </xf>
    <xf numFmtId="167" fontId="2" fillId="27" borderId="2" xfId="2" applyNumberFormat="1" applyFont="1" applyFill="1" applyBorder="1" applyAlignment="1" applyProtection="1">
      <alignment vertical="center"/>
    </xf>
    <xf numFmtId="167" fontId="13" fillId="41" borderId="36" xfId="2" applyNumberFormat="1" applyFont="1" applyFill="1" applyBorder="1" applyAlignment="1" applyProtection="1">
      <alignment horizontal="center" vertical="center"/>
    </xf>
    <xf numFmtId="167" fontId="0" fillId="23" borderId="2" xfId="2" applyNumberFormat="1" applyFont="1" applyFill="1" applyBorder="1" applyAlignment="1" applyProtection="1">
      <alignment vertical="center"/>
    </xf>
    <xf numFmtId="167" fontId="14" fillId="10" borderId="2" xfId="2" applyNumberFormat="1" applyFont="1" applyFill="1" applyBorder="1" applyAlignment="1" applyProtection="1">
      <alignment vertical="center"/>
    </xf>
    <xf numFmtId="177" fontId="14" fillId="10" borderId="2" xfId="1" applyNumberFormat="1" applyFont="1" applyFill="1" applyBorder="1" applyAlignment="1" applyProtection="1">
      <alignment vertical="center"/>
    </xf>
    <xf numFmtId="167" fontId="13" fillId="51" borderId="6" xfId="2" applyNumberFormat="1" applyFont="1" applyFill="1" applyBorder="1" applyAlignment="1" applyProtection="1">
      <alignment vertical="center"/>
    </xf>
    <xf numFmtId="167" fontId="0" fillId="17" borderId="2" xfId="2" applyNumberFormat="1" applyFont="1" applyFill="1" applyBorder="1" applyAlignment="1" applyProtection="1">
      <alignment vertical="center"/>
    </xf>
    <xf numFmtId="167" fontId="14" fillId="17" borderId="2" xfId="2" applyNumberFormat="1" applyFont="1" applyFill="1" applyBorder="1" applyAlignment="1" applyProtection="1">
      <alignment vertical="center"/>
    </xf>
    <xf numFmtId="177" fontId="14" fillId="17" borderId="2" xfId="1" applyNumberFormat="1" applyFont="1" applyFill="1" applyBorder="1" applyAlignment="1" applyProtection="1">
      <alignment vertical="center"/>
    </xf>
    <xf numFmtId="177" fontId="0" fillId="10" borderId="2" xfId="1" applyNumberFormat="1" applyFont="1" applyFill="1" applyBorder="1" applyProtection="1"/>
    <xf numFmtId="167" fontId="13" fillId="38" borderId="36" xfId="2" applyNumberFormat="1" applyFont="1" applyFill="1" applyBorder="1" applyAlignment="1" applyProtection="1">
      <alignment horizontal="center" vertical="center"/>
    </xf>
    <xf numFmtId="177" fontId="32" fillId="17" borderId="2" xfId="1" applyNumberFormat="1" applyFill="1" applyBorder="1" applyProtection="1"/>
    <xf numFmtId="177" fontId="32" fillId="10" borderId="2" xfId="1" applyNumberFormat="1" applyFill="1" applyBorder="1" applyProtection="1"/>
    <xf numFmtId="167" fontId="13" fillId="41" borderId="2" xfId="2" applyNumberFormat="1" applyFont="1" applyFill="1" applyBorder="1" applyAlignment="1" applyProtection="1">
      <alignment vertical="center"/>
    </xf>
    <xf numFmtId="167" fontId="0" fillId="45" borderId="2" xfId="2" applyNumberFormat="1" applyFont="1" applyFill="1" applyBorder="1" applyAlignment="1" applyProtection="1">
      <alignment vertical="center"/>
    </xf>
    <xf numFmtId="177" fontId="32" fillId="45" borderId="2" xfId="1" applyNumberFormat="1" applyFill="1" applyBorder="1" applyProtection="1"/>
    <xf numFmtId="167" fontId="13" fillId="51" borderId="37" xfId="2" applyNumberFormat="1" applyFont="1" applyFill="1" applyBorder="1" applyAlignment="1" applyProtection="1">
      <alignment vertical="center"/>
    </xf>
    <xf numFmtId="178" fontId="2" fillId="22" borderId="2" xfId="2" applyNumberFormat="1" applyFont="1" applyFill="1" applyBorder="1" applyAlignment="1" applyProtection="1">
      <alignment vertical="center"/>
    </xf>
    <xf numFmtId="178" fontId="2" fillId="30" borderId="2" xfId="2" applyNumberFormat="1" applyFont="1" applyFill="1" applyBorder="1" applyAlignment="1" applyProtection="1">
      <alignment vertical="center"/>
    </xf>
    <xf numFmtId="178" fontId="2" fillId="22" borderId="6" xfId="2" applyNumberFormat="1" applyFont="1" applyFill="1" applyBorder="1" applyAlignment="1" applyProtection="1">
      <alignment vertical="center"/>
    </xf>
    <xf numFmtId="180" fontId="0" fillId="4" borderId="2" xfId="5" applyFont="1" applyFill="1" applyBorder="1" applyAlignment="1" applyProtection="1">
      <alignment horizontal="center" vertical="center"/>
      <protection locked="0"/>
    </xf>
    <xf numFmtId="172" fontId="32" fillId="52" borderId="2" xfId="2" applyNumberFormat="1" applyFill="1" applyBorder="1" applyAlignment="1" applyProtection="1">
      <alignment vertical="center"/>
    </xf>
    <xf numFmtId="177" fontId="32" fillId="29" borderId="2" xfId="1" applyNumberFormat="1" applyFill="1" applyBorder="1" applyProtection="1"/>
    <xf numFmtId="178" fontId="11" fillId="6" borderId="2" xfId="0" applyNumberFormat="1" applyFont="1" applyFill="1" applyBorder="1" applyAlignment="1" applyProtection="1">
      <alignment vertical="center"/>
    </xf>
    <xf numFmtId="0" fontId="0" fillId="3" borderId="0" xfId="0" applyFill="1"/>
    <xf numFmtId="0" fontId="0" fillId="4" borderId="21" xfId="0" applyFont="1" applyFill="1" applyBorder="1" applyAlignment="1" applyProtection="1">
      <alignment horizontal="left" vertical="center"/>
      <protection locked="0"/>
    </xf>
    <xf numFmtId="0" fontId="0" fillId="4" borderId="21" xfId="0" applyFont="1" applyFill="1" applyBorder="1" applyProtection="1">
      <protection locked="0"/>
    </xf>
    <xf numFmtId="172" fontId="0" fillId="4" borderId="21" xfId="2" applyNumberFormat="1" applyFont="1" applyFill="1" applyBorder="1" applyAlignment="1" applyProtection="1">
      <alignment vertical="center"/>
      <protection locked="0"/>
    </xf>
    <xf numFmtId="166" fontId="0" fillId="4" borderId="17" xfId="0" applyNumberFormat="1" applyFill="1" applyBorder="1" applyAlignment="1" applyProtection="1">
      <alignment horizontal="center" vertical="center"/>
      <protection locked="0"/>
    </xf>
    <xf numFmtId="0" fontId="0" fillId="4" borderId="2" xfId="0" applyFont="1" applyFill="1" applyBorder="1" applyAlignment="1" applyProtection="1">
      <alignment horizontal="left" vertical="center"/>
      <protection locked="0"/>
    </xf>
    <xf numFmtId="0" fontId="0" fillId="4" borderId="2" xfId="0" applyFont="1" applyFill="1" applyBorder="1" applyProtection="1">
      <protection locked="0"/>
    </xf>
    <xf numFmtId="172" fontId="0" fillId="4" borderId="2" xfId="2" applyNumberFormat="1" applyFont="1" applyFill="1" applyBorder="1" applyAlignment="1" applyProtection="1">
      <alignment vertical="center"/>
      <protection locked="0"/>
    </xf>
    <xf numFmtId="172" fontId="0" fillId="4" borderId="8" xfId="2" applyNumberFormat="1" applyFont="1" applyFill="1" applyBorder="1" applyAlignment="1" applyProtection="1">
      <alignment vertical="center"/>
      <protection locked="0"/>
    </xf>
    <xf numFmtId="166" fontId="0" fillId="4" borderId="25" xfId="0" applyNumberFormat="1" applyFill="1" applyBorder="1" applyAlignment="1" applyProtection="1">
      <alignment horizontal="center" vertical="center"/>
      <protection locked="0"/>
    </xf>
    <xf numFmtId="0" fontId="0" fillId="4" borderId="2" xfId="0" applyFill="1" applyBorder="1" applyAlignment="1" applyProtection="1">
      <alignment horizontal="left" vertical="center"/>
      <protection locked="0"/>
    </xf>
    <xf numFmtId="0" fontId="0" fillId="4" borderId="2" xfId="0" applyFill="1" applyBorder="1" applyProtection="1">
      <protection locked="0"/>
    </xf>
    <xf numFmtId="167" fontId="0" fillId="4" borderId="2" xfId="0" applyNumberFormat="1" applyFont="1" applyFill="1" applyBorder="1" applyAlignment="1" applyProtection="1">
      <alignment vertical="center"/>
      <protection locked="0"/>
    </xf>
    <xf numFmtId="0" fontId="0" fillId="4" borderId="29" xfId="0" applyFill="1" applyBorder="1" applyAlignment="1" applyProtection="1">
      <alignment horizontal="left" vertical="center"/>
      <protection locked="0"/>
    </xf>
    <xf numFmtId="0" fontId="0" fillId="4" borderId="29" xfId="0" applyFill="1" applyBorder="1" applyProtection="1">
      <protection locked="0"/>
    </xf>
    <xf numFmtId="172" fontId="0" fillId="4" borderId="29" xfId="2" applyNumberFormat="1" applyFont="1" applyFill="1" applyBorder="1" applyAlignment="1" applyProtection="1">
      <alignment vertical="center"/>
      <protection locked="0"/>
    </xf>
    <xf numFmtId="172" fontId="0" fillId="4" borderId="72" xfId="2" applyNumberFormat="1" applyFont="1" applyFill="1" applyBorder="1" applyAlignment="1" applyProtection="1">
      <alignment vertical="center"/>
      <protection locked="0"/>
    </xf>
    <xf numFmtId="166" fontId="0" fillId="4" borderId="32" xfId="0" applyNumberFormat="1" applyFill="1" applyBorder="1" applyAlignment="1" applyProtection="1">
      <alignment horizontal="center" vertical="center"/>
      <protection locked="0"/>
    </xf>
    <xf numFmtId="166" fontId="0" fillId="4" borderId="37" xfId="3" applyFont="1" applyFill="1" applyBorder="1" applyAlignment="1" applyProtection="1">
      <alignment horizontal="center" vertical="center"/>
      <protection locked="0"/>
    </xf>
    <xf numFmtId="166" fontId="0" fillId="4" borderId="20" xfId="3" applyFont="1" applyFill="1" applyBorder="1" applyAlignment="1" applyProtection="1">
      <alignment horizontal="center" vertical="center"/>
      <protection locked="0"/>
    </xf>
    <xf numFmtId="166" fontId="0" fillId="4" borderId="6" xfId="3" applyFont="1" applyFill="1" applyBorder="1" applyAlignment="1" applyProtection="1">
      <alignment horizontal="center" vertical="center"/>
      <protection locked="0"/>
    </xf>
    <xf numFmtId="166" fontId="0" fillId="4" borderId="20" xfId="0" applyNumberFormat="1" applyFill="1" applyBorder="1" applyAlignment="1" applyProtection="1">
      <alignment horizontal="center" vertical="center"/>
      <protection locked="0"/>
    </xf>
    <xf numFmtId="166" fontId="0" fillId="4" borderId="24" xfId="3" applyFont="1" applyFill="1" applyBorder="1" applyAlignment="1" applyProtection="1">
      <alignment horizontal="center" vertical="center"/>
      <protection locked="0"/>
    </xf>
    <xf numFmtId="172" fontId="0" fillId="4" borderId="2" xfId="0" applyNumberFormat="1" applyFont="1" applyFill="1" applyBorder="1" applyAlignment="1" applyProtection="1">
      <alignment vertical="center"/>
      <protection locked="0"/>
    </xf>
    <xf numFmtId="0" fontId="18" fillId="4" borderId="2" xfId="0" applyFont="1" applyFill="1" applyBorder="1" applyProtection="1">
      <protection locked="0"/>
    </xf>
    <xf numFmtId="166" fontId="0" fillId="4" borderId="27" xfId="0" applyNumberFormat="1" applyFill="1" applyBorder="1" applyAlignment="1" applyProtection="1">
      <alignment horizontal="center" vertical="center"/>
      <protection locked="0"/>
    </xf>
    <xf numFmtId="166" fontId="0" fillId="4" borderId="31" xfId="3" applyFont="1" applyFill="1" applyBorder="1" applyAlignment="1" applyProtection="1">
      <alignment horizontal="center" vertical="center"/>
      <protection locked="0"/>
    </xf>
    <xf numFmtId="167" fontId="2" fillId="5" borderId="19" xfId="0" applyNumberFormat="1" applyFont="1" applyFill="1" applyBorder="1" applyAlignment="1" applyProtection="1">
      <alignment horizontal="center" vertical="center" wrapText="1"/>
    </xf>
    <xf numFmtId="167" fontId="2" fillId="5" borderId="37" xfId="0" applyNumberFormat="1" applyFont="1" applyFill="1" applyBorder="1" applyAlignment="1" applyProtection="1">
      <alignment horizontal="center" vertical="center" wrapText="1"/>
    </xf>
    <xf numFmtId="178" fontId="0" fillId="0" borderId="56" xfId="2" applyNumberFormat="1" applyFont="1" applyBorder="1" applyAlignment="1" applyProtection="1">
      <alignment vertical="center"/>
    </xf>
    <xf numFmtId="167" fontId="0" fillId="8" borderId="20" xfId="2" applyNumberFormat="1" applyFont="1" applyFill="1" applyBorder="1" applyAlignment="1" applyProtection="1">
      <alignment vertical="center"/>
    </xf>
    <xf numFmtId="167" fontId="0" fillId="8" borderId="21" xfId="2" applyNumberFormat="1" applyFont="1" applyFill="1" applyBorder="1" applyAlignment="1" applyProtection="1">
      <alignment vertical="center"/>
    </xf>
    <xf numFmtId="167" fontId="0" fillId="8" borderId="23" xfId="2" applyNumberFormat="1" applyFont="1" applyFill="1" applyBorder="1" applyAlignment="1" applyProtection="1">
      <alignment vertical="center"/>
    </xf>
    <xf numFmtId="167" fontId="0" fillId="20" borderId="24" xfId="2" applyNumberFormat="1" applyFont="1" applyFill="1" applyBorder="1" applyAlignment="1" applyProtection="1">
      <alignment vertical="center"/>
    </xf>
    <xf numFmtId="167" fontId="0" fillId="20" borderId="21" xfId="2" applyNumberFormat="1" applyFont="1" applyFill="1" applyBorder="1" applyAlignment="1" applyProtection="1">
      <alignment vertical="center"/>
    </xf>
    <xf numFmtId="167" fontId="0" fillId="20" borderId="22" xfId="2" applyNumberFormat="1" applyFont="1" applyFill="1" applyBorder="1" applyAlignment="1" applyProtection="1">
      <alignment vertical="center"/>
    </xf>
    <xf numFmtId="173" fontId="0" fillId="0" borderId="20" xfId="0" applyNumberFormat="1" applyFont="1" applyBorder="1" applyAlignment="1" applyProtection="1">
      <alignment horizontal="center" vertical="center"/>
    </xf>
    <xf numFmtId="173" fontId="0" fillId="0" borderId="21" xfId="0" applyNumberFormat="1" applyFont="1" applyBorder="1" applyAlignment="1" applyProtection="1">
      <alignment horizontal="center" vertical="center"/>
    </xf>
    <xf numFmtId="173" fontId="0" fillId="0" borderId="23" xfId="0" applyNumberFormat="1" applyFont="1" applyBorder="1" applyAlignment="1" applyProtection="1">
      <alignment horizontal="center" vertical="center"/>
    </xf>
    <xf numFmtId="178" fontId="0" fillId="0" borderId="7" xfId="2" applyNumberFormat="1" applyFont="1" applyBorder="1" applyAlignment="1" applyProtection="1">
      <alignment vertical="center"/>
    </xf>
    <xf numFmtId="167" fontId="0" fillId="8" borderId="27" xfId="2" applyNumberFormat="1" applyFont="1" applyFill="1" applyBorder="1" applyAlignment="1" applyProtection="1">
      <alignment vertical="center"/>
    </xf>
    <xf numFmtId="167" fontId="0" fillId="8" borderId="29" xfId="2" applyNumberFormat="1" applyFont="1" applyFill="1" applyBorder="1" applyAlignment="1" applyProtection="1">
      <alignment vertical="center"/>
    </xf>
    <xf numFmtId="167" fontId="0" fillId="8" borderId="30" xfId="2" applyNumberFormat="1" applyFont="1" applyFill="1" applyBorder="1" applyAlignment="1" applyProtection="1">
      <alignment vertical="center"/>
    </xf>
    <xf numFmtId="167" fontId="0" fillId="20" borderId="31" xfId="2" applyNumberFormat="1" applyFont="1" applyFill="1" applyBorder="1" applyAlignment="1" applyProtection="1">
      <alignment vertical="center"/>
    </xf>
    <xf numFmtId="167" fontId="0" fillId="20" borderId="29" xfId="2" applyNumberFormat="1" applyFont="1" applyFill="1" applyBorder="1" applyAlignment="1" applyProtection="1">
      <alignment vertical="center"/>
    </xf>
    <xf numFmtId="167" fontId="0" fillId="20" borderId="28" xfId="2" applyNumberFormat="1" applyFont="1" applyFill="1" applyBorder="1" applyAlignment="1" applyProtection="1">
      <alignment vertical="center"/>
    </xf>
    <xf numFmtId="167" fontId="0" fillId="0" borderId="27" xfId="2" applyNumberFormat="1" applyFont="1" applyBorder="1" applyAlignment="1" applyProtection="1">
      <alignment vertical="center"/>
    </xf>
    <xf numFmtId="167" fontId="0" fillId="0" borderId="29" xfId="2" applyNumberFormat="1" applyFont="1" applyBorder="1" applyAlignment="1" applyProtection="1">
      <alignment vertical="center"/>
    </xf>
    <xf numFmtId="167" fontId="0" fillId="0" borderId="28" xfId="2" applyNumberFormat="1" applyFont="1" applyBorder="1" applyAlignment="1" applyProtection="1">
      <alignment vertical="center"/>
    </xf>
    <xf numFmtId="173" fontId="0" fillId="0" borderId="27" xfId="0" applyNumberFormat="1" applyFont="1" applyBorder="1" applyAlignment="1" applyProtection="1">
      <alignment horizontal="center" vertical="center"/>
    </xf>
    <xf numFmtId="173" fontId="0" fillId="0" borderId="29" xfId="0" applyNumberFormat="1" applyFont="1" applyBorder="1" applyAlignment="1" applyProtection="1">
      <alignment horizontal="center" vertical="center"/>
    </xf>
    <xf numFmtId="173" fontId="0" fillId="0" borderId="30" xfId="0" applyNumberFormat="1" applyFont="1" applyBorder="1" applyAlignment="1" applyProtection="1">
      <alignment horizontal="center" vertical="center"/>
    </xf>
    <xf numFmtId="178" fontId="0" fillId="0" borderId="59" xfId="2" applyNumberFormat="1" applyFont="1" applyBorder="1" applyAlignment="1" applyProtection="1">
      <alignment vertical="center"/>
    </xf>
    <xf numFmtId="167" fontId="0" fillId="20" borderId="37" xfId="2" applyNumberFormat="1" applyFont="1" applyFill="1" applyBorder="1" applyAlignment="1" applyProtection="1">
      <alignment vertical="center"/>
    </xf>
    <xf numFmtId="167" fontId="0" fillId="20" borderId="5" xfId="2" applyNumberFormat="1" applyFont="1" applyFill="1" applyBorder="1" applyAlignment="1" applyProtection="1">
      <alignment vertical="center"/>
    </xf>
    <xf numFmtId="167" fontId="0" fillId="20" borderId="18" xfId="2" applyNumberFormat="1" applyFont="1" applyFill="1" applyBorder="1" applyAlignment="1" applyProtection="1">
      <alignment vertical="center"/>
    </xf>
    <xf numFmtId="0" fontId="7" fillId="0" borderId="39" xfId="0" applyFont="1" applyBorder="1" applyAlignment="1" applyProtection="1">
      <alignment horizontal="left" vertical="center" wrapText="1"/>
    </xf>
    <xf numFmtId="178" fontId="0" fillId="0" borderId="62" xfId="2" applyNumberFormat="1" applyFont="1" applyBorder="1" applyAlignment="1" applyProtection="1">
      <alignment vertical="center"/>
    </xf>
    <xf numFmtId="173" fontId="0" fillId="0" borderId="24" xfId="0" applyNumberFormat="1" applyFont="1" applyBorder="1" applyAlignment="1" applyProtection="1">
      <alignment horizontal="center" vertical="center"/>
    </xf>
    <xf numFmtId="173" fontId="0" fillId="0" borderId="67" xfId="0" applyNumberFormat="1" applyFont="1" applyBorder="1" applyAlignment="1" applyProtection="1">
      <alignment horizontal="center" vertical="center"/>
    </xf>
    <xf numFmtId="167" fontId="0" fillId="20" borderId="71" xfId="2" applyNumberFormat="1" applyFont="1" applyFill="1" applyBorder="1" applyAlignment="1" applyProtection="1">
      <alignment vertical="center"/>
    </xf>
    <xf numFmtId="167" fontId="0" fillId="20" borderId="72" xfId="2" applyNumberFormat="1" applyFont="1" applyFill="1" applyBorder="1" applyAlignment="1" applyProtection="1">
      <alignment vertical="center"/>
    </xf>
    <xf numFmtId="167" fontId="0" fillId="20" borderId="69" xfId="2" applyNumberFormat="1" applyFont="1" applyFill="1" applyBorder="1" applyAlignment="1" applyProtection="1">
      <alignment vertical="center"/>
    </xf>
    <xf numFmtId="167" fontId="0" fillId="0" borderId="30" xfId="2" applyNumberFormat="1" applyFont="1" applyBorder="1" applyAlignment="1" applyProtection="1">
      <alignment vertical="center"/>
    </xf>
    <xf numFmtId="173" fontId="0" fillId="0" borderId="32" xfId="0" applyNumberFormat="1" applyFont="1" applyBorder="1" applyAlignment="1" applyProtection="1">
      <alignment horizontal="center" vertical="center"/>
    </xf>
    <xf numFmtId="173" fontId="0" fillId="0" borderId="71" xfId="0" applyNumberFormat="1" applyFont="1" applyBorder="1" applyAlignment="1" applyProtection="1">
      <alignment horizontal="center" vertical="center"/>
    </xf>
    <xf numFmtId="173" fontId="0" fillId="0" borderId="49" xfId="0" applyNumberFormat="1" applyFont="1" applyBorder="1" applyAlignment="1" applyProtection="1">
      <alignment horizontal="center" vertical="center"/>
    </xf>
    <xf numFmtId="167" fontId="0" fillId="8" borderId="34" xfId="2" applyNumberFormat="1" applyFont="1" applyFill="1" applyBorder="1" applyAlignment="1" applyProtection="1">
      <alignment vertical="center"/>
    </xf>
    <xf numFmtId="167" fontId="0" fillId="8" borderId="8" xfId="2" applyNumberFormat="1" applyFont="1" applyFill="1" applyBorder="1" applyAlignment="1" applyProtection="1">
      <alignment vertical="center"/>
    </xf>
    <xf numFmtId="167" fontId="0" fillId="8" borderId="35" xfId="2" applyNumberFormat="1" applyFont="1" applyFill="1" applyBorder="1" applyAlignment="1" applyProtection="1">
      <alignment vertical="center"/>
    </xf>
    <xf numFmtId="167" fontId="0" fillId="8" borderId="25" xfId="2" applyNumberFormat="1" applyFont="1" applyFill="1" applyBorder="1" applyAlignment="1" applyProtection="1">
      <alignment vertical="center"/>
    </xf>
    <xf numFmtId="167" fontId="0" fillId="20" borderId="36" xfId="2" applyNumberFormat="1" applyFont="1" applyFill="1" applyBorder="1" applyAlignment="1" applyProtection="1">
      <alignment vertical="center"/>
    </xf>
    <xf numFmtId="173" fontId="0" fillId="0" borderId="34" xfId="0" applyNumberFormat="1" applyFont="1" applyBorder="1" applyAlignment="1" applyProtection="1">
      <alignment horizontal="center" vertical="center"/>
    </xf>
    <xf numFmtId="178" fontId="0" fillId="0" borderId="57" xfId="2" applyNumberFormat="1" applyFont="1" applyBorder="1" applyAlignment="1" applyProtection="1">
      <alignment vertical="center"/>
    </xf>
    <xf numFmtId="0" fontId="0" fillId="3" borderId="0" xfId="0" applyFont="1" applyFill="1" applyProtection="1"/>
    <xf numFmtId="0" fontId="0" fillId="3" borderId="0" xfId="0" applyFont="1" applyFill="1" applyAlignment="1" applyProtection="1"/>
    <xf numFmtId="0" fontId="7" fillId="0" borderId="55" xfId="0" applyFont="1" applyBorder="1" applyAlignment="1" applyProtection="1">
      <alignment horizontal="center" vertical="center"/>
    </xf>
    <xf numFmtId="0" fontId="7" fillId="0" borderId="0" xfId="0" applyFont="1" applyBorder="1" applyAlignment="1" applyProtection="1">
      <alignment horizontal="center" vertical="center"/>
    </xf>
    <xf numFmtId="181" fontId="2" fillId="26" borderId="2" xfId="0" applyNumberFormat="1" applyFont="1" applyFill="1" applyBorder="1" applyAlignment="1" applyProtection="1">
      <alignment horizontal="center" vertical="center"/>
    </xf>
    <xf numFmtId="173" fontId="2" fillId="9" borderId="2" xfId="3" applyNumberFormat="1" applyFont="1" applyFill="1" applyBorder="1" applyAlignment="1" applyProtection="1">
      <alignment horizontal="center" vertical="center"/>
    </xf>
    <xf numFmtId="181" fontId="0" fillId="3" borderId="0" xfId="0" applyNumberFormat="1" applyFont="1" applyFill="1" applyBorder="1" applyAlignment="1" applyProtection="1">
      <alignment horizontal="right" vertical="center"/>
    </xf>
    <xf numFmtId="0" fontId="2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 vertical="center" wrapText="1"/>
    </xf>
    <xf numFmtId="181" fontId="0" fillId="8" borderId="22" xfId="0" applyNumberFormat="1" applyFont="1" applyFill="1" applyBorder="1" applyAlignment="1" applyProtection="1">
      <alignment horizontal="right" vertical="center"/>
    </xf>
    <xf numFmtId="181" fontId="0" fillId="0" borderId="0" xfId="0" applyNumberFormat="1" applyFont="1" applyBorder="1" applyAlignment="1" applyProtection="1">
      <alignment horizontal="right" vertical="center"/>
    </xf>
    <xf numFmtId="181" fontId="2" fillId="0" borderId="0" xfId="0" applyNumberFormat="1" applyFont="1" applyBorder="1" applyAlignment="1" applyProtection="1">
      <alignment horizontal="center" vertical="center" wrapText="1"/>
    </xf>
    <xf numFmtId="0" fontId="8" fillId="0" borderId="0" xfId="0" applyFont="1" applyBorder="1" applyAlignment="1" applyProtection="1">
      <alignment horizontal="center" vertical="center" wrapText="1"/>
    </xf>
    <xf numFmtId="17" fontId="8" fillId="0" borderId="0" xfId="0" applyNumberFormat="1" applyFont="1" applyBorder="1" applyAlignment="1" applyProtection="1">
      <alignment horizontal="center" vertical="center" wrapText="1"/>
    </xf>
    <xf numFmtId="0" fontId="0" fillId="0" borderId="0" xfId="0" applyFont="1" applyBorder="1" applyAlignment="1" applyProtection="1">
      <alignment horizontal="center" vertical="center" wrapText="1"/>
    </xf>
    <xf numFmtId="172" fontId="0" fillId="8" borderId="2" xfId="2" applyNumberFormat="1" applyFont="1" applyFill="1" applyBorder="1" applyAlignment="1" applyProtection="1">
      <alignment vertical="center"/>
    </xf>
    <xf numFmtId="181" fontId="0" fillId="8" borderId="4" xfId="0" applyNumberFormat="1" applyFont="1" applyFill="1" applyBorder="1" applyAlignment="1" applyProtection="1">
      <alignment horizontal="right" vertical="center"/>
    </xf>
    <xf numFmtId="0" fontId="9" fillId="4" borderId="2" xfId="0" applyFont="1" applyFill="1" applyBorder="1" applyAlignment="1" applyProtection="1">
      <alignment horizontal="left" vertical="center"/>
      <protection locked="0"/>
    </xf>
    <xf numFmtId="0" fontId="0" fillId="4" borderId="29" xfId="0" applyFont="1" applyFill="1" applyBorder="1" applyAlignment="1" applyProtection="1">
      <alignment horizontal="left" vertical="center"/>
      <protection locked="0"/>
    </xf>
    <xf numFmtId="181" fontId="0" fillId="8" borderId="28" xfId="0" applyNumberFormat="1" applyFont="1" applyFill="1" applyBorder="1" applyAlignment="1" applyProtection="1">
      <alignment horizontal="right" vertical="center"/>
    </xf>
    <xf numFmtId="166" fontId="0" fillId="0" borderId="0" xfId="0" applyNumberFormat="1" applyFont="1" applyBorder="1" applyAlignment="1" applyProtection="1">
      <alignment horizontal="center" vertical="center"/>
    </xf>
    <xf numFmtId="181" fontId="2" fillId="0" borderId="0" xfId="0" applyNumberFormat="1" applyFont="1" applyBorder="1" applyProtection="1"/>
    <xf numFmtId="0" fontId="0" fillId="3" borderId="0" xfId="0" applyFont="1" applyFill="1" applyAlignment="1" applyProtection="1">
      <alignment vertical="center"/>
    </xf>
    <xf numFmtId="181" fontId="2" fillId="3" borderId="0" xfId="0" applyNumberFormat="1" applyFont="1" applyFill="1" applyBorder="1" applyAlignment="1" applyProtection="1">
      <alignment horizontal="right" vertical="center"/>
    </xf>
    <xf numFmtId="166" fontId="0" fillId="3" borderId="0" xfId="0" applyNumberFormat="1" applyFont="1" applyFill="1" applyBorder="1" applyAlignment="1" applyProtection="1">
      <alignment horizontal="center" vertical="center"/>
    </xf>
    <xf numFmtId="0" fontId="0" fillId="3" borderId="0" xfId="0" applyFont="1" applyFill="1" applyBorder="1" applyProtection="1"/>
    <xf numFmtId="181" fontId="0" fillId="8" borderId="2" xfId="0" applyNumberFormat="1" applyFont="1" applyFill="1" applyBorder="1" applyAlignment="1" applyProtection="1">
      <alignment horizontal="right" vertical="center"/>
    </xf>
    <xf numFmtId="172" fontId="0" fillId="25" borderId="8" xfId="2" applyNumberFormat="1" applyFont="1" applyFill="1" applyBorder="1" applyAlignment="1" applyProtection="1">
      <alignment vertical="center"/>
    </xf>
    <xf numFmtId="172" fontId="0" fillId="10" borderId="8" xfId="2" applyNumberFormat="1" applyFont="1" applyFill="1" applyBorder="1" applyAlignment="1" applyProtection="1">
      <alignment vertical="center"/>
    </xf>
    <xf numFmtId="181" fontId="0" fillId="24" borderId="33" xfId="0" applyNumberFormat="1" applyFont="1" applyFill="1" applyBorder="1" applyAlignment="1" applyProtection="1">
      <alignment horizontal="right" vertical="center"/>
    </xf>
    <xf numFmtId="0" fontId="0" fillId="25" borderId="2" xfId="0" applyFont="1" applyFill="1" applyBorder="1" applyAlignment="1" applyProtection="1">
      <alignment horizontal="left" vertical="center"/>
    </xf>
    <xf numFmtId="172" fontId="0" fillId="25" borderId="2" xfId="2" applyNumberFormat="1" applyFont="1" applyFill="1" applyBorder="1" applyAlignment="1" applyProtection="1">
      <alignment vertical="center"/>
    </xf>
    <xf numFmtId="172" fontId="0" fillId="10" borderId="2" xfId="2" applyNumberFormat="1" applyFont="1" applyFill="1" applyBorder="1" applyAlignment="1" applyProtection="1">
      <alignment vertical="center"/>
    </xf>
    <xf numFmtId="181" fontId="0" fillId="24" borderId="4" xfId="0" applyNumberFormat="1" applyFont="1" applyFill="1" applyBorder="1" applyAlignment="1" applyProtection="1">
      <alignment horizontal="right" vertical="center"/>
    </xf>
    <xf numFmtId="172" fontId="0" fillId="25" borderId="29" xfId="2" applyNumberFormat="1" applyFont="1" applyFill="1" applyBorder="1" applyAlignment="1" applyProtection="1">
      <alignment vertical="center"/>
    </xf>
    <xf numFmtId="172" fontId="0" fillId="10" borderId="29" xfId="2" applyNumberFormat="1" applyFont="1" applyFill="1" applyBorder="1" applyAlignment="1" applyProtection="1">
      <alignment vertical="center"/>
    </xf>
    <xf numFmtId="181" fontId="0" fillId="24" borderId="28" xfId="0" applyNumberFormat="1" applyFont="1" applyFill="1" applyBorder="1" applyAlignment="1" applyProtection="1">
      <alignment horizontal="right" vertical="center"/>
    </xf>
    <xf numFmtId="0" fontId="0" fillId="25" borderId="21" xfId="0" applyFont="1" applyFill="1" applyBorder="1" applyAlignment="1" applyProtection="1">
      <alignment horizontal="left" vertical="center"/>
    </xf>
    <xf numFmtId="172" fontId="0" fillId="25" borderId="21" xfId="2" applyNumberFormat="1" applyFont="1" applyFill="1" applyBorder="1" applyAlignment="1" applyProtection="1">
      <alignment vertical="center"/>
    </xf>
    <xf numFmtId="181" fontId="0" fillId="24" borderId="22" xfId="0" applyNumberFormat="1" applyFont="1" applyFill="1" applyBorder="1" applyAlignment="1" applyProtection="1">
      <alignment horizontal="right" vertical="center"/>
    </xf>
    <xf numFmtId="0" fontId="0" fillId="3" borderId="0" xfId="0" applyFont="1" applyFill="1" applyBorder="1" applyAlignment="1" applyProtection="1">
      <alignment horizontal="left" vertical="center"/>
    </xf>
    <xf numFmtId="0" fontId="2" fillId="0" borderId="0" xfId="0" applyFont="1" applyBorder="1" applyProtection="1"/>
    <xf numFmtId="181" fontId="10" fillId="28" borderId="48" xfId="0" applyNumberFormat="1" applyFont="1" applyFill="1" applyBorder="1" applyAlignment="1" applyProtection="1">
      <alignment horizontal="center" vertical="center"/>
    </xf>
    <xf numFmtId="181" fontId="7" fillId="28" borderId="48" xfId="0" applyNumberFormat="1" applyFont="1" applyFill="1" applyBorder="1" applyAlignment="1" applyProtection="1">
      <alignment vertical="center"/>
    </xf>
    <xf numFmtId="0" fontId="2" fillId="0" borderId="1" xfId="0" applyFont="1" applyBorder="1" applyAlignment="1" applyProtection="1">
      <alignment horizontal="center" vertical="center"/>
    </xf>
    <xf numFmtId="0" fontId="0" fillId="0" borderId="0" xfId="0" applyFont="1" applyBorder="1" applyAlignment="1" applyProtection="1">
      <alignment horizontal="left" vertical="center" wrapText="1"/>
    </xf>
    <xf numFmtId="0" fontId="0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>
      <alignment horizontal="left" vertical="center"/>
    </xf>
    <xf numFmtId="0" fontId="2" fillId="5" borderId="17" xfId="0" applyFont="1" applyFill="1" applyBorder="1" applyAlignment="1" applyProtection="1">
      <alignment horizontal="center" vertical="center"/>
    </xf>
    <xf numFmtId="178" fontId="0" fillId="0" borderId="4" xfId="2" applyNumberFormat="1" applyFont="1" applyBorder="1" applyAlignment="1" applyProtection="1">
      <alignment vertical="center"/>
    </xf>
    <xf numFmtId="167" fontId="0" fillId="8" borderId="22" xfId="2" applyNumberFormat="1" applyFont="1" applyFill="1" applyBorder="1" applyAlignment="1" applyProtection="1">
      <alignment vertical="center"/>
    </xf>
    <xf numFmtId="182" fontId="32" fillId="20" borderId="20" xfId="3" applyNumberFormat="1" applyFill="1" applyBorder="1" applyAlignment="1" applyProtection="1">
      <alignment horizontal="center" vertical="center"/>
    </xf>
    <xf numFmtId="182" fontId="32" fillId="20" borderId="21" xfId="3" applyNumberFormat="1" applyFill="1" applyBorder="1" applyAlignment="1" applyProtection="1">
      <alignment horizontal="center" vertical="center"/>
    </xf>
    <xf numFmtId="168" fontId="0" fillId="0" borderId="0" xfId="2" applyFont="1" applyBorder="1" applyAlignment="1" applyProtection="1">
      <alignment vertical="center"/>
    </xf>
    <xf numFmtId="167" fontId="0" fillId="8" borderId="28" xfId="2" applyNumberFormat="1" applyFont="1" applyFill="1" applyBorder="1" applyAlignment="1" applyProtection="1">
      <alignment vertical="center"/>
    </xf>
    <xf numFmtId="182" fontId="32" fillId="20" borderId="27" xfId="3" applyNumberFormat="1" applyFill="1" applyBorder="1" applyAlignment="1" applyProtection="1">
      <alignment horizontal="center" vertical="center"/>
    </xf>
    <xf numFmtId="182" fontId="32" fillId="20" borderId="29" xfId="3" applyNumberFormat="1" applyFill="1" applyBorder="1" applyAlignment="1" applyProtection="1">
      <alignment horizontal="center" vertical="center"/>
    </xf>
    <xf numFmtId="0" fontId="10" fillId="0" borderId="20" xfId="0" applyFont="1" applyBorder="1" applyAlignment="1" applyProtection="1">
      <alignment horizontal="center" vertical="center" wrapText="1"/>
    </xf>
    <xf numFmtId="178" fontId="0" fillId="0" borderId="22" xfId="2" applyNumberFormat="1" applyFont="1" applyBorder="1" applyAlignment="1" applyProtection="1">
      <alignment vertical="center"/>
    </xf>
    <xf numFmtId="178" fontId="0" fillId="0" borderId="28" xfId="2" applyNumberFormat="1" applyFont="1" applyBorder="1" applyAlignment="1" applyProtection="1">
      <alignment vertical="center"/>
    </xf>
    <xf numFmtId="167" fontId="2" fillId="5" borderId="25" xfId="0" applyNumberFormat="1" applyFont="1" applyFill="1" applyBorder="1" applyAlignment="1" applyProtection="1">
      <alignment horizontal="center" vertical="center" wrapText="1"/>
    </xf>
    <xf numFmtId="167" fontId="2" fillId="5" borderId="2" xfId="0" applyNumberFormat="1" applyFont="1" applyFill="1" applyBorder="1" applyAlignment="1" applyProtection="1">
      <alignment horizontal="center" vertical="center" wrapText="1"/>
    </xf>
    <xf numFmtId="167" fontId="2" fillId="5" borderId="4" xfId="0" applyNumberFormat="1" applyFont="1" applyFill="1" applyBorder="1" applyAlignment="1" applyProtection="1">
      <alignment horizontal="center" vertical="center" wrapText="1"/>
    </xf>
    <xf numFmtId="0" fontId="2" fillId="5" borderId="19" xfId="0" applyFont="1" applyFill="1" applyBorder="1" applyAlignment="1" applyProtection="1">
      <alignment horizontal="center" vertical="center" wrapText="1"/>
    </xf>
    <xf numFmtId="182" fontId="32" fillId="20" borderId="22" xfId="3" applyNumberFormat="1" applyFill="1" applyBorder="1" applyAlignment="1" applyProtection="1">
      <alignment horizontal="center" vertical="center"/>
    </xf>
    <xf numFmtId="0" fontId="0" fillId="4" borderId="20" xfId="0" applyFont="1" applyFill="1" applyBorder="1" applyAlignment="1" applyProtection="1">
      <alignment horizontal="left" vertical="center"/>
      <protection locked="0"/>
    </xf>
    <xf numFmtId="178" fontId="0" fillId="0" borderId="18" xfId="2" applyNumberFormat="1" applyFont="1" applyBorder="1" applyAlignment="1" applyProtection="1">
      <alignment vertical="center"/>
    </xf>
    <xf numFmtId="167" fontId="0" fillId="8" borderId="17" xfId="2" applyNumberFormat="1" applyFont="1" applyFill="1" applyBorder="1" applyAlignment="1" applyProtection="1">
      <alignment vertical="center"/>
    </xf>
    <xf numFmtId="167" fontId="0" fillId="8" borderId="18" xfId="2" applyNumberFormat="1" applyFont="1" applyFill="1" applyBorder="1" applyAlignment="1" applyProtection="1">
      <alignment vertical="center"/>
    </xf>
    <xf numFmtId="182" fontId="32" fillId="20" borderId="28" xfId="3" applyNumberFormat="1" applyFill="1" applyBorder="1" applyAlignment="1" applyProtection="1">
      <alignment horizontal="center" vertical="center"/>
    </xf>
    <xf numFmtId="0" fontId="0" fillId="4" borderId="27" xfId="0" applyFont="1" applyFill="1" applyBorder="1" applyAlignment="1" applyProtection="1">
      <alignment horizontal="left" vertical="center"/>
      <protection locked="0"/>
    </xf>
    <xf numFmtId="167" fontId="0" fillId="4" borderId="30" xfId="2" applyNumberFormat="1" applyFont="1" applyFill="1" applyBorder="1" applyAlignment="1" applyProtection="1">
      <alignment vertical="center"/>
      <protection locked="0"/>
    </xf>
    <xf numFmtId="182" fontId="32" fillId="20" borderId="25" xfId="3" applyNumberFormat="1" applyFill="1" applyBorder="1" applyAlignment="1" applyProtection="1">
      <alignment horizontal="center" vertical="center"/>
    </xf>
    <xf numFmtId="0" fontId="0" fillId="4" borderId="25" xfId="0" applyFont="1" applyFill="1" applyBorder="1" applyAlignment="1" applyProtection="1">
      <alignment horizontal="left" vertical="center"/>
      <protection locked="0"/>
    </xf>
    <xf numFmtId="167" fontId="0" fillId="4" borderId="26" xfId="2" applyNumberFormat="1" applyFont="1" applyFill="1" applyBorder="1" applyAlignment="1" applyProtection="1">
      <alignment vertical="center"/>
      <protection locked="0"/>
    </xf>
    <xf numFmtId="0" fontId="0" fillId="0" borderId="0" xfId="0" applyProtection="1"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vertical="center"/>
      <protection locked="0"/>
    </xf>
    <xf numFmtId="0" fontId="2" fillId="0" borderId="0" xfId="0" applyFont="1" applyBorder="1" applyAlignment="1" applyProtection="1">
      <alignment horizontal="right" vertical="center"/>
      <protection locked="0"/>
    </xf>
    <xf numFmtId="0" fontId="0" fillId="0" borderId="0" xfId="0" applyBorder="1" applyProtection="1">
      <protection locked="0"/>
    </xf>
    <xf numFmtId="0" fontId="26" fillId="57" borderId="78" xfId="0" applyFont="1" applyFill="1" applyBorder="1" applyAlignment="1">
      <alignment horizontal="center" vertical="center"/>
    </xf>
    <xf numFmtId="0" fontId="26" fillId="57" borderId="78" xfId="0" applyFont="1" applyFill="1" applyBorder="1" applyAlignment="1">
      <alignment horizontal="center" vertical="center" wrapText="1"/>
    </xf>
    <xf numFmtId="0" fontId="26" fillId="3" borderId="0" xfId="0" applyFont="1" applyFill="1" applyAlignment="1">
      <alignment horizontal="right"/>
    </xf>
    <xf numFmtId="1" fontId="31" fillId="3" borderId="78" xfId="0" applyNumberFormat="1" applyFont="1" applyFill="1" applyBorder="1" applyAlignment="1" applyProtection="1">
      <alignment horizontal="center" vertical="center"/>
    </xf>
    <xf numFmtId="1" fontId="31" fillId="3" borderId="0" xfId="0" applyNumberFormat="1" applyFont="1" applyFill="1" applyBorder="1" applyAlignment="1" applyProtection="1">
      <alignment horizontal="center" vertical="center"/>
    </xf>
    <xf numFmtId="0" fontId="26" fillId="52" borderId="0" xfId="0" applyFont="1" applyFill="1" applyAlignment="1">
      <alignment horizontal="left" vertical="center" indent="1"/>
    </xf>
    <xf numFmtId="0" fontId="27" fillId="3" borderId="0" xfId="0" applyFont="1" applyFill="1" applyAlignment="1">
      <alignment horizontal="left" indent="4"/>
    </xf>
    <xf numFmtId="184" fontId="0" fillId="3" borderId="0" xfId="0" applyNumberFormat="1" applyFill="1"/>
    <xf numFmtId="184" fontId="26" fillId="3" borderId="0" xfId="0" applyNumberFormat="1" applyFont="1" applyFill="1"/>
    <xf numFmtId="0" fontId="26" fillId="57" borderId="2" xfId="0" applyFont="1" applyFill="1" applyBorder="1" applyAlignment="1">
      <alignment horizontal="left" indent="4"/>
    </xf>
    <xf numFmtId="184" fontId="26" fillId="57" borderId="2" xfId="0" applyNumberFormat="1" applyFont="1" applyFill="1" applyBorder="1"/>
    <xf numFmtId="0" fontId="26" fillId="3" borderId="0" xfId="0" applyFont="1" applyFill="1" applyBorder="1" applyAlignment="1">
      <alignment horizontal="left" indent="4"/>
    </xf>
    <xf numFmtId="184" fontId="26" fillId="3" borderId="0" xfId="0" applyNumberFormat="1" applyFont="1" applyFill="1" applyBorder="1"/>
    <xf numFmtId="0" fontId="9" fillId="0" borderId="0" xfId="0" applyFont="1" applyFill="1" applyBorder="1" applyProtection="1">
      <protection locked="0"/>
    </xf>
    <xf numFmtId="185" fontId="34" fillId="0" borderId="0" xfId="0" applyNumberFormat="1" applyFont="1" applyFill="1" applyBorder="1" applyAlignment="1">
      <alignment horizontal="center" vertical="center"/>
    </xf>
    <xf numFmtId="0" fontId="34" fillId="0" borderId="0" xfId="0" applyFont="1" applyFill="1" applyBorder="1"/>
    <xf numFmtId="185" fontId="34" fillId="0" borderId="0" xfId="0" applyNumberFormat="1" applyFont="1" applyFill="1" applyBorder="1" applyAlignment="1">
      <alignment horizontal="center"/>
    </xf>
    <xf numFmtId="3" fontId="34" fillId="0" borderId="0" xfId="0" applyNumberFormat="1" applyFont="1" applyFill="1" applyBorder="1" applyAlignment="1">
      <alignment horizontal="center"/>
    </xf>
    <xf numFmtId="184" fontId="33" fillId="0" borderId="0" xfId="2" applyNumberFormat="1" applyFont="1" applyFill="1" applyBorder="1" applyAlignment="1">
      <alignment horizontal="center"/>
    </xf>
    <xf numFmtId="0" fontId="0" fillId="0" borderId="0" xfId="0" applyFill="1" applyBorder="1" applyProtection="1">
      <protection locked="0"/>
    </xf>
    <xf numFmtId="0" fontId="21" fillId="0" borderId="0" xfId="0" applyFont="1" applyFill="1" applyBorder="1" applyAlignment="1">
      <alignment horizontal="center"/>
    </xf>
    <xf numFmtId="0" fontId="21" fillId="0" borderId="0" xfId="0" applyFont="1" applyFill="1" applyBorder="1" applyAlignment="1">
      <alignment horizontal="left" wrapText="1"/>
    </xf>
    <xf numFmtId="0" fontId="21" fillId="0" borderId="0" xfId="0" applyFont="1" applyFill="1" applyBorder="1" applyAlignment="1">
      <alignment horizontal="center" vertical="center"/>
    </xf>
    <xf numFmtId="180" fontId="21" fillId="0" borderId="0" xfId="5" applyFont="1" applyFill="1" applyBorder="1" applyAlignment="1" applyProtection="1">
      <alignment horizontal="center" vertical="center"/>
    </xf>
    <xf numFmtId="183" fontId="22" fillId="0" borderId="0" xfId="0" applyNumberFormat="1" applyFont="1" applyFill="1" applyBorder="1" applyAlignment="1">
      <alignment horizontal="left" vertical="center" wrapText="1"/>
    </xf>
    <xf numFmtId="0" fontId="23" fillId="0" borderId="0" xfId="0" applyFont="1" applyFill="1" applyBorder="1" applyAlignment="1">
      <alignment horizontal="center"/>
    </xf>
    <xf numFmtId="180" fontId="23" fillId="0" borderId="0" xfId="5" applyFont="1" applyFill="1" applyBorder="1" applyAlignment="1" applyProtection="1">
      <alignment horizontal="center"/>
    </xf>
    <xf numFmtId="184" fontId="23" fillId="0" borderId="0" xfId="2" applyNumberFormat="1" applyFont="1" applyFill="1" applyBorder="1" applyAlignment="1">
      <alignment horizontal="center"/>
    </xf>
    <xf numFmtId="185" fontId="23" fillId="0" borderId="0" xfId="0" applyNumberFormat="1" applyFont="1" applyFill="1" applyBorder="1" applyAlignment="1">
      <alignment horizontal="center" vertical="center"/>
    </xf>
    <xf numFmtId="183" fontId="22" fillId="0" borderId="0" xfId="0" applyNumberFormat="1" applyFont="1" applyFill="1" applyBorder="1" applyAlignment="1">
      <alignment horizontal="center" vertical="center" wrapText="1"/>
    </xf>
    <xf numFmtId="180" fontId="24" fillId="0" borderId="0" xfId="5" applyFont="1" applyFill="1" applyBorder="1" applyAlignment="1" applyProtection="1">
      <alignment horizontal="center"/>
    </xf>
    <xf numFmtId="185" fontId="23" fillId="0" borderId="0" xfId="0" applyNumberFormat="1" applyFont="1" applyFill="1" applyBorder="1" applyAlignment="1">
      <alignment horizontal="right"/>
    </xf>
    <xf numFmtId="3" fontId="23" fillId="0" borderId="0" xfId="0" applyNumberFormat="1" applyFont="1" applyFill="1" applyBorder="1" applyAlignment="1">
      <alignment horizontal="center"/>
    </xf>
    <xf numFmtId="184" fontId="21" fillId="0" borderId="0" xfId="2" applyNumberFormat="1" applyFont="1" applyFill="1" applyBorder="1" applyAlignment="1">
      <alignment horizontal="center"/>
    </xf>
    <xf numFmtId="0" fontId="0" fillId="0" borderId="2" xfId="0" applyBorder="1" applyProtection="1">
      <protection locked="0"/>
    </xf>
    <xf numFmtId="167" fontId="0" fillId="0" borderId="24" xfId="2" applyNumberFormat="1" applyFont="1" applyBorder="1" applyAlignment="1" applyProtection="1">
      <alignment vertical="center"/>
    </xf>
    <xf numFmtId="171" fontId="0" fillId="0" borderId="6" xfId="1" applyNumberFormat="1" applyFont="1" applyBorder="1" applyAlignment="1" applyProtection="1">
      <alignment vertical="center"/>
    </xf>
    <xf numFmtId="167" fontId="2" fillId="15" borderId="6" xfId="2" applyNumberFormat="1" applyFont="1" applyFill="1" applyBorder="1" applyAlignment="1" applyProtection="1">
      <alignment vertical="center"/>
    </xf>
    <xf numFmtId="167" fontId="0" fillId="0" borderId="6" xfId="2" applyNumberFormat="1" applyFont="1" applyBorder="1" applyAlignment="1" applyProtection="1">
      <alignment vertical="center"/>
    </xf>
    <xf numFmtId="167" fontId="0" fillId="12" borderId="6" xfId="2" applyNumberFormat="1" applyFont="1" applyFill="1" applyBorder="1" applyAlignment="1" applyProtection="1">
      <alignment vertical="center"/>
    </xf>
    <xf numFmtId="171" fontId="0" fillId="12" borderId="6" xfId="1" applyNumberFormat="1" applyFont="1" applyFill="1" applyBorder="1" applyAlignment="1" applyProtection="1">
      <alignment vertical="center"/>
    </xf>
    <xf numFmtId="167" fontId="2" fillId="18" borderId="6" xfId="2" applyNumberFormat="1" applyFont="1" applyFill="1" applyBorder="1" applyAlignment="1" applyProtection="1">
      <alignment vertical="center"/>
    </xf>
    <xf numFmtId="0" fontId="9" fillId="4" borderId="25" xfId="0" applyFont="1" applyFill="1" applyBorder="1" applyAlignment="1" applyProtection="1">
      <alignment horizontal="left" vertical="center"/>
      <protection locked="0"/>
    </xf>
    <xf numFmtId="0" fontId="0" fillId="25" borderId="20" xfId="0" applyFont="1" applyFill="1" applyBorder="1" applyAlignment="1" applyProtection="1">
      <alignment horizontal="left" vertical="center"/>
    </xf>
    <xf numFmtId="0" fontId="0" fillId="25" borderId="25" xfId="0" applyFont="1" applyFill="1" applyBorder="1" applyAlignment="1" applyProtection="1">
      <alignment horizontal="left" vertical="center"/>
    </xf>
    <xf numFmtId="181" fontId="0" fillId="8" borderId="23" xfId="0" applyNumberFormat="1" applyFont="1" applyFill="1" applyBorder="1" applyAlignment="1" applyProtection="1">
      <alignment horizontal="right" vertical="center"/>
    </xf>
    <xf numFmtId="181" fontId="0" fillId="8" borderId="26" xfId="0" applyNumberFormat="1" applyFont="1" applyFill="1" applyBorder="1" applyAlignment="1" applyProtection="1">
      <alignment horizontal="right" vertical="center"/>
    </xf>
    <xf numFmtId="181" fontId="0" fillId="8" borderId="30" xfId="0" applyNumberFormat="1" applyFont="1" applyFill="1" applyBorder="1" applyAlignment="1" applyProtection="1">
      <alignment horizontal="right" vertical="center"/>
    </xf>
    <xf numFmtId="0" fontId="0" fillId="58" borderId="0" xfId="0" applyFont="1" applyFill="1" applyBorder="1" applyProtection="1"/>
    <xf numFmtId="181" fontId="0" fillId="58" borderId="0" xfId="0" applyNumberFormat="1" applyFont="1" applyFill="1" applyBorder="1" applyAlignment="1" applyProtection="1">
      <alignment horizontal="right" vertical="center"/>
    </xf>
    <xf numFmtId="0" fontId="0" fillId="4" borderId="5" xfId="0" applyFont="1" applyFill="1" applyBorder="1" applyAlignment="1" applyProtection="1">
      <alignment horizontal="left" vertical="center"/>
      <protection locked="0"/>
    </xf>
    <xf numFmtId="172" fontId="0" fillId="4" borderId="5" xfId="2" applyNumberFormat="1" applyFont="1" applyFill="1" applyBorder="1" applyAlignment="1" applyProtection="1">
      <alignment vertical="center"/>
      <protection locked="0"/>
    </xf>
    <xf numFmtId="181" fontId="0" fillId="8" borderId="5" xfId="0" applyNumberFormat="1" applyFont="1" applyFill="1" applyBorder="1" applyAlignment="1" applyProtection="1">
      <alignment horizontal="right" vertical="center"/>
    </xf>
    <xf numFmtId="0" fontId="0" fillId="0" borderId="0" xfId="0" applyFont="1" applyFill="1" applyBorder="1" applyProtection="1"/>
    <xf numFmtId="181" fontId="0" fillId="0" borderId="0" xfId="0" applyNumberFormat="1" applyFont="1" applyFill="1" applyBorder="1" applyAlignment="1" applyProtection="1">
      <alignment horizontal="right" vertical="center"/>
    </xf>
    <xf numFmtId="0" fontId="8" fillId="0" borderId="0" xfId="0" applyFont="1" applyFill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right" vertical="center"/>
    </xf>
    <xf numFmtId="0" fontId="10" fillId="0" borderId="39" xfId="0" applyFont="1" applyBorder="1" applyAlignment="1" applyProtection="1">
      <alignment horizontal="center" vertical="center" wrapText="1"/>
    </xf>
    <xf numFmtId="0" fontId="4" fillId="3" borderId="0" xfId="0" applyFont="1" applyFill="1" applyBorder="1" applyAlignment="1" applyProtection="1">
      <alignment horizontal="left" vertical="center" indent="4"/>
    </xf>
    <xf numFmtId="167" fontId="2" fillId="5" borderId="46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right" vertical="center"/>
    </xf>
    <xf numFmtId="0" fontId="13" fillId="5" borderId="2" xfId="0" applyFont="1" applyFill="1" applyBorder="1" applyAlignment="1" applyProtection="1">
      <alignment horizontal="center" vertical="center"/>
    </xf>
    <xf numFmtId="0" fontId="13" fillId="49" borderId="2" xfId="0" applyFont="1" applyFill="1" applyBorder="1" applyAlignment="1" applyProtection="1">
      <alignment horizontal="center" vertical="center"/>
    </xf>
    <xf numFmtId="167" fontId="13" fillId="38" borderId="6" xfId="2" applyNumberFormat="1" applyFont="1" applyFill="1" applyBorder="1" applyAlignment="1" applyProtection="1">
      <alignment horizontal="center" vertical="center"/>
    </xf>
    <xf numFmtId="167" fontId="13" fillId="41" borderId="2" xfId="2" applyNumberFormat="1" applyFont="1" applyFill="1" applyBorder="1" applyAlignment="1" applyProtection="1">
      <alignment horizontal="center" vertical="center"/>
    </xf>
    <xf numFmtId="0" fontId="13" fillId="32" borderId="2" xfId="0" applyFont="1" applyFill="1" applyBorder="1" applyAlignment="1" applyProtection="1">
      <alignment horizontal="center" vertical="center"/>
    </xf>
    <xf numFmtId="0" fontId="2" fillId="5" borderId="45" xfId="0" applyFont="1" applyFill="1" applyBorder="1" applyAlignment="1" applyProtection="1">
      <alignment horizontal="center" vertical="center" wrapText="1"/>
    </xf>
    <xf numFmtId="0" fontId="8" fillId="0" borderId="0" xfId="0" applyFont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center" vertical="center" wrapText="1"/>
    </xf>
    <xf numFmtId="0" fontId="21" fillId="0" borderId="0" xfId="0" applyFont="1" applyFill="1" applyBorder="1" applyAlignment="1">
      <alignment horizontal="left" vertical="center" wrapText="1"/>
    </xf>
    <xf numFmtId="0" fontId="0" fillId="0" borderId="0" xfId="0" applyProtection="1"/>
    <xf numFmtId="171" fontId="0" fillId="4" borderId="2" xfId="1" applyNumberFormat="1" applyFont="1" applyFill="1" applyBorder="1" applyAlignment="1" applyProtection="1">
      <alignment vertical="center"/>
    </xf>
    <xf numFmtId="167" fontId="32" fillId="12" borderId="34" xfId="2" applyNumberFormat="1" applyFill="1" applyBorder="1" applyAlignment="1" applyProtection="1">
      <alignment vertical="center"/>
    </xf>
    <xf numFmtId="167" fontId="32" fillId="0" borderId="8" xfId="2" applyNumberFormat="1" applyBorder="1" applyAlignment="1" applyProtection="1">
      <alignment vertical="center"/>
    </xf>
    <xf numFmtId="167" fontId="32" fillId="0" borderId="35" xfId="2" applyNumberFormat="1" applyBorder="1" applyAlignment="1" applyProtection="1">
      <alignment vertical="center"/>
    </xf>
    <xf numFmtId="167" fontId="32" fillId="0" borderId="34" xfId="2" applyNumberFormat="1" applyBorder="1" applyAlignment="1" applyProtection="1">
      <alignment vertical="center"/>
    </xf>
    <xf numFmtId="167" fontId="32" fillId="12" borderId="25" xfId="2" applyNumberFormat="1" applyFill="1" applyBorder="1" applyAlignment="1" applyProtection="1">
      <alignment vertical="center"/>
    </xf>
    <xf numFmtId="167" fontId="32" fillId="12" borderId="2" xfId="2" applyNumberFormat="1" applyFill="1" applyBorder="1" applyAlignment="1" applyProtection="1">
      <alignment vertical="center"/>
    </xf>
    <xf numFmtId="167" fontId="32" fillId="12" borderId="26" xfId="2" applyNumberFormat="1" applyFill="1" applyBorder="1" applyAlignment="1" applyProtection="1">
      <alignment vertical="center"/>
    </xf>
    <xf numFmtId="167" fontId="32" fillId="0" borderId="2" xfId="2" applyNumberFormat="1" applyBorder="1" applyAlignment="1" applyProtection="1">
      <alignment vertical="center"/>
    </xf>
    <xf numFmtId="167" fontId="32" fillId="0" borderId="26" xfId="2" applyNumberFormat="1" applyBorder="1" applyAlignment="1" applyProtection="1">
      <alignment vertical="center"/>
    </xf>
    <xf numFmtId="167" fontId="32" fillId="0" borderId="25" xfId="2" applyNumberFormat="1" applyBorder="1" applyAlignment="1" applyProtection="1">
      <alignment vertical="center"/>
    </xf>
    <xf numFmtId="167" fontId="2" fillId="21" borderId="25" xfId="2" applyNumberFormat="1" applyFont="1" applyFill="1" applyBorder="1" applyAlignment="1" applyProtection="1">
      <alignment vertical="center"/>
    </xf>
    <xf numFmtId="172" fontId="0" fillId="15" borderId="34" xfId="2" applyNumberFormat="1" applyFont="1" applyFill="1" applyBorder="1" applyAlignment="1" applyProtection="1">
      <alignment vertical="center"/>
    </xf>
    <xf numFmtId="1" fontId="0" fillId="0" borderId="36" xfId="0" applyNumberFormat="1" applyBorder="1" applyAlignment="1" applyProtection="1">
      <alignment horizontal="center" vertical="center" wrapText="1"/>
    </xf>
    <xf numFmtId="176" fontId="14" fillId="0" borderId="4" xfId="0" applyNumberFormat="1" applyFont="1" applyBorder="1" applyAlignment="1" applyProtection="1">
      <alignment horizontal="left"/>
    </xf>
    <xf numFmtId="167" fontId="14" fillId="12" borderId="2" xfId="2" applyNumberFormat="1" applyFont="1" applyFill="1" applyBorder="1" applyAlignment="1" applyProtection="1">
      <alignment vertical="center"/>
    </xf>
    <xf numFmtId="177" fontId="14" fillId="12" borderId="2" xfId="1" applyNumberFormat="1" applyFont="1" applyFill="1" applyBorder="1" applyAlignment="1" applyProtection="1">
      <alignment vertical="center"/>
    </xf>
    <xf numFmtId="167" fontId="0" fillId="4" borderId="2" xfId="2" applyNumberFormat="1" applyFont="1" applyFill="1" applyBorder="1" applyAlignment="1" applyProtection="1">
      <alignment vertical="center"/>
    </xf>
    <xf numFmtId="1" fontId="0" fillId="0" borderId="6" xfId="0" applyNumberFormat="1" applyBorder="1" applyAlignment="1" applyProtection="1">
      <alignment horizontal="center"/>
    </xf>
    <xf numFmtId="1" fontId="0" fillId="0" borderId="4" xfId="0" applyNumberFormat="1" applyFont="1" applyBorder="1" applyProtection="1"/>
    <xf numFmtId="167" fontId="14" fillId="29" borderId="2" xfId="2" applyNumberFormat="1" applyFont="1" applyFill="1" applyBorder="1" applyAlignment="1" applyProtection="1">
      <alignment vertical="center"/>
    </xf>
    <xf numFmtId="1" fontId="0" fillId="3" borderId="36" xfId="0" applyNumberFormat="1" applyFill="1" applyBorder="1" applyAlignment="1" applyProtection="1">
      <alignment horizontal="center" vertical="center" wrapText="1"/>
    </xf>
    <xf numFmtId="1" fontId="0" fillId="0" borderId="1" xfId="0" applyNumberFormat="1" applyBorder="1" applyAlignment="1" applyProtection="1">
      <alignment horizontal="center" vertical="center" wrapText="1"/>
    </xf>
    <xf numFmtId="176" fontId="14" fillId="0" borderId="18" xfId="0" applyNumberFormat="1" applyFont="1" applyBorder="1" applyAlignment="1" applyProtection="1">
      <alignment horizontal="left"/>
    </xf>
    <xf numFmtId="0" fontId="2" fillId="14" borderId="6" xfId="0" applyFont="1" applyFill="1" applyBorder="1" applyAlignment="1" applyProtection="1">
      <alignment horizontal="center" vertical="center" wrapText="1"/>
    </xf>
    <xf numFmtId="177" fontId="14" fillId="8" borderId="2" xfId="1" applyNumberFormat="1" applyFont="1" applyFill="1" applyBorder="1" applyAlignment="1" applyProtection="1">
      <alignment vertical="center"/>
    </xf>
    <xf numFmtId="167" fontId="13" fillId="26" borderId="36" xfId="2" applyNumberFormat="1" applyFont="1" applyFill="1" applyBorder="1" applyAlignment="1" applyProtection="1">
      <alignment horizontal="center" vertical="center"/>
    </xf>
    <xf numFmtId="177" fontId="32" fillId="4" borderId="2" xfId="1" applyNumberFormat="1" applyFill="1" applyBorder="1" applyProtection="1"/>
    <xf numFmtId="176" fontId="14" fillId="0" borderId="4" xfId="0" applyNumberFormat="1" applyFont="1" applyBorder="1" applyAlignment="1" applyProtection="1">
      <alignment horizontal="left" wrapText="1"/>
    </xf>
    <xf numFmtId="177" fontId="0" fillId="8" borderId="2" xfId="1" applyNumberFormat="1" applyFont="1" applyFill="1" applyBorder="1" applyProtection="1"/>
    <xf numFmtId="0" fontId="2" fillId="0" borderId="0" xfId="0" applyFont="1" applyAlignment="1" applyProtection="1">
      <alignment horizontal="center" vertical="center"/>
    </xf>
    <xf numFmtId="0" fontId="0" fillId="0" borderId="0" xfId="0" applyAlignment="1" applyProtection="1">
      <alignment vertical="center"/>
    </xf>
    <xf numFmtId="0" fontId="0" fillId="3" borderId="0" xfId="0" applyFill="1" applyProtection="1"/>
    <xf numFmtId="166" fontId="5" fillId="0" borderId="0" xfId="3" applyFont="1" applyAlignment="1" applyProtection="1">
      <alignment vertical="center"/>
    </xf>
    <xf numFmtId="172" fontId="32" fillId="0" borderId="0" xfId="2" applyNumberFormat="1" applyProtection="1"/>
    <xf numFmtId="0" fontId="7" fillId="4" borderId="4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0" fillId="3" borderId="0" xfId="0" applyFill="1" applyAlignment="1" applyProtection="1">
      <alignment horizontal="left" vertical="center"/>
    </xf>
    <xf numFmtId="181" fontId="2" fillId="3" borderId="0" xfId="0" applyNumberFormat="1" applyFont="1" applyFill="1" applyAlignment="1" applyProtection="1">
      <alignment horizontal="right" vertical="center"/>
    </xf>
    <xf numFmtId="0" fontId="0" fillId="3" borderId="46" xfId="0" applyFill="1" applyBorder="1" applyProtection="1"/>
    <xf numFmtId="0" fontId="0" fillId="3" borderId="53" xfId="0" applyFill="1" applyBorder="1" applyProtection="1"/>
    <xf numFmtId="0" fontId="0" fillId="3" borderId="16" xfId="0" applyFill="1" applyBorder="1" applyProtection="1"/>
    <xf numFmtId="0" fontId="0" fillId="3" borderId="65" xfId="0" applyFill="1" applyBorder="1" applyProtection="1"/>
    <xf numFmtId="0" fontId="0" fillId="3" borderId="66" xfId="0" applyFill="1" applyBorder="1" applyProtection="1"/>
    <xf numFmtId="0" fontId="4" fillId="0" borderId="0" xfId="0" applyFont="1" applyAlignment="1" applyProtection="1">
      <alignment horizontal="left" vertical="center" indent="4"/>
    </xf>
    <xf numFmtId="0" fontId="4" fillId="0" borderId="0" xfId="0" applyFont="1" applyAlignment="1" applyProtection="1">
      <alignment vertical="center"/>
    </xf>
    <xf numFmtId="0" fontId="4" fillId="0" borderId="65" xfId="0" applyFont="1" applyBorder="1" applyAlignment="1" applyProtection="1">
      <alignment vertical="center"/>
    </xf>
    <xf numFmtId="181" fontId="0" fillId="26" borderId="2" xfId="0" applyNumberFormat="1" applyFont="1" applyFill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</xf>
    <xf numFmtId="0" fontId="8" fillId="14" borderId="27" xfId="0" applyFont="1" applyFill="1" applyBorder="1" applyAlignment="1" applyProtection="1">
      <alignment horizontal="center" vertical="center"/>
    </xf>
    <xf numFmtId="0" fontId="8" fillId="14" borderId="28" xfId="0" applyFont="1" applyFill="1" applyBorder="1" applyAlignment="1" applyProtection="1">
      <alignment horizontal="center" vertical="center"/>
    </xf>
    <xf numFmtId="0" fontId="8" fillId="53" borderId="27" xfId="0" applyFont="1" applyFill="1" applyBorder="1" applyAlignment="1" applyProtection="1">
      <alignment horizontal="center" vertical="center"/>
    </xf>
    <xf numFmtId="0" fontId="8" fillId="53" borderId="30" xfId="0" applyFont="1" applyFill="1" applyBorder="1" applyAlignment="1" applyProtection="1">
      <alignment horizontal="center" vertical="center"/>
    </xf>
    <xf numFmtId="0" fontId="8" fillId="52" borderId="31" xfId="0" applyFont="1" applyFill="1" applyBorder="1" applyAlignment="1" applyProtection="1">
      <alignment horizontal="center" vertical="center"/>
    </xf>
    <xf numFmtId="0" fontId="8" fillId="52" borderId="30" xfId="0" applyFont="1" applyFill="1" applyBorder="1" applyAlignment="1" applyProtection="1">
      <alignment horizontal="center" vertical="center"/>
    </xf>
    <xf numFmtId="0" fontId="8" fillId="14" borderId="17" xfId="0" applyFont="1" applyFill="1" applyBorder="1" applyAlignment="1" applyProtection="1">
      <alignment horizontal="center" vertical="center"/>
    </xf>
    <xf numFmtId="0" fontId="8" fillId="14" borderId="19" xfId="0" applyFont="1" applyFill="1" applyBorder="1" applyAlignment="1" applyProtection="1">
      <alignment horizontal="center" vertical="center"/>
    </xf>
    <xf numFmtId="0" fontId="8" fillId="53" borderId="17" xfId="0" applyFont="1" applyFill="1" applyBorder="1" applyAlignment="1" applyProtection="1">
      <alignment horizontal="center" vertical="center"/>
    </xf>
    <xf numFmtId="0" fontId="8" fillId="53" borderId="19" xfId="0" applyFont="1" applyFill="1" applyBorder="1" applyAlignment="1" applyProtection="1">
      <alignment horizontal="center" vertical="center"/>
    </xf>
    <xf numFmtId="0" fontId="8" fillId="52" borderId="17" xfId="0" applyFont="1" applyFill="1" applyBorder="1" applyAlignment="1" applyProtection="1">
      <alignment horizontal="center" vertical="center"/>
    </xf>
    <xf numFmtId="0" fontId="8" fillId="52" borderId="19" xfId="0" applyFont="1" applyFill="1" applyBorder="1" applyAlignment="1" applyProtection="1">
      <alignment horizontal="center" vertical="center"/>
    </xf>
    <xf numFmtId="172" fontId="0" fillId="4" borderId="21" xfId="2" applyNumberFormat="1" applyFont="1" applyFill="1" applyBorder="1" applyAlignment="1" applyProtection="1">
      <alignment vertical="center"/>
    </xf>
    <xf numFmtId="181" fontId="0" fillId="0" borderId="23" xfId="0" applyNumberFormat="1" applyBorder="1" applyAlignment="1" applyProtection="1">
      <alignment horizontal="right" vertical="center"/>
    </xf>
    <xf numFmtId="181" fontId="0" fillId="0" borderId="22" xfId="0" applyNumberFormat="1" applyBorder="1" applyAlignment="1" applyProtection="1">
      <alignment horizontal="right" vertical="center"/>
    </xf>
    <xf numFmtId="166" fontId="0" fillId="26" borderId="23" xfId="0" applyNumberFormat="1" applyFill="1" applyBorder="1" applyAlignment="1" applyProtection="1">
      <alignment horizontal="center" vertical="center"/>
    </xf>
    <xf numFmtId="0" fontId="2" fillId="26" borderId="2" xfId="0" applyFont="1" applyFill="1" applyBorder="1" applyAlignment="1" applyProtection="1">
      <alignment horizontal="center" vertical="center"/>
    </xf>
    <xf numFmtId="166" fontId="14" fillId="0" borderId="32" xfId="3" applyFont="1" applyBorder="1" applyAlignment="1" applyProtection="1">
      <alignment horizontal="center" vertical="center"/>
    </xf>
    <xf numFmtId="181" fontId="0" fillId="54" borderId="69" xfId="0" applyNumberFormat="1" applyFill="1" applyBorder="1" applyAlignment="1" applyProtection="1">
      <alignment horizontal="right" vertical="center"/>
    </xf>
    <xf numFmtId="181" fontId="0" fillId="54" borderId="70" xfId="0" applyNumberFormat="1" applyFill="1" applyBorder="1" applyAlignment="1" applyProtection="1">
      <alignment horizontal="right" vertical="center"/>
    </xf>
    <xf numFmtId="166" fontId="14" fillId="0" borderId="71" xfId="3" applyFont="1" applyBorder="1" applyAlignment="1" applyProtection="1">
      <alignment horizontal="center" vertical="center"/>
    </xf>
    <xf numFmtId="166" fontId="0" fillId="3" borderId="43" xfId="0" applyNumberFormat="1" applyFill="1" applyBorder="1" applyAlignment="1" applyProtection="1">
      <alignment horizontal="center" vertical="center"/>
    </xf>
    <xf numFmtId="181" fontId="0" fillId="26" borderId="41" xfId="0" applyNumberFormat="1" applyFill="1" applyBorder="1" applyAlignment="1" applyProtection="1">
      <alignment horizontal="right" vertical="center"/>
    </xf>
    <xf numFmtId="166" fontId="0" fillId="3" borderId="41" xfId="0" applyNumberFormat="1" applyFill="1" applyBorder="1" applyAlignment="1" applyProtection="1">
      <alignment horizontal="center" vertical="center"/>
    </xf>
    <xf numFmtId="166" fontId="0" fillId="3" borderId="41" xfId="3" applyFont="1" applyFill="1" applyBorder="1" applyAlignment="1" applyProtection="1">
      <alignment horizontal="center" vertical="center"/>
    </xf>
    <xf numFmtId="181" fontId="0" fillId="26" borderId="44" xfId="0" applyNumberFormat="1" applyFill="1" applyBorder="1" applyAlignment="1" applyProtection="1">
      <alignment horizontal="right" vertical="center"/>
    </xf>
    <xf numFmtId="0" fontId="0" fillId="4" borderId="2" xfId="0" applyFont="1" applyFill="1" applyBorder="1" applyProtection="1"/>
    <xf numFmtId="172" fontId="0" fillId="4" borderId="2" xfId="2" applyNumberFormat="1" applyFont="1" applyFill="1" applyBorder="1" applyAlignment="1" applyProtection="1">
      <alignment vertical="center"/>
    </xf>
    <xf numFmtId="172" fontId="0" fillId="4" borderId="8" xfId="2" applyNumberFormat="1" applyFont="1" applyFill="1" applyBorder="1" applyAlignment="1" applyProtection="1">
      <alignment vertical="center"/>
    </xf>
    <xf numFmtId="181" fontId="0" fillId="0" borderId="26" xfId="0" applyNumberFormat="1" applyBorder="1" applyAlignment="1" applyProtection="1">
      <alignment horizontal="right" vertical="center"/>
    </xf>
    <xf numFmtId="181" fontId="0" fillId="0" borderId="4" xfId="0" applyNumberFormat="1" applyBorder="1" applyAlignment="1" applyProtection="1">
      <alignment horizontal="right" vertical="center"/>
    </xf>
    <xf numFmtId="166" fontId="0" fillId="26" borderId="26" xfId="0" applyNumberFormat="1" applyFill="1" applyBorder="1" applyAlignment="1" applyProtection="1">
      <alignment horizontal="center" vertical="center"/>
    </xf>
    <xf numFmtId="0" fontId="2" fillId="9" borderId="2" xfId="0" applyFont="1" applyFill="1" applyBorder="1" applyAlignment="1" applyProtection="1">
      <alignment horizontal="center" vertical="center" wrapText="1"/>
    </xf>
    <xf numFmtId="1" fontId="0" fillId="0" borderId="2" xfId="0" applyNumberFormat="1" applyBorder="1" applyAlignment="1" applyProtection="1">
      <alignment horizontal="center" vertical="center" wrapText="1"/>
    </xf>
    <xf numFmtId="176" fontId="14" fillId="0" borderId="2" xfId="0" applyNumberFormat="1" applyFont="1" applyBorder="1" applyAlignment="1" applyProtection="1">
      <alignment horizontal="left"/>
    </xf>
    <xf numFmtId="0" fontId="0" fillId="3" borderId="47" xfId="0" applyFill="1" applyBorder="1" applyProtection="1"/>
    <xf numFmtId="0" fontId="0" fillId="3" borderId="68" xfId="0" applyFill="1" applyBorder="1" applyProtection="1"/>
    <xf numFmtId="0" fontId="0" fillId="3" borderId="49" xfId="0" applyFill="1" applyBorder="1" applyProtection="1"/>
    <xf numFmtId="0" fontId="0" fillId="4" borderId="2" xfId="0" applyFill="1" applyBorder="1" applyAlignment="1" applyProtection="1">
      <alignment horizontal="left" vertical="center"/>
    </xf>
    <xf numFmtId="0" fontId="0" fillId="4" borderId="2" xfId="0" applyFill="1" applyBorder="1" applyProtection="1"/>
    <xf numFmtId="0" fontId="0" fillId="4" borderId="29" xfId="0" applyFill="1" applyBorder="1" applyAlignment="1" applyProtection="1">
      <alignment horizontal="left" vertical="center"/>
    </xf>
    <xf numFmtId="0" fontId="0" fillId="4" borderId="29" xfId="0" applyFill="1" applyBorder="1" applyProtection="1"/>
    <xf numFmtId="172" fontId="0" fillId="4" borderId="29" xfId="2" applyNumberFormat="1" applyFont="1" applyFill="1" applyBorder="1" applyAlignment="1" applyProtection="1">
      <alignment vertical="center"/>
    </xf>
    <xf numFmtId="172" fontId="0" fillId="4" borderId="72" xfId="2" applyNumberFormat="1" applyFont="1" applyFill="1" applyBorder="1" applyAlignment="1" applyProtection="1">
      <alignment vertical="center"/>
    </xf>
    <xf numFmtId="181" fontId="0" fillId="0" borderId="30" xfId="0" applyNumberFormat="1" applyBorder="1" applyAlignment="1" applyProtection="1">
      <alignment horizontal="right" vertical="center"/>
    </xf>
    <xf numFmtId="181" fontId="0" fillId="0" borderId="28" xfId="0" applyNumberFormat="1" applyBorder="1" applyAlignment="1" applyProtection="1">
      <alignment horizontal="right" vertical="center"/>
    </xf>
    <xf numFmtId="166" fontId="0" fillId="26" borderId="30" xfId="0" applyNumberFormat="1" applyFill="1" applyBorder="1" applyAlignment="1" applyProtection="1">
      <alignment horizontal="center" vertical="center"/>
    </xf>
    <xf numFmtId="0" fontId="18" fillId="4" borderId="2" xfId="0" applyFont="1" applyFill="1" applyBorder="1" applyProtection="1"/>
    <xf numFmtId="181" fontId="7" fillId="26" borderId="70" xfId="0" applyNumberFormat="1" applyFont="1" applyFill="1" applyBorder="1" applyAlignment="1" applyProtection="1">
      <alignment horizontal="right" vertical="center"/>
    </xf>
    <xf numFmtId="166" fontId="13" fillId="9" borderId="43" xfId="3" applyFont="1" applyFill="1" applyBorder="1" applyAlignment="1" applyProtection="1">
      <alignment horizontal="center" vertical="center"/>
    </xf>
    <xf numFmtId="181" fontId="7" fillId="26" borderId="44" xfId="0" applyNumberFormat="1" applyFont="1" applyFill="1" applyBorder="1" applyAlignment="1" applyProtection="1">
      <alignment horizontal="right" vertical="center"/>
    </xf>
    <xf numFmtId="166" fontId="13" fillId="9" borderId="73" xfId="3" applyFont="1" applyFill="1" applyBorder="1" applyAlignment="1" applyProtection="1">
      <alignment horizontal="center" vertical="center"/>
    </xf>
    <xf numFmtId="0" fontId="2" fillId="4" borderId="2" xfId="0" applyFont="1" applyFill="1" applyBorder="1" applyAlignment="1" applyProtection="1">
      <alignment horizontal="left" vertical="center"/>
    </xf>
    <xf numFmtId="0" fontId="2" fillId="4" borderId="2" xfId="0" applyFont="1" applyFill="1" applyBorder="1" applyProtection="1"/>
    <xf numFmtId="181" fontId="0" fillId="3" borderId="0" xfId="0" applyNumberFormat="1" applyFill="1" applyProtection="1"/>
    <xf numFmtId="181" fontId="7" fillId="26" borderId="48" xfId="0" applyNumberFormat="1" applyFont="1" applyFill="1" applyBorder="1" applyAlignment="1" applyProtection="1">
      <alignment horizontal="right" vertical="center"/>
    </xf>
    <xf numFmtId="0" fontId="0" fillId="3" borderId="0" xfId="0" applyFill="1" applyAlignment="1" applyProtection="1">
      <alignment horizontal="center" vertical="center"/>
    </xf>
    <xf numFmtId="0" fontId="2" fillId="4" borderId="21" xfId="0" applyFont="1" applyFill="1" applyBorder="1" applyAlignment="1" applyProtection="1">
      <alignment horizontal="left" vertical="center"/>
    </xf>
    <xf numFmtId="0" fontId="2" fillId="4" borderId="21" xfId="0" applyFont="1" applyFill="1" applyBorder="1" applyProtection="1"/>
    <xf numFmtId="166" fontId="13" fillId="9" borderId="74" xfId="3" applyFont="1" applyFill="1" applyBorder="1" applyAlignment="1" applyProtection="1">
      <alignment horizontal="center" vertical="center"/>
    </xf>
    <xf numFmtId="0" fontId="2" fillId="14" borderId="2" xfId="0" applyFont="1" applyFill="1" applyBorder="1" applyAlignment="1" applyProtection="1">
      <alignment horizontal="left" vertical="center"/>
    </xf>
    <xf numFmtId="167" fontId="2" fillId="14" borderId="2" xfId="0" applyNumberFormat="1" applyFont="1" applyFill="1" applyBorder="1" applyAlignment="1" applyProtection="1">
      <alignment horizontal="center" vertical="center" wrapText="1"/>
    </xf>
    <xf numFmtId="172" fontId="0" fillId="3" borderId="0" xfId="0" applyNumberFormat="1" applyFill="1" applyProtection="1"/>
    <xf numFmtId="167" fontId="0" fillId="3" borderId="0" xfId="0" applyNumberFormat="1" applyFill="1" applyProtection="1"/>
    <xf numFmtId="172" fontId="0" fillId="0" borderId="0" xfId="2" applyNumberFormat="1" applyFont="1" applyFill="1" applyBorder="1" applyAlignment="1" applyProtection="1">
      <alignment vertical="center"/>
    </xf>
    <xf numFmtId="0" fontId="0" fillId="25" borderId="8" xfId="0" applyFont="1" applyFill="1" applyBorder="1" applyAlignment="1" applyProtection="1">
      <alignment horizontal="left" vertical="center"/>
      <protection locked="0"/>
    </xf>
    <xf numFmtId="172" fontId="0" fillId="25" borderId="8" xfId="2" applyNumberFormat="1" applyFont="1" applyFill="1" applyBorder="1" applyAlignment="1" applyProtection="1">
      <alignment vertical="center"/>
      <protection locked="0"/>
    </xf>
    <xf numFmtId="0" fontId="0" fillId="25" borderId="2" xfId="0" applyFont="1" applyFill="1" applyBorder="1" applyAlignment="1" applyProtection="1">
      <alignment horizontal="left" vertical="center"/>
      <protection locked="0"/>
    </xf>
    <xf numFmtId="172" fontId="0" fillId="25" borderId="2" xfId="2" applyNumberFormat="1" applyFont="1" applyFill="1" applyBorder="1" applyAlignment="1" applyProtection="1">
      <alignment vertical="center"/>
      <protection locked="0"/>
    </xf>
    <xf numFmtId="0" fontId="0" fillId="25" borderId="29" xfId="0" applyFont="1" applyFill="1" applyBorder="1" applyAlignment="1" applyProtection="1">
      <alignment horizontal="left" vertical="center"/>
      <protection locked="0"/>
    </xf>
    <xf numFmtId="172" fontId="0" fillId="25" borderId="29" xfId="2" applyNumberFormat="1" applyFont="1" applyFill="1" applyBorder="1" applyAlignment="1" applyProtection="1">
      <alignment vertical="center"/>
      <protection locked="0"/>
    </xf>
    <xf numFmtId="174" fontId="2" fillId="8" borderId="67" xfId="0" applyNumberFormat="1" applyFont="1" applyFill="1" applyBorder="1" applyAlignment="1" applyProtection="1">
      <alignment horizontal="center" vertical="center"/>
    </xf>
    <xf numFmtId="174" fontId="2" fillId="8" borderId="76" xfId="0" applyNumberFormat="1" applyFont="1" applyFill="1" applyBorder="1" applyAlignment="1" applyProtection="1">
      <alignment horizontal="center" vertical="center"/>
    </xf>
    <xf numFmtId="174" fontId="0" fillId="4" borderId="10" xfId="2" applyNumberFormat="1" applyFont="1" applyFill="1" applyBorder="1" applyAlignment="1" applyProtection="1">
      <alignment horizontal="center" vertical="center"/>
      <protection locked="0"/>
    </xf>
    <xf numFmtId="174" fontId="0" fillId="4" borderId="11" xfId="2" applyNumberFormat="1" applyFont="1" applyFill="1" applyBorder="1" applyAlignment="1" applyProtection="1">
      <alignment horizontal="center" vertical="center"/>
      <protection locked="0"/>
    </xf>
    <xf numFmtId="174" fontId="0" fillId="4" borderId="72" xfId="2" applyNumberFormat="1" applyFont="1" applyFill="1" applyBorder="1" applyAlignment="1" applyProtection="1">
      <alignment horizontal="center" vertical="center"/>
      <protection locked="0"/>
    </xf>
    <xf numFmtId="174" fontId="0" fillId="4" borderId="69" xfId="2" applyNumberFormat="1" applyFont="1" applyFill="1" applyBorder="1" applyAlignment="1" applyProtection="1">
      <alignment horizontal="center" vertical="center"/>
      <protection locked="0"/>
    </xf>
    <xf numFmtId="174" fontId="32" fillId="4" borderId="20" xfId="2" applyNumberFormat="1" applyFont="1" applyFill="1" applyBorder="1" applyAlignment="1" applyProtection="1">
      <alignment horizontal="center" vertical="center"/>
      <protection locked="0"/>
    </xf>
    <xf numFmtId="167" fontId="2" fillId="47" borderId="2" xfId="2" applyNumberFormat="1" applyFont="1" applyFill="1" applyBorder="1" applyAlignment="1" applyProtection="1">
      <alignment horizontal="center" vertical="center"/>
    </xf>
    <xf numFmtId="167" fontId="32" fillId="46" borderId="2" xfId="2" applyNumberFormat="1" applyFont="1" applyFill="1" applyBorder="1" applyAlignment="1" applyProtection="1">
      <alignment vertical="center"/>
    </xf>
    <xf numFmtId="0" fontId="2" fillId="47" borderId="2" xfId="0" applyFont="1" applyFill="1" applyBorder="1" applyAlignment="1" applyProtection="1">
      <alignment horizontal="center" vertical="center"/>
    </xf>
    <xf numFmtId="172" fontId="32" fillId="25" borderId="2" xfId="2" applyNumberFormat="1" applyFont="1" applyFill="1" applyBorder="1" applyProtection="1"/>
    <xf numFmtId="167" fontId="2" fillId="3" borderId="2" xfId="2" applyNumberFormat="1" applyFont="1" applyFill="1" applyBorder="1" applyAlignment="1" applyProtection="1">
      <alignment horizontal="center" vertical="center"/>
    </xf>
    <xf numFmtId="167" fontId="32" fillId="29" borderId="2" xfId="2" applyNumberFormat="1" applyFont="1" applyFill="1" applyBorder="1" applyAlignment="1" applyProtection="1">
      <alignment vertical="center"/>
    </xf>
    <xf numFmtId="0" fontId="2" fillId="3" borderId="2" xfId="0" applyFont="1" applyFill="1" applyBorder="1" applyAlignment="1" applyProtection="1">
      <alignment horizontal="center" vertical="center"/>
    </xf>
    <xf numFmtId="172" fontId="32" fillId="4" borderId="2" xfId="2" applyNumberFormat="1" applyFont="1" applyFill="1" applyBorder="1" applyProtection="1"/>
    <xf numFmtId="0" fontId="32" fillId="0" borderId="0" xfId="0" applyFont="1" applyAlignment="1" applyProtection="1">
      <alignment vertical="center"/>
    </xf>
    <xf numFmtId="167" fontId="32" fillId="29" borderId="2" xfId="2" applyNumberFormat="1" applyFont="1" applyFill="1" applyBorder="1" applyAlignment="1" applyProtection="1">
      <alignment vertical="center"/>
      <protection locked="0"/>
    </xf>
    <xf numFmtId="177" fontId="32" fillId="29" borderId="2" xfId="1" applyNumberFormat="1" applyFont="1" applyFill="1" applyBorder="1" applyProtection="1">
      <protection locked="0"/>
    </xf>
    <xf numFmtId="167" fontId="32" fillId="8" borderId="2" xfId="2" applyNumberFormat="1" applyFont="1" applyFill="1" applyBorder="1" applyAlignment="1" applyProtection="1">
      <alignment vertical="center"/>
    </xf>
    <xf numFmtId="167" fontId="2" fillId="28" borderId="6" xfId="2" applyNumberFormat="1" applyFont="1" applyFill="1" applyBorder="1" applyAlignment="1" applyProtection="1">
      <alignment vertical="center"/>
    </xf>
    <xf numFmtId="177" fontId="32" fillId="4" borderId="2" xfId="1" applyNumberFormat="1" applyFont="1" applyFill="1" applyBorder="1" applyAlignment="1" applyProtection="1">
      <alignment vertical="center"/>
      <protection locked="0"/>
    </xf>
    <xf numFmtId="177" fontId="32" fillId="4" borderId="2" xfId="1" applyNumberFormat="1" applyFont="1" applyFill="1" applyBorder="1" applyProtection="1">
      <protection locked="0"/>
    </xf>
    <xf numFmtId="172" fontId="0" fillId="4" borderId="2" xfId="2" applyNumberFormat="1" applyFont="1" applyFill="1" applyBorder="1" applyProtection="1"/>
    <xf numFmtId="0" fontId="32" fillId="29" borderId="2" xfId="0" applyFont="1" applyFill="1" applyBorder="1" applyAlignment="1" applyProtection="1">
      <alignment vertical="center"/>
      <protection locked="0"/>
    </xf>
    <xf numFmtId="167" fontId="32" fillId="4" borderId="2" xfId="2" applyNumberFormat="1" applyFont="1" applyFill="1" applyBorder="1" applyAlignment="1" applyProtection="1">
      <alignment vertical="center"/>
      <protection locked="0"/>
    </xf>
    <xf numFmtId="0" fontId="32" fillId="4" borderId="2" xfId="0" applyFont="1" applyFill="1" applyBorder="1" applyAlignment="1" applyProtection="1">
      <alignment vertical="center"/>
      <protection locked="0"/>
    </xf>
    <xf numFmtId="172" fontId="32" fillId="52" borderId="2" xfId="2" applyNumberFormat="1" applyFont="1" applyFill="1" applyBorder="1" applyAlignment="1" applyProtection="1">
      <alignment vertical="center"/>
    </xf>
    <xf numFmtId="180" fontId="32" fillId="29" borderId="2" xfId="5" applyFont="1" applyFill="1" applyBorder="1" applyAlignment="1" applyProtection="1">
      <alignment horizontal="center" vertical="center"/>
      <protection locked="0"/>
    </xf>
    <xf numFmtId="180" fontId="32" fillId="4" borderId="2" xfId="5" applyFont="1" applyFill="1" applyBorder="1" applyAlignment="1" applyProtection="1">
      <alignment horizontal="center" vertical="center"/>
      <protection locked="0"/>
    </xf>
    <xf numFmtId="180" fontId="32" fillId="29" borderId="2" xfId="5" applyFont="1" applyFill="1" applyBorder="1" applyAlignment="1" applyProtection="1">
      <alignment horizontal="center" vertical="center"/>
    </xf>
    <xf numFmtId="0" fontId="0" fillId="0" borderId="0" xfId="0" applyFont="1" applyFill="1" applyBorder="1" applyAlignment="1" applyProtection="1">
      <alignment horizontal="left" vertical="center" wrapText="1"/>
      <protection locked="0"/>
    </xf>
    <xf numFmtId="0" fontId="20" fillId="0" borderId="0" xfId="0" applyFont="1" applyFill="1" applyBorder="1"/>
    <xf numFmtId="0" fontId="2" fillId="0" borderId="0" xfId="0" applyFont="1" applyFill="1" applyBorder="1" applyProtection="1">
      <protection locked="0"/>
    </xf>
    <xf numFmtId="0" fontId="23" fillId="0" borderId="0" xfId="0" applyFont="1" applyFill="1" applyBorder="1" applyAlignment="1">
      <alignment horizontal="center" vertical="center"/>
    </xf>
    <xf numFmtId="180" fontId="23" fillId="0" borderId="0" xfId="5" applyFont="1" applyFill="1" applyBorder="1" applyAlignment="1" applyProtection="1">
      <alignment horizontal="center" vertical="center"/>
    </xf>
    <xf numFmtId="184" fontId="23" fillId="0" borderId="0" xfId="2" applyNumberFormat="1" applyFont="1" applyFill="1" applyBorder="1" applyAlignment="1">
      <alignment horizontal="center" vertical="center"/>
    </xf>
    <xf numFmtId="180" fontId="24" fillId="0" borderId="0" xfId="5" applyFont="1" applyFill="1" applyBorder="1" applyAlignment="1" applyProtection="1">
      <alignment horizontal="center" vertical="center"/>
    </xf>
    <xf numFmtId="0" fontId="25" fillId="0" borderId="0" xfId="0" applyFont="1" applyFill="1" applyBorder="1" applyAlignment="1">
      <alignment vertical="center" wrapText="1"/>
    </xf>
    <xf numFmtId="0" fontId="25" fillId="0" borderId="0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 wrapText="1"/>
    </xf>
    <xf numFmtId="0" fontId="27" fillId="0" borderId="0" xfId="0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vertical="center"/>
    </xf>
    <xf numFmtId="185" fontId="0" fillId="0" borderId="0" xfId="0" applyNumberFormat="1" applyFill="1" applyBorder="1"/>
    <xf numFmtId="180" fontId="0" fillId="0" borderId="0" xfId="5" applyFont="1" applyFill="1" applyBorder="1" applyAlignment="1" applyProtection="1"/>
    <xf numFmtId="0" fontId="29" fillId="0" borderId="0" xfId="0" applyFont="1" applyFill="1" applyBorder="1" applyAlignment="1">
      <alignment vertical="center" wrapText="1"/>
    </xf>
    <xf numFmtId="185" fontId="23" fillId="0" borderId="0" xfId="0" applyNumberFormat="1" applyFont="1" applyFill="1" applyBorder="1" applyAlignment="1">
      <alignment horizontal="center"/>
    </xf>
    <xf numFmtId="186" fontId="21" fillId="0" borderId="0" xfId="0" applyNumberFormat="1" applyFont="1" applyFill="1" applyBorder="1" applyAlignment="1">
      <alignment horizontal="center"/>
    </xf>
    <xf numFmtId="0" fontId="23" fillId="0" borderId="0" xfId="0" applyFont="1" applyFill="1" applyBorder="1"/>
    <xf numFmtId="0" fontId="30" fillId="0" borderId="0" xfId="0" applyFont="1" applyFill="1" applyBorder="1"/>
    <xf numFmtId="184" fontId="21" fillId="0" borderId="0" xfId="2" applyNumberFormat="1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26" fillId="0" borderId="0" xfId="0" applyFont="1" applyFill="1" applyBorder="1" applyAlignment="1">
      <alignment horizontal="center"/>
    </xf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0" fontId="26" fillId="0" borderId="0" xfId="0" applyFont="1" applyFill="1" applyBorder="1"/>
    <xf numFmtId="49" fontId="14" fillId="0" borderId="0" xfId="0" applyNumberFormat="1" applyFont="1" applyFill="1" applyBorder="1"/>
    <xf numFmtId="0" fontId="0" fillId="0" borderId="0" xfId="0" applyFill="1" applyBorder="1" applyAlignment="1">
      <alignment horizontal="center" wrapText="1"/>
    </xf>
    <xf numFmtId="0" fontId="0" fillId="0" borderId="0" xfId="0" applyFont="1" applyFill="1" applyBorder="1" applyProtection="1">
      <protection locked="0"/>
    </xf>
    <xf numFmtId="176" fontId="14" fillId="0" borderId="0" xfId="0" applyNumberFormat="1" applyFont="1" applyFill="1" applyBorder="1" applyAlignment="1">
      <alignment horizontal="left"/>
    </xf>
    <xf numFmtId="0" fontId="2" fillId="0" borderId="0" xfId="0" applyFont="1" applyFill="1" applyBorder="1" applyAlignment="1" applyProtection="1">
      <alignment horizontal="center"/>
      <protection locked="0"/>
    </xf>
    <xf numFmtId="3" fontId="0" fillId="0" borderId="0" xfId="0" applyNumberFormat="1" applyFill="1" applyBorder="1" applyProtection="1">
      <protection locked="0"/>
    </xf>
    <xf numFmtId="187" fontId="0" fillId="0" borderId="0" xfId="0" applyNumberFormat="1" applyFill="1" applyBorder="1"/>
    <xf numFmtId="187" fontId="26" fillId="0" borderId="0" xfId="0" applyNumberFormat="1" applyFont="1" applyFill="1" applyBorder="1"/>
    <xf numFmtId="3" fontId="0" fillId="0" borderId="0" xfId="0" applyNumberFormat="1" applyFill="1" applyBorder="1" applyAlignment="1" applyProtection="1">
      <alignment horizontal="right"/>
      <protection locked="0"/>
    </xf>
    <xf numFmtId="0" fontId="35" fillId="3" borderId="0" xfId="0" applyFont="1" applyFill="1" applyBorder="1" applyAlignment="1" applyProtection="1">
      <alignment horizontal="left" vertical="center" indent="4"/>
    </xf>
    <xf numFmtId="172" fontId="32" fillId="4" borderId="21" xfId="2" applyNumberFormat="1" applyFont="1" applyFill="1" applyBorder="1" applyAlignment="1" applyProtection="1">
      <alignment vertical="center"/>
      <protection locked="0"/>
    </xf>
    <xf numFmtId="172" fontId="32" fillId="4" borderId="2" xfId="2" applyNumberFormat="1" applyFont="1" applyFill="1" applyBorder="1" applyAlignment="1" applyProtection="1">
      <alignment vertical="center"/>
      <protection locked="0"/>
    </xf>
    <xf numFmtId="172" fontId="32" fillId="4" borderId="29" xfId="2" applyNumberFormat="1" applyFont="1" applyFill="1" applyBorder="1" applyAlignment="1" applyProtection="1">
      <alignment vertical="center"/>
      <protection locked="0"/>
    </xf>
    <xf numFmtId="172" fontId="32" fillId="8" borderId="21" xfId="2" applyNumberFormat="1" applyFont="1" applyFill="1" applyBorder="1" applyAlignment="1" applyProtection="1">
      <alignment vertical="center"/>
    </xf>
    <xf numFmtId="172" fontId="32" fillId="8" borderId="2" xfId="2" applyNumberFormat="1" applyFont="1" applyFill="1" applyBorder="1" applyAlignment="1" applyProtection="1">
      <alignment vertical="center"/>
    </xf>
    <xf numFmtId="172" fontId="32" fillId="8" borderId="29" xfId="2" applyNumberFormat="1" applyFont="1" applyFill="1" applyBorder="1" applyAlignment="1" applyProtection="1">
      <alignment vertical="center"/>
    </xf>
    <xf numFmtId="172" fontId="0" fillId="0" borderId="0" xfId="2" applyNumberFormat="1" applyFont="1" applyBorder="1" applyAlignment="1" applyProtection="1">
      <alignment horizontal="center"/>
    </xf>
    <xf numFmtId="0" fontId="0" fillId="3" borderId="0" xfId="0" applyFill="1" applyBorder="1" applyProtection="1"/>
    <xf numFmtId="172" fontId="32" fillId="0" borderId="0" xfId="2" applyNumberFormat="1" applyBorder="1" applyProtection="1"/>
    <xf numFmtId="9" fontId="0" fillId="4" borderId="6" xfId="0" applyNumberFormat="1" applyFont="1" applyFill="1" applyBorder="1" applyAlignment="1" applyProtection="1">
      <alignment horizontal="center" vertical="center"/>
      <protection locked="0"/>
    </xf>
    <xf numFmtId="166" fontId="0" fillId="4" borderId="34" xfId="0" applyNumberFormat="1" applyFill="1" applyBorder="1" applyAlignment="1" applyProtection="1">
      <alignment horizontal="center" vertical="center"/>
      <protection locked="0"/>
    </xf>
    <xf numFmtId="181" fontId="0" fillId="0" borderId="33" xfId="0" applyNumberFormat="1" applyBorder="1" applyAlignment="1" applyProtection="1">
      <alignment horizontal="right" vertical="center"/>
    </xf>
    <xf numFmtId="181" fontId="0" fillId="0" borderId="35" xfId="0" applyNumberFormat="1" applyBorder="1" applyAlignment="1" applyProtection="1">
      <alignment horizontal="right" vertical="center"/>
    </xf>
    <xf numFmtId="166" fontId="0" fillId="4" borderId="36" xfId="3" applyFont="1" applyFill="1" applyBorder="1" applyAlignment="1" applyProtection="1">
      <alignment horizontal="center" vertical="center"/>
      <protection locked="0"/>
    </xf>
    <xf numFmtId="166" fontId="0" fillId="26" borderId="35" xfId="0" applyNumberFormat="1" applyFill="1" applyBorder="1" applyAlignment="1" applyProtection="1">
      <alignment horizontal="center" vertical="center"/>
    </xf>
    <xf numFmtId="181" fontId="0" fillId="0" borderId="18" xfId="0" applyNumberFormat="1" applyBorder="1" applyAlignment="1" applyProtection="1">
      <alignment horizontal="right" vertical="center"/>
    </xf>
    <xf numFmtId="181" fontId="0" fillId="0" borderId="19" xfId="0" applyNumberFormat="1" applyBorder="1" applyAlignment="1" applyProtection="1">
      <alignment horizontal="right" vertical="center"/>
    </xf>
    <xf numFmtId="166" fontId="0" fillId="26" borderId="19" xfId="0" applyNumberFormat="1" applyFill="1" applyBorder="1" applyAlignment="1" applyProtection="1">
      <alignment horizontal="center" vertical="center"/>
    </xf>
    <xf numFmtId="167" fontId="2" fillId="0" borderId="0" xfId="0" applyNumberFormat="1" applyFont="1" applyFill="1" applyBorder="1" applyAlignment="1" applyProtection="1">
      <alignment horizontal="center" vertical="center" wrapText="1"/>
    </xf>
    <xf numFmtId="173" fontId="0" fillId="17" borderId="51" xfId="2" applyNumberFormat="1" applyFont="1" applyFill="1" applyBorder="1" applyAlignment="1" applyProtection="1">
      <alignment horizontal="center" vertical="center"/>
      <protection locked="0"/>
    </xf>
    <xf numFmtId="0" fontId="10" fillId="15" borderId="32" xfId="0" applyFont="1" applyFill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 vertical="center"/>
    </xf>
    <xf numFmtId="172" fontId="32" fillId="60" borderId="25" xfId="2" applyNumberFormat="1" applyFill="1" applyBorder="1" applyAlignment="1" applyProtection="1">
      <alignment vertical="center"/>
    </xf>
    <xf numFmtId="172" fontId="0" fillId="15" borderId="5" xfId="2" applyNumberFormat="1" applyFont="1" applyFill="1" applyBorder="1" applyAlignment="1" applyProtection="1">
      <alignment vertical="center"/>
    </xf>
    <xf numFmtId="0" fontId="0" fillId="15" borderId="69" xfId="0" applyFont="1" applyFill="1" applyBorder="1" applyAlignment="1" applyProtection="1">
      <alignment horizontal="left" vertical="center"/>
    </xf>
    <xf numFmtId="172" fontId="0" fillId="15" borderId="32" xfId="2" applyNumberFormat="1" applyFont="1" applyFill="1" applyBorder="1" applyAlignment="1" applyProtection="1">
      <alignment vertical="center"/>
    </xf>
    <xf numFmtId="172" fontId="0" fillId="15" borderId="72" xfId="2" applyNumberFormat="1" applyFont="1" applyFill="1" applyBorder="1" applyAlignment="1" applyProtection="1">
      <alignment vertical="center"/>
    </xf>
    <xf numFmtId="172" fontId="0" fillId="15" borderId="23" xfId="2" applyNumberFormat="1" applyFont="1" applyFill="1" applyBorder="1" applyAlignment="1" applyProtection="1">
      <alignment vertical="center"/>
    </xf>
    <xf numFmtId="172" fontId="0" fillId="15" borderId="30" xfId="2" applyNumberFormat="1" applyFont="1" applyFill="1" applyBorder="1" applyAlignment="1" applyProtection="1">
      <alignment vertical="center"/>
    </xf>
    <xf numFmtId="0" fontId="0" fillId="15" borderId="18" xfId="0" applyFont="1" applyFill="1" applyBorder="1" applyAlignment="1" applyProtection="1">
      <alignment horizontal="left" vertical="center"/>
    </xf>
    <xf numFmtId="172" fontId="0" fillId="15" borderId="19" xfId="2" applyNumberFormat="1" applyFont="1" applyFill="1" applyBorder="1" applyAlignment="1" applyProtection="1">
      <alignment vertical="center"/>
    </xf>
    <xf numFmtId="172" fontId="0" fillId="15" borderId="70" xfId="2" applyNumberFormat="1" applyFont="1" applyFill="1" applyBorder="1" applyAlignment="1" applyProtection="1">
      <alignment vertical="center"/>
    </xf>
    <xf numFmtId="181" fontId="0" fillId="0" borderId="13" xfId="0" applyNumberFormat="1" applyBorder="1" applyAlignment="1" applyProtection="1">
      <alignment horizontal="right" vertical="center"/>
    </xf>
    <xf numFmtId="181" fontId="0" fillId="0" borderId="51" xfId="0" applyNumberFormat="1" applyBorder="1" applyAlignment="1" applyProtection="1">
      <alignment horizontal="right" vertical="center"/>
    </xf>
    <xf numFmtId="181" fontId="0" fillId="0" borderId="58" xfId="0" applyNumberFormat="1" applyBorder="1" applyAlignment="1" applyProtection="1">
      <alignment horizontal="right" vertical="center"/>
    </xf>
    <xf numFmtId="172" fontId="0" fillId="4" borderId="22" xfId="2" applyNumberFormat="1" applyFont="1" applyFill="1" applyBorder="1" applyAlignment="1" applyProtection="1">
      <alignment vertical="center"/>
      <protection locked="0"/>
    </xf>
    <xf numFmtId="172" fontId="0" fillId="4" borderId="4" xfId="2" applyNumberFormat="1" applyFont="1" applyFill="1" applyBorder="1" applyAlignment="1" applyProtection="1">
      <alignment vertical="center"/>
      <protection locked="0"/>
    </xf>
    <xf numFmtId="172" fontId="0" fillId="4" borderId="28" xfId="2" applyNumberFormat="1" applyFont="1" applyFill="1" applyBorder="1" applyAlignment="1" applyProtection="1">
      <alignment vertical="center"/>
      <protection locked="0"/>
    </xf>
    <xf numFmtId="172" fontId="0" fillId="4" borderId="22" xfId="2" applyNumberFormat="1" applyFont="1" applyFill="1" applyBorder="1" applyAlignment="1" applyProtection="1">
      <alignment vertical="center"/>
    </xf>
    <xf numFmtId="172" fontId="0" fillId="4" borderId="4" xfId="2" applyNumberFormat="1" applyFont="1" applyFill="1" applyBorder="1" applyAlignment="1" applyProtection="1">
      <alignment vertical="center"/>
    </xf>
    <xf numFmtId="172" fontId="0" fillId="4" borderId="28" xfId="2" applyNumberFormat="1" applyFont="1" applyFill="1" applyBorder="1" applyAlignment="1" applyProtection="1">
      <alignment vertical="center"/>
    </xf>
    <xf numFmtId="172" fontId="0" fillId="61" borderId="12" xfId="2" applyNumberFormat="1" applyFont="1" applyFill="1" applyBorder="1" applyAlignment="1" applyProtection="1">
      <alignment vertical="center"/>
    </xf>
    <xf numFmtId="172" fontId="0" fillId="61" borderId="50" xfId="2" applyNumberFormat="1" applyFont="1" applyFill="1" applyBorder="1" applyAlignment="1" applyProtection="1">
      <alignment vertical="center"/>
    </xf>
    <xf numFmtId="172" fontId="0" fillId="61" borderId="63" xfId="2" applyNumberFormat="1" applyFont="1" applyFill="1" applyBorder="1" applyAlignment="1" applyProtection="1">
      <alignment vertical="center"/>
    </xf>
    <xf numFmtId="0" fontId="2" fillId="5" borderId="18" xfId="0" applyFont="1" applyFill="1" applyBorder="1" applyAlignment="1" applyProtection="1">
      <alignment horizontal="center" vertical="center" wrapText="1"/>
    </xf>
    <xf numFmtId="167" fontId="0" fillId="4" borderId="4" xfId="2" applyNumberFormat="1" applyFont="1" applyFill="1" applyBorder="1" applyAlignment="1" applyProtection="1">
      <alignment vertical="center"/>
      <protection locked="0"/>
    </xf>
    <xf numFmtId="167" fontId="0" fillId="4" borderId="28" xfId="2" applyNumberFormat="1" applyFont="1" applyFill="1" applyBorder="1" applyAlignment="1" applyProtection="1">
      <alignment vertical="center"/>
      <protection locked="0"/>
    </xf>
    <xf numFmtId="167" fontId="0" fillId="8" borderId="51" xfId="2" applyNumberFormat="1" applyFont="1" applyFill="1" applyBorder="1" applyAlignment="1" applyProtection="1">
      <alignment vertical="center"/>
    </xf>
    <xf numFmtId="167" fontId="0" fillId="8" borderId="48" xfId="2" applyNumberFormat="1" applyFont="1" applyFill="1" applyBorder="1" applyAlignment="1" applyProtection="1">
      <alignment vertical="center"/>
    </xf>
    <xf numFmtId="167" fontId="0" fillId="24" borderId="51" xfId="2" applyNumberFormat="1" applyFont="1" applyFill="1" applyBorder="1" applyAlignment="1" applyProtection="1">
      <alignment vertical="center"/>
    </xf>
    <xf numFmtId="167" fontId="0" fillId="8" borderId="58" xfId="2" applyNumberFormat="1" applyFont="1" applyFill="1" applyBorder="1" applyAlignment="1" applyProtection="1">
      <alignment vertical="center"/>
    </xf>
    <xf numFmtId="172" fontId="0" fillId="61" borderId="13" xfId="2" applyNumberFormat="1" applyFont="1" applyFill="1" applyBorder="1" applyAlignment="1" applyProtection="1">
      <alignment vertical="center"/>
    </xf>
    <xf numFmtId="172" fontId="0" fillId="61" borderId="51" xfId="2" applyNumberFormat="1" applyFont="1" applyFill="1" applyBorder="1" applyAlignment="1" applyProtection="1">
      <alignment vertical="center"/>
    </xf>
    <xf numFmtId="172" fontId="0" fillId="61" borderId="58" xfId="2" applyNumberFormat="1" applyFont="1" applyFill="1" applyBorder="1" applyAlignment="1" applyProtection="1">
      <alignment vertical="center"/>
    </xf>
    <xf numFmtId="183" fontId="22" fillId="0" borderId="0" xfId="0" applyNumberFormat="1" applyFont="1" applyFill="1" applyBorder="1" applyAlignment="1">
      <alignment horizontal="right" vertical="center" wrapText="1"/>
    </xf>
    <xf numFmtId="6" fontId="23" fillId="0" borderId="0" xfId="0" applyNumberFormat="1" applyFont="1" applyFill="1" applyBorder="1" applyAlignment="1">
      <alignment horizontal="center"/>
    </xf>
    <xf numFmtId="0" fontId="7" fillId="62" borderId="0" xfId="0" applyFont="1" applyFill="1" applyBorder="1" applyAlignment="1" applyProtection="1">
      <alignment horizontal="center" vertical="center"/>
      <protection locked="0"/>
    </xf>
    <xf numFmtId="0" fontId="0" fillId="58" borderId="0" xfId="0" applyFill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2" xfId="0" applyFont="1" applyBorder="1"/>
    <xf numFmtId="0" fontId="37" fillId="0" borderId="18" xfId="0" applyFont="1" applyBorder="1" applyAlignment="1">
      <alignment horizontal="center"/>
    </xf>
    <xf numFmtId="0" fontId="37" fillId="0" borderId="2" xfId="0" applyFont="1" applyBorder="1" applyAlignment="1">
      <alignment horizontal="center"/>
    </xf>
    <xf numFmtId="0" fontId="37" fillId="0" borderId="0" xfId="0" applyFont="1" applyProtection="1">
      <protection locked="0"/>
    </xf>
    <xf numFmtId="0" fontId="38" fillId="62" borderId="0" xfId="0" applyFont="1" applyFill="1" applyBorder="1" applyAlignment="1" applyProtection="1">
      <alignment horizontal="center" vertical="center"/>
      <protection locked="0"/>
    </xf>
    <xf numFmtId="0" fontId="37" fillId="0" borderId="55" xfId="0" applyFont="1" applyBorder="1" applyAlignment="1">
      <alignment horizontal="center"/>
    </xf>
    <xf numFmtId="0" fontId="37" fillId="0" borderId="2" xfId="0" applyFont="1" applyBorder="1"/>
    <xf numFmtId="0" fontId="37" fillId="0" borderId="33" xfId="0" applyFont="1" applyBorder="1" applyAlignment="1">
      <alignment horizontal="center"/>
    </xf>
    <xf numFmtId="187" fontId="37" fillId="0" borderId="2" xfId="0" applyNumberFormat="1" applyFont="1" applyBorder="1"/>
    <xf numFmtId="187" fontId="21" fillId="0" borderId="2" xfId="0" applyNumberFormat="1" applyFont="1" applyBorder="1"/>
    <xf numFmtId="0" fontId="21" fillId="0" borderId="0" xfId="0" applyFont="1"/>
    <xf numFmtId="0" fontId="21" fillId="0" borderId="2" xfId="0" applyFont="1" applyBorder="1" applyAlignment="1">
      <alignment horizontal="center"/>
    </xf>
    <xf numFmtId="0" fontId="21" fillId="0" borderId="2" xfId="0" applyFont="1" applyBorder="1"/>
    <xf numFmtId="0" fontId="38" fillId="0" borderId="0" xfId="0" applyFont="1" applyBorder="1" applyAlignment="1" applyProtection="1">
      <alignment horizontal="right" vertical="center"/>
      <protection locked="0"/>
    </xf>
    <xf numFmtId="0" fontId="39" fillId="0" borderId="0" xfId="0" applyFont="1" applyProtection="1">
      <protection locked="0"/>
    </xf>
    <xf numFmtId="0" fontId="0" fillId="0" borderId="8" xfId="0" applyBorder="1"/>
    <xf numFmtId="0" fontId="0" fillId="0" borderId="8" xfId="0" applyBorder="1" applyAlignment="1">
      <alignment horizontal="center"/>
    </xf>
    <xf numFmtId="0" fontId="0" fillId="0" borderId="2" xfId="0" applyBorder="1"/>
    <xf numFmtId="0" fontId="0" fillId="0" borderId="54" xfId="0" applyBorder="1"/>
    <xf numFmtId="0" fontId="0" fillId="0" borderId="54" xfId="0" applyBorder="1" applyAlignment="1">
      <alignment horizontal="center"/>
    </xf>
    <xf numFmtId="0" fontId="0" fillId="58" borderId="0" xfId="0" applyFill="1" applyBorder="1" applyProtection="1">
      <protection locked="0"/>
    </xf>
    <xf numFmtId="0" fontId="0" fillId="58" borderId="0" xfId="0" applyFont="1" applyFill="1" applyBorder="1"/>
    <xf numFmtId="0" fontId="37" fillId="0" borderId="41" xfId="0" applyFont="1" applyBorder="1" applyAlignment="1">
      <alignment horizontal="center" vertical="center" wrapText="1"/>
    </xf>
    <xf numFmtId="0" fontId="37" fillId="0" borderId="41" xfId="0" applyFont="1" applyBorder="1" applyAlignment="1">
      <alignment horizontal="center"/>
    </xf>
    <xf numFmtId="0" fontId="37" fillId="0" borderId="44" xfId="0" applyFont="1" applyBorder="1" applyAlignment="1">
      <alignment horizontal="center"/>
    </xf>
    <xf numFmtId="0" fontId="37" fillId="0" borderId="42" xfId="0" applyFont="1" applyBorder="1" applyAlignment="1">
      <alignment horizontal="center"/>
    </xf>
    <xf numFmtId="0" fontId="37" fillId="0" borderId="40" xfId="0" applyFont="1" applyBorder="1" applyAlignment="1">
      <alignment horizontal="center"/>
    </xf>
    <xf numFmtId="0" fontId="37" fillId="0" borderId="39" xfId="0" applyFont="1" applyBorder="1" applyProtection="1">
      <protection locked="0"/>
    </xf>
    <xf numFmtId="0" fontId="21" fillId="63" borderId="0" xfId="0" applyFont="1" applyFill="1" applyBorder="1" applyAlignment="1">
      <alignment horizontal="center"/>
    </xf>
    <xf numFmtId="0" fontId="21" fillId="62" borderId="0" xfId="0" applyFont="1" applyFill="1" applyBorder="1" applyAlignment="1">
      <alignment horizontal="center" vertical="center"/>
    </xf>
    <xf numFmtId="180" fontId="21" fillId="62" borderId="0" xfId="5" applyFont="1" applyFill="1" applyBorder="1" applyAlignment="1" applyProtection="1">
      <alignment horizontal="center" vertical="center"/>
    </xf>
    <xf numFmtId="0" fontId="21" fillId="58" borderId="0" xfId="0" applyFont="1" applyFill="1" applyBorder="1" applyAlignment="1">
      <alignment horizontal="left" vertical="center" wrapText="1"/>
    </xf>
    <xf numFmtId="183" fontId="22" fillId="58" borderId="0" xfId="0" applyNumberFormat="1" applyFont="1" applyFill="1" applyBorder="1" applyAlignment="1">
      <alignment horizontal="left" vertical="center" wrapText="1"/>
    </xf>
    <xf numFmtId="184" fontId="23" fillId="58" borderId="0" xfId="2" applyNumberFormat="1" applyFont="1" applyFill="1" applyBorder="1" applyAlignment="1">
      <alignment horizontal="center" vertical="center"/>
    </xf>
    <xf numFmtId="180" fontId="24" fillId="58" borderId="0" xfId="5" applyFont="1" applyFill="1" applyBorder="1" applyAlignment="1" applyProtection="1">
      <alignment horizontal="center" vertical="center"/>
    </xf>
    <xf numFmtId="185" fontId="23" fillId="58" borderId="0" xfId="0" applyNumberFormat="1" applyFont="1" applyFill="1" applyBorder="1" applyAlignment="1">
      <alignment horizontal="center" vertical="center"/>
    </xf>
    <xf numFmtId="0" fontId="23" fillId="58" borderId="0" xfId="0" applyFont="1" applyFill="1" applyBorder="1" applyAlignment="1">
      <alignment horizontal="center"/>
    </xf>
    <xf numFmtId="180" fontId="23" fillId="58" borderId="0" xfId="5" applyFont="1" applyFill="1" applyBorder="1" applyAlignment="1" applyProtection="1">
      <alignment horizontal="center"/>
    </xf>
    <xf numFmtId="184" fontId="23" fillId="58" borderId="0" xfId="2" applyNumberFormat="1" applyFont="1" applyFill="1" applyBorder="1" applyAlignment="1">
      <alignment horizontal="center"/>
    </xf>
    <xf numFmtId="180" fontId="24" fillId="58" borderId="0" xfId="5" applyFont="1" applyFill="1" applyBorder="1" applyAlignment="1" applyProtection="1">
      <alignment horizontal="center"/>
    </xf>
    <xf numFmtId="183" fontId="22" fillId="58" borderId="0" xfId="0" applyNumberFormat="1" applyFont="1" applyFill="1" applyBorder="1" applyAlignment="1">
      <alignment horizontal="center" vertical="center" wrapText="1"/>
    </xf>
    <xf numFmtId="0" fontId="23" fillId="58" borderId="0" xfId="0" applyFont="1" applyFill="1" applyBorder="1"/>
    <xf numFmtId="185" fontId="23" fillId="58" borderId="0" xfId="0" applyNumberFormat="1" applyFont="1" applyFill="1" applyBorder="1" applyAlignment="1">
      <alignment horizontal="center"/>
    </xf>
    <xf numFmtId="3" fontId="23" fillId="58" borderId="0" xfId="0" applyNumberFormat="1" applyFont="1" applyFill="1" applyBorder="1" applyAlignment="1">
      <alignment horizontal="center"/>
    </xf>
    <xf numFmtId="184" fontId="21" fillId="58" borderId="0" xfId="2" applyNumberFormat="1" applyFont="1" applyFill="1" applyBorder="1" applyAlignment="1">
      <alignment horizontal="center"/>
    </xf>
    <xf numFmtId="0" fontId="21" fillId="58" borderId="0" xfId="0" applyFont="1" applyFill="1" applyBorder="1" applyAlignment="1">
      <alignment vertical="center" wrapText="1"/>
    </xf>
    <xf numFmtId="0" fontId="40" fillId="58" borderId="0" xfId="0" applyFont="1" applyFill="1" applyBorder="1" applyAlignment="1">
      <alignment horizontal="center" vertical="center"/>
    </xf>
    <xf numFmtId="0" fontId="0" fillId="58" borderId="0" xfId="0" applyFont="1" applyFill="1" applyBorder="1" applyAlignment="1">
      <alignment vertical="center" wrapText="1"/>
    </xf>
    <xf numFmtId="188" fontId="42" fillId="58" borderId="0" xfId="0" applyNumberFormat="1" applyFont="1" applyFill="1" applyBorder="1" applyAlignment="1">
      <alignment horizontal="left" vertical="center" wrapText="1"/>
    </xf>
    <xf numFmtId="0" fontId="36" fillId="58" borderId="0" xfId="0" applyFont="1" applyFill="1" applyBorder="1" applyAlignment="1">
      <alignment horizontal="left" wrapText="1"/>
    </xf>
    <xf numFmtId="0" fontId="36" fillId="58" borderId="0" xfId="0" applyFont="1" applyFill="1" applyBorder="1" applyAlignment="1">
      <alignment horizontal="left"/>
    </xf>
    <xf numFmtId="0" fontId="0" fillId="58" borderId="0" xfId="0" applyFont="1" applyFill="1" applyBorder="1" applyAlignment="1" applyProtection="1">
      <alignment horizontal="left" vertical="center" wrapText="1"/>
      <protection locked="0"/>
    </xf>
    <xf numFmtId="0" fontId="20" fillId="58" borderId="0" xfId="0" applyFont="1" applyFill="1" applyBorder="1"/>
    <xf numFmtId="0" fontId="21" fillId="58" borderId="0" xfId="0" applyFont="1" applyFill="1" applyBorder="1" applyAlignment="1">
      <alignment horizontal="center"/>
    </xf>
    <xf numFmtId="0" fontId="21" fillId="58" borderId="0" xfId="0" applyFont="1" applyFill="1" applyBorder="1" applyAlignment="1">
      <alignment horizontal="left" wrapText="1"/>
    </xf>
    <xf numFmtId="0" fontId="29" fillId="62" borderId="0" xfId="0" applyFont="1" applyFill="1" applyBorder="1" applyAlignment="1">
      <alignment vertical="center" wrapText="1"/>
    </xf>
    <xf numFmtId="0" fontId="25" fillId="62" borderId="0" xfId="0" applyFont="1" applyFill="1" applyBorder="1" applyAlignment="1">
      <alignment vertical="center" wrapText="1"/>
    </xf>
    <xf numFmtId="0" fontId="26" fillId="62" borderId="0" xfId="0" applyFont="1" applyFill="1" applyBorder="1" applyAlignment="1">
      <alignment horizontal="center" vertical="center" wrapText="1"/>
    </xf>
    <xf numFmtId="0" fontId="2" fillId="58" borderId="0" xfId="0" applyFont="1" applyFill="1" applyBorder="1" applyProtection="1">
      <protection locked="0"/>
    </xf>
    <xf numFmtId="0" fontId="25" fillId="65" borderId="0" xfId="0" applyFont="1" applyFill="1" applyBorder="1" applyAlignment="1">
      <alignment vertical="center" wrapText="1"/>
    </xf>
    <xf numFmtId="0" fontId="25" fillId="65" borderId="0" xfId="0" applyFont="1" applyFill="1" applyBorder="1" applyAlignment="1">
      <alignment horizontal="center" vertical="center" wrapText="1"/>
    </xf>
    <xf numFmtId="0" fontId="26" fillId="65" borderId="0" xfId="0" applyFont="1" applyFill="1" applyBorder="1" applyAlignment="1">
      <alignment horizontal="center" vertical="center" wrapText="1"/>
    </xf>
    <xf numFmtId="0" fontId="28" fillId="58" borderId="0" xfId="0" applyFont="1" applyFill="1" applyBorder="1" applyAlignment="1">
      <alignment vertical="center"/>
    </xf>
    <xf numFmtId="0" fontId="0" fillId="58" borderId="2" xfId="0" applyFont="1" applyFill="1" applyBorder="1"/>
    <xf numFmtId="0" fontId="26" fillId="62" borderId="54" xfId="0" applyFont="1" applyFill="1" applyBorder="1" applyAlignment="1">
      <alignment horizontal="center"/>
    </xf>
    <xf numFmtId="0" fontId="0" fillId="58" borderId="54" xfId="0" applyFill="1" applyBorder="1"/>
    <xf numFmtId="0" fontId="26" fillId="62" borderId="8" xfId="0" applyFont="1" applyFill="1" applyBorder="1" applyAlignment="1">
      <alignment horizontal="center"/>
    </xf>
    <xf numFmtId="0" fontId="26" fillId="62" borderId="2" xfId="0" applyFont="1" applyFill="1" applyBorder="1" applyAlignment="1">
      <alignment horizontal="center"/>
    </xf>
    <xf numFmtId="0" fontId="2" fillId="62" borderId="2" xfId="0" applyFont="1" applyFill="1" applyBorder="1" applyAlignment="1">
      <alignment horizontal="center"/>
    </xf>
    <xf numFmtId="0" fontId="25" fillId="0" borderId="0" xfId="0" applyFont="1" applyFill="1" applyBorder="1" applyAlignment="1">
      <alignment vertical="center" wrapText="1"/>
    </xf>
    <xf numFmtId="0" fontId="44" fillId="0" borderId="0" xfId="0" applyFont="1" applyProtection="1">
      <protection locked="0"/>
    </xf>
    <xf numFmtId="0" fontId="21" fillId="15" borderId="2" xfId="0" applyFont="1" applyFill="1" applyBorder="1" applyAlignment="1">
      <alignment horizontal="center"/>
    </xf>
    <xf numFmtId="0" fontId="21" fillId="15" borderId="6" xfId="0" applyFont="1" applyFill="1" applyBorder="1" applyAlignment="1">
      <alignment horizontal="left" wrapText="1"/>
    </xf>
    <xf numFmtId="0" fontId="21" fillId="15" borderId="6" xfId="0" applyFont="1" applyFill="1" applyBorder="1" applyAlignment="1">
      <alignment horizontal="center"/>
    </xf>
    <xf numFmtId="0" fontId="21" fillId="8" borderId="6" xfId="0" applyFont="1" applyFill="1" applyBorder="1" applyAlignment="1">
      <alignment horizontal="center"/>
    </xf>
    <xf numFmtId="0" fontId="21" fillId="66" borderId="6" xfId="0" applyFont="1" applyFill="1" applyBorder="1" applyAlignment="1">
      <alignment horizontal="center" vertical="center"/>
    </xf>
    <xf numFmtId="180" fontId="21" fillId="66" borderId="6" xfId="0" applyNumberFormat="1" applyFont="1" applyFill="1" applyBorder="1" applyAlignment="1">
      <alignment horizontal="center" vertical="center"/>
    </xf>
    <xf numFmtId="0" fontId="21" fillId="0" borderId="36" xfId="0" applyFont="1" applyBorder="1" applyAlignment="1">
      <alignment horizontal="left" vertical="center" wrapText="1"/>
    </xf>
    <xf numFmtId="183" fontId="22" fillId="0" borderId="36" xfId="0" applyNumberFormat="1" applyFont="1" applyBorder="1" applyAlignment="1">
      <alignment horizontal="left" vertical="center" wrapText="1"/>
    </xf>
    <xf numFmtId="0" fontId="23" fillId="0" borderId="36" xfId="0" applyFont="1" applyBorder="1" applyAlignment="1">
      <alignment horizontal="center" vertical="center"/>
    </xf>
    <xf numFmtId="180" fontId="23" fillId="0" borderId="36" xfId="0" applyNumberFormat="1" applyFont="1" applyBorder="1" applyAlignment="1">
      <alignment horizontal="center" vertical="center"/>
    </xf>
    <xf numFmtId="0" fontId="23" fillId="0" borderId="0" xfId="0" applyFont="1"/>
    <xf numFmtId="184" fontId="23" fillId="0" borderId="36" xfId="0" applyNumberFormat="1" applyFont="1" applyBorder="1" applyAlignment="1">
      <alignment horizontal="center" vertical="center"/>
    </xf>
    <xf numFmtId="180" fontId="24" fillId="0" borderId="36" xfId="0" applyNumberFormat="1" applyFont="1" applyBorder="1" applyAlignment="1">
      <alignment horizontal="center" vertical="center"/>
    </xf>
    <xf numFmtId="185" fontId="23" fillId="0" borderId="36" xfId="0" applyNumberFormat="1" applyFont="1" applyBorder="1" applyAlignment="1">
      <alignment horizontal="center" vertical="center"/>
    </xf>
    <xf numFmtId="0" fontId="23" fillId="0" borderId="36" xfId="0" applyFont="1" applyBorder="1" applyAlignment="1">
      <alignment horizontal="center"/>
    </xf>
    <xf numFmtId="180" fontId="23" fillId="0" borderId="36" xfId="0" applyNumberFormat="1" applyFont="1" applyBorder="1" applyAlignment="1">
      <alignment horizontal="center"/>
    </xf>
    <xf numFmtId="184" fontId="23" fillId="0" borderId="36" xfId="0" applyNumberFormat="1" applyFont="1" applyBorder="1" applyAlignment="1">
      <alignment horizontal="center"/>
    </xf>
    <xf numFmtId="180" fontId="24" fillId="0" borderId="36" xfId="0" applyNumberFormat="1" applyFont="1" applyBorder="1" applyAlignment="1">
      <alignment horizontal="center"/>
    </xf>
    <xf numFmtId="183" fontId="22" fillId="0" borderId="36" xfId="0" applyNumberFormat="1" applyFont="1" applyBorder="1" applyAlignment="1">
      <alignment horizontal="center" vertical="center" wrapText="1"/>
    </xf>
    <xf numFmtId="0" fontId="23" fillId="0" borderId="8" xfId="0" applyFont="1" applyBorder="1" applyAlignment="1">
      <alignment horizontal="center"/>
    </xf>
    <xf numFmtId="185" fontId="23" fillId="0" borderId="36" xfId="0" applyNumberFormat="1" applyFont="1" applyBorder="1" applyAlignment="1">
      <alignment horizontal="center"/>
    </xf>
    <xf numFmtId="3" fontId="23" fillId="0" borderId="8" xfId="0" applyNumberFormat="1" applyFont="1" applyBorder="1" applyAlignment="1">
      <alignment horizontal="center"/>
    </xf>
    <xf numFmtId="184" fontId="21" fillId="0" borderId="36" xfId="0" applyNumberFormat="1" applyFont="1" applyBorder="1" applyAlignment="1">
      <alignment horizontal="center"/>
    </xf>
    <xf numFmtId="0" fontId="21" fillId="15" borderId="2" xfId="0" applyFont="1" applyFill="1" applyBorder="1" applyAlignment="1">
      <alignment horizontal="left" wrapText="1"/>
    </xf>
    <xf numFmtId="0" fontId="21" fillId="8" borderId="2" xfId="0" applyFont="1" applyFill="1" applyBorder="1" applyAlignment="1">
      <alignment horizontal="center"/>
    </xf>
    <xf numFmtId="0" fontId="21" fillId="66" borderId="2" xfId="0" applyFont="1" applyFill="1" applyBorder="1" applyAlignment="1">
      <alignment horizontal="center" vertical="center"/>
    </xf>
    <xf numFmtId="180" fontId="21" fillId="66" borderId="2" xfId="5" applyFont="1" applyFill="1" applyBorder="1" applyAlignment="1" applyProtection="1">
      <alignment horizontal="center" vertical="center"/>
    </xf>
    <xf numFmtId="0" fontId="21" fillId="0" borderId="2" xfId="0" applyFont="1" applyBorder="1" applyAlignment="1">
      <alignment horizontal="left" vertical="center" wrapText="1"/>
    </xf>
    <xf numFmtId="183" fontId="22" fillId="0" borderId="2" xfId="0" applyNumberFormat="1" applyFont="1" applyBorder="1" applyAlignment="1">
      <alignment horizontal="left" vertical="center" wrapText="1"/>
    </xf>
    <xf numFmtId="185" fontId="23" fillId="0" borderId="2" xfId="0" applyNumberFormat="1" applyFont="1" applyBorder="1" applyAlignment="1">
      <alignment horizontal="center" vertical="center"/>
    </xf>
    <xf numFmtId="0" fontId="23" fillId="0" borderId="2" xfId="0" applyFont="1" applyBorder="1" applyAlignment="1">
      <alignment horizontal="center"/>
    </xf>
    <xf numFmtId="180" fontId="23" fillId="0" borderId="2" xfId="5" applyFont="1" applyBorder="1" applyAlignment="1" applyProtection="1">
      <alignment horizontal="center"/>
    </xf>
    <xf numFmtId="184" fontId="23" fillId="0" borderId="2" xfId="2" applyNumberFormat="1" applyFont="1" applyBorder="1" applyAlignment="1">
      <alignment horizontal="center"/>
    </xf>
    <xf numFmtId="180" fontId="24" fillId="0" borderId="2" xfId="5" applyFont="1" applyBorder="1" applyAlignment="1" applyProtection="1">
      <alignment horizontal="center"/>
    </xf>
    <xf numFmtId="183" fontId="22" fillId="0" borderId="2" xfId="0" applyNumberFormat="1" applyFont="1" applyBorder="1" applyAlignment="1">
      <alignment horizontal="center" vertical="center" wrapText="1"/>
    </xf>
    <xf numFmtId="185" fontId="23" fillId="0" borderId="2" xfId="0" applyNumberFormat="1" applyFont="1" applyBorder="1" applyAlignment="1">
      <alignment horizontal="center"/>
    </xf>
    <xf numFmtId="3" fontId="23" fillId="0" borderId="2" xfId="0" applyNumberFormat="1" applyFont="1" applyBorder="1" applyAlignment="1">
      <alignment horizontal="center"/>
    </xf>
    <xf numFmtId="186" fontId="21" fillId="0" borderId="2" xfId="0" applyNumberFormat="1" applyFont="1" applyBorder="1" applyAlignment="1">
      <alignment horizontal="center"/>
    </xf>
    <xf numFmtId="183" fontId="22" fillId="62" borderId="2" xfId="0" applyNumberFormat="1" applyFont="1" applyFill="1" applyBorder="1" applyAlignment="1">
      <alignment horizontal="left" vertical="center" wrapText="1"/>
    </xf>
    <xf numFmtId="0" fontId="23" fillId="62" borderId="2" xfId="0" applyFont="1" applyFill="1" applyBorder="1" applyAlignment="1">
      <alignment horizontal="center"/>
    </xf>
    <xf numFmtId="180" fontId="23" fillId="62" borderId="2" xfId="5" applyFont="1" applyFill="1" applyBorder="1" applyAlignment="1" applyProtection="1">
      <alignment horizontal="center"/>
    </xf>
    <xf numFmtId="184" fontId="23" fillId="62" borderId="2" xfId="2" applyNumberFormat="1" applyFont="1" applyFill="1" applyBorder="1" applyAlignment="1">
      <alignment horizontal="center"/>
    </xf>
    <xf numFmtId="180" fontId="24" fillId="62" borderId="2" xfId="5" applyFont="1" applyFill="1" applyBorder="1" applyAlignment="1" applyProtection="1">
      <alignment horizontal="center"/>
    </xf>
    <xf numFmtId="185" fontId="23" fillId="62" borderId="2" xfId="0" applyNumberFormat="1" applyFont="1" applyFill="1" applyBorder="1" applyAlignment="1">
      <alignment horizontal="center" vertical="center"/>
    </xf>
    <xf numFmtId="183" fontId="22" fillId="62" borderId="2" xfId="0" applyNumberFormat="1" applyFont="1" applyFill="1" applyBorder="1" applyAlignment="1">
      <alignment horizontal="center" vertical="center" wrapText="1"/>
    </xf>
    <xf numFmtId="183" fontId="22" fillId="58" borderId="2" xfId="0" applyNumberFormat="1" applyFont="1" applyFill="1" applyBorder="1" applyAlignment="1">
      <alignment horizontal="left" vertical="center" wrapText="1"/>
    </xf>
    <xf numFmtId="183" fontId="22" fillId="58" borderId="2" xfId="0" applyNumberFormat="1" applyFont="1" applyFill="1" applyBorder="1" applyAlignment="1">
      <alignment horizontal="center" vertical="center" wrapText="1"/>
    </xf>
    <xf numFmtId="0" fontId="23" fillId="58" borderId="2" xfId="0" applyFont="1" applyFill="1" applyBorder="1" applyAlignment="1">
      <alignment horizontal="center"/>
    </xf>
    <xf numFmtId="180" fontId="23" fillId="58" borderId="2" xfId="5" applyFont="1" applyFill="1" applyBorder="1" applyAlignment="1" applyProtection="1">
      <alignment horizontal="center"/>
    </xf>
    <xf numFmtId="184" fontId="23" fillId="58" borderId="2" xfId="2" applyNumberFormat="1" applyFont="1" applyFill="1" applyBorder="1" applyAlignment="1">
      <alignment horizontal="center"/>
    </xf>
    <xf numFmtId="180" fontId="24" fillId="58" borderId="2" xfId="5" applyFont="1" applyFill="1" applyBorder="1" applyAlignment="1" applyProtection="1">
      <alignment horizontal="center"/>
    </xf>
    <xf numFmtId="185" fontId="23" fillId="58" borderId="2" xfId="0" applyNumberFormat="1" applyFont="1" applyFill="1" applyBorder="1" applyAlignment="1">
      <alignment horizontal="center" vertical="center"/>
    </xf>
    <xf numFmtId="183" fontId="22" fillId="62" borderId="36" xfId="0" applyNumberFormat="1" applyFont="1" applyFill="1" applyBorder="1" applyAlignment="1">
      <alignment horizontal="left" vertical="center" wrapText="1"/>
    </xf>
    <xf numFmtId="0" fontId="23" fillId="62" borderId="36" xfId="0" applyFont="1" applyFill="1" applyBorder="1" applyAlignment="1">
      <alignment horizontal="center"/>
    </xf>
    <xf numFmtId="180" fontId="23" fillId="62" borderId="36" xfId="0" applyNumberFormat="1" applyFont="1" applyFill="1" applyBorder="1" applyAlignment="1">
      <alignment horizontal="center"/>
    </xf>
    <xf numFmtId="184" fontId="23" fillId="62" borderId="36" xfId="0" applyNumberFormat="1" applyFont="1" applyFill="1" applyBorder="1" applyAlignment="1">
      <alignment horizontal="center"/>
    </xf>
    <xf numFmtId="180" fontId="24" fillId="62" borderId="36" xfId="0" applyNumberFormat="1" applyFont="1" applyFill="1" applyBorder="1" applyAlignment="1">
      <alignment horizontal="center"/>
    </xf>
    <xf numFmtId="185" fontId="23" fillId="62" borderId="36" xfId="0" applyNumberFormat="1" applyFont="1" applyFill="1" applyBorder="1" applyAlignment="1">
      <alignment horizontal="center" vertical="center"/>
    </xf>
    <xf numFmtId="183" fontId="22" fillId="62" borderId="36" xfId="0" applyNumberFormat="1" applyFont="1" applyFill="1" applyBorder="1" applyAlignment="1">
      <alignment horizontal="center" vertical="center" wrapText="1"/>
    </xf>
    <xf numFmtId="183" fontId="22" fillId="58" borderId="36" xfId="0" applyNumberFormat="1" applyFont="1" applyFill="1" applyBorder="1" applyAlignment="1">
      <alignment horizontal="left" vertical="center" wrapText="1"/>
    </xf>
    <xf numFmtId="183" fontId="22" fillId="58" borderId="36" xfId="0" applyNumberFormat="1" applyFont="1" applyFill="1" applyBorder="1" applyAlignment="1">
      <alignment horizontal="center" vertical="center" wrapText="1"/>
    </xf>
    <xf numFmtId="0" fontId="23" fillId="58" borderId="36" xfId="0" applyFont="1" applyFill="1" applyBorder="1" applyAlignment="1">
      <alignment horizontal="center"/>
    </xf>
    <xf numFmtId="180" fontId="23" fillId="58" borderId="36" xfId="0" applyNumberFormat="1" applyFont="1" applyFill="1" applyBorder="1" applyAlignment="1">
      <alignment horizontal="center"/>
    </xf>
    <xf numFmtId="184" fontId="23" fillId="58" borderId="36" xfId="0" applyNumberFormat="1" applyFont="1" applyFill="1" applyBorder="1" applyAlignment="1">
      <alignment horizontal="center"/>
    </xf>
    <xf numFmtId="180" fontId="24" fillId="58" borderId="36" xfId="0" applyNumberFormat="1" applyFont="1" applyFill="1" applyBorder="1" applyAlignment="1">
      <alignment horizontal="center"/>
    </xf>
    <xf numFmtId="185" fontId="23" fillId="58" borderId="36" xfId="0" applyNumberFormat="1" applyFont="1" applyFill="1" applyBorder="1" applyAlignment="1">
      <alignment horizontal="center" vertical="center"/>
    </xf>
    <xf numFmtId="185" fontId="23" fillId="0" borderId="2" xfId="0" applyNumberFormat="1" applyFont="1" applyBorder="1" applyAlignment="1">
      <alignment horizontal="right"/>
    </xf>
    <xf numFmtId="0" fontId="44" fillId="0" borderId="0" xfId="0" applyFont="1" applyAlignment="1" applyProtection="1">
      <alignment horizontal="center"/>
      <protection locked="0"/>
    </xf>
    <xf numFmtId="0" fontId="10" fillId="62" borderId="0" xfId="0" applyFont="1" applyFill="1" applyBorder="1" applyAlignment="1" applyProtection="1">
      <alignment horizontal="center" vertical="center"/>
      <protection locked="0"/>
    </xf>
    <xf numFmtId="6" fontId="0" fillId="58" borderId="0" xfId="0" applyNumberFormat="1" applyFill="1" applyBorder="1" applyProtection="1">
      <protection locked="0"/>
    </xf>
    <xf numFmtId="0" fontId="44" fillId="58" borderId="0" xfId="0" applyFont="1" applyFill="1" applyBorder="1" applyProtection="1">
      <protection locked="0"/>
    </xf>
    <xf numFmtId="0" fontId="36" fillId="58" borderId="0" xfId="0" applyFont="1" applyFill="1" applyBorder="1" applyAlignment="1">
      <alignment horizontal="center" vertical="center"/>
    </xf>
    <xf numFmtId="6" fontId="43" fillId="58" borderId="0" xfId="0" applyNumberFormat="1" applyFont="1" applyFill="1" applyBorder="1" applyAlignment="1">
      <alignment horizontal="right" vertical="center"/>
    </xf>
    <xf numFmtId="0" fontId="25" fillId="67" borderId="45" xfId="0" applyFont="1" applyFill="1" applyBorder="1" applyAlignment="1">
      <alignment vertical="center" wrapText="1"/>
    </xf>
    <xf numFmtId="0" fontId="25" fillId="67" borderId="79" xfId="0" applyFont="1" applyFill="1" applyBorder="1" applyAlignment="1">
      <alignment horizontal="center" vertical="center" wrapText="1"/>
    </xf>
    <xf numFmtId="0" fontId="25" fillId="67" borderId="48" xfId="0" applyFont="1" applyFill="1" applyBorder="1" applyAlignment="1">
      <alignment horizontal="center" vertical="center" wrapText="1"/>
    </xf>
    <xf numFmtId="0" fontId="26" fillId="67" borderId="79" xfId="0" applyFont="1" applyFill="1" applyBorder="1" applyAlignment="1">
      <alignment horizontal="center" vertical="center" wrapText="1"/>
    </xf>
    <xf numFmtId="0" fontId="26" fillId="67" borderId="66" xfId="0" applyFont="1" applyFill="1" applyBorder="1" applyAlignment="1">
      <alignment horizontal="center" vertical="center" wrapText="1"/>
    </xf>
    <xf numFmtId="0" fontId="26" fillId="67" borderId="48" xfId="0" applyFont="1" applyFill="1" applyBorder="1" applyAlignment="1">
      <alignment horizontal="center" vertical="center" wrapText="1"/>
    </xf>
    <xf numFmtId="0" fontId="27" fillId="67" borderId="49" xfId="0" applyFont="1" applyFill="1" applyBorder="1" applyAlignment="1">
      <alignment horizontal="center" vertical="center" wrapText="1"/>
    </xf>
    <xf numFmtId="0" fontId="27" fillId="3" borderId="66" xfId="0" applyFont="1" applyFill="1" applyBorder="1" applyAlignment="1">
      <alignment horizontal="center" vertical="center" wrapText="1"/>
    </xf>
    <xf numFmtId="0" fontId="27" fillId="3" borderId="49" xfId="0" applyFont="1" applyFill="1" applyBorder="1" applyAlignment="1">
      <alignment horizontal="center" vertical="center" wrapText="1"/>
    </xf>
    <xf numFmtId="0" fontId="28" fillId="0" borderId="0" xfId="0" applyFont="1" applyAlignment="1">
      <alignment vertical="center"/>
    </xf>
    <xf numFmtId="0" fontId="29" fillId="68" borderId="45" xfId="0" applyFont="1" applyFill="1" applyBorder="1" applyAlignment="1">
      <alignment vertical="center" wrapText="1"/>
    </xf>
    <xf numFmtId="0" fontId="25" fillId="68" borderId="79" xfId="0" applyFont="1" applyFill="1" applyBorder="1" applyAlignment="1">
      <alignment vertical="center" wrapText="1"/>
    </xf>
    <xf numFmtId="0" fontId="25" fillId="68" borderId="48" xfId="0" applyFont="1" applyFill="1" applyBorder="1" applyAlignment="1">
      <alignment vertical="center" wrapText="1"/>
    </xf>
    <xf numFmtId="0" fontId="26" fillId="68" borderId="79" xfId="0" applyFont="1" applyFill="1" applyBorder="1" applyAlignment="1">
      <alignment horizontal="center" vertical="center" wrapText="1"/>
    </xf>
    <xf numFmtId="0" fontId="26" fillId="68" borderId="66" xfId="0" applyFont="1" applyFill="1" applyBorder="1" applyAlignment="1">
      <alignment horizontal="center" vertical="center" wrapText="1"/>
    </xf>
    <xf numFmtId="0" fontId="26" fillId="68" borderId="48" xfId="0" applyFont="1" applyFill="1" applyBorder="1" applyAlignment="1">
      <alignment horizontal="center" vertical="center" wrapText="1"/>
    </xf>
    <xf numFmtId="0" fontId="27" fillId="68" borderId="49" xfId="0" applyFont="1" applyFill="1" applyBorder="1" applyAlignment="1">
      <alignment horizontal="center" vertical="center" wrapText="1"/>
    </xf>
    <xf numFmtId="0" fontId="7" fillId="0" borderId="0" xfId="0" applyFont="1" applyProtection="1">
      <protection locked="0"/>
    </xf>
    <xf numFmtId="184" fontId="45" fillId="69" borderId="2" xfId="0" applyNumberFormat="1" applyFont="1" applyFill="1" applyBorder="1" applyAlignment="1">
      <alignment horizontal="center" vertical="center"/>
    </xf>
    <xf numFmtId="184" fontId="45" fillId="69" borderId="2" xfId="0" applyNumberFormat="1" applyFont="1" applyFill="1" applyBorder="1" applyAlignment="1">
      <alignment horizontal="center"/>
    </xf>
    <xf numFmtId="180" fontId="46" fillId="70" borderId="2" xfId="0" applyNumberFormat="1" applyFont="1" applyFill="1" applyBorder="1" applyAlignment="1">
      <alignment horizontal="center" vertical="center"/>
    </xf>
    <xf numFmtId="180" fontId="48" fillId="70" borderId="2" xfId="0" applyNumberFormat="1" applyFont="1" applyFill="1" applyBorder="1" applyAlignment="1">
      <alignment horizontal="center" vertical="center"/>
    </xf>
    <xf numFmtId="0" fontId="45" fillId="58" borderId="0" xfId="0" applyFont="1" applyFill="1" applyBorder="1" applyAlignment="1">
      <alignment horizontal="center" vertical="center"/>
    </xf>
    <xf numFmtId="0" fontId="45" fillId="62" borderId="2" xfId="0" applyFont="1" applyFill="1" applyBorder="1" applyAlignment="1">
      <alignment horizontal="center" vertical="center"/>
    </xf>
    <xf numFmtId="0" fontId="45" fillId="58" borderId="2" xfId="0" applyFont="1" applyFill="1" applyBorder="1" applyAlignment="1">
      <alignment horizontal="center" vertical="center"/>
    </xf>
    <xf numFmtId="0" fontId="0" fillId="69" borderId="2" xfId="0" applyFont="1" applyFill="1" applyBorder="1" applyAlignment="1" applyProtection="1">
      <alignment horizontal="center" vertical="center"/>
      <protection locked="0"/>
    </xf>
    <xf numFmtId="0" fontId="0" fillId="58" borderId="0" xfId="0" applyFont="1" applyFill="1" applyBorder="1" applyProtection="1">
      <protection locked="0"/>
    </xf>
    <xf numFmtId="0" fontId="31" fillId="58" borderId="0" xfId="0" applyFont="1" applyFill="1" applyBorder="1" applyAlignment="1">
      <alignment horizontal="center"/>
    </xf>
    <xf numFmtId="0" fontId="2" fillId="62" borderId="0" xfId="0" applyFont="1" applyFill="1" applyBorder="1" applyAlignment="1" applyProtection="1">
      <alignment horizontal="center" vertical="center"/>
      <protection locked="0"/>
    </xf>
    <xf numFmtId="189" fontId="0" fillId="69" borderId="2" xfId="0" applyNumberFormat="1" applyFont="1" applyFill="1" applyBorder="1" applyAlignment="1" applyProtection="1">
      <alignment vertical="center"/>
      <protection locked="0"/>
    </xf>
    <xf numFmtId="0" fontId="49" fillId="58" borderId="0" xfId="0" applyFont="1" applyFill="1" applyBorder="1" applyAlignment="1">
      <alignment horizontal="center" vertical="center"/>
    </xf>
    <xf numFmtId="0" fontId="31" fillId="63" borderId="0" xfId="0" applyFont="1" applyFill="1" applyBorder="1" applyAlignment="1">
      <alignment horizontal="center"/>
    </xf>
    <xf numFmtId="180" fontId="31" fillId="62" borderId="0" xfId="5" applyFont="1" applyFill="1" applyBorder="1" applyAlignment="1" applyProtection="1">
      <alignment horizontal="center" vertical="center"/>
    </xf>
    <xf numFmtId="184" fontId="45" fillId="58" borderId="0" xfId="2" applyNumberFormat="1" applyFont="1" applyFill="1" applyBorder="1" applyAlignment="1">
      <alignment horizontal="center" vertical="center"/>
    </xf>
    <xf numFmtId="185" fontId="45" fillId="58" borderId="0" xfId="0" applyNumberFormat="1" applyFont="1" applyFill="1" applyBorder="1" applyAlignment="1">
      <alignment horizontal="center" vertical="center"/>
    </xf>
    <xf numFmtId="180" fontId="14" fillId="69" borderId="2" xfId="0" applyNumberFormat="1" applyFont="1" applyFill="1" applyBorder="1" applyAlignment="1">
      <alignment horizontal="center" vertical="center"/>
    </xf>
    <xf numFmtId="0" fontId="45" fillId="58" borderId="0" xfId="0" applyFont="1" applyFill="1" applyBorder="1" applyAlignment="1">
      <alignment horizontal="center"/>
    </xf>
    <xf numFmtId="180" fontId="45" fillId="58" borderId="0" xfId="5" applyFont="1" applyFill="1" applyBorder="1" applyAlignment="1" applyProtection="1">
      <alignment horizontal="center"/>
    </xf>
    <xf numFmtId="184" fontId="45" fillId="58" borderId="0" xfId="2" applyNumberFormat="1" applyFont="1" applyFill="1" applyBorder="1" applyAlignment="1">
      <alignment horizontal="center"/>
    </xf>
    <xf numFmtId="180" fontId="14" fillId="58" borderId="0" xfId="5" applyFont="1" applyFill="1" applyBorder="1" applyAlignment="1" applyProtection="1">
      <alignment horizontal="center"/>
    </xf>
    <xf numFmtId="180" fontId="47" fillId="69" borderId="2" xfId="0" applyNumberFormat="1" applyFont="1" applyFill="1" applyBorder="1" applyAlignment="1">
      <alignment horizontal="center"/>
    </xf>
    <xf numFmtId="184" fontId="45" fillId="69" borderId="0" xfId="0" applyNumberFormat="1" applyFont="1" applyFill="1" applyAlignment="1">
      <alignment horizontal="center"/>
    </xf>
    <xf numFmtId="180" fontId="14" fillId="69" borderId="0" xfId="0" applyNumberFormat="1" applyFont="1" applyFill="1" applyAlignment="1">
      <alignment horizontal="center"/>
    </xf>
    <xf numFmtId="49" fontId="0" fillId="0" borderId="0" xfId="0" applyNumberFormat="1" applyFont="1" applyBorder="1"/>
    <xf numFmtId="183" fontId="50" fillId="58" borderId="0" xfId="0" applyNumberFormat="1" applyFont="1" applyFill="1" applyBorder="1" applyAlignment="1">
      <alignment horizontal="center" vertical="center" wrapText="1"/>
    </xf>
    <xf numFmtId="0" fontId="49" fillId="58" borderId="0" xfId="0" applyFont="1" applyFill="1" applyBorder="1" applyAlignment="1">
      <alignment horizontal="left" vertical="center" wrapText="1"/>
    </xf>
    <xf numFmtId="0" fontId="49" fillId="58" borderId="0" xfId="0" applyFont="1" applyFill="1" applyBorder="1" applyAlignment="1">
      <alignment horizontal="left" wrapText="1"/>
    </xf>
    <xf numFmtId="188" fontId="51" fillId="58" borderId="0" xfId="0" applyNumberFormat="1" applyFont="1" applyFill="1" applyBorder="1" applyAlignment="1">
      <alignment horizontal="left" vertical="center" wrapText="1"/>
    </xf>
    <xf numFmtId="165" fontId="0" fillId="58" borderId="2" xfId="0" applyNumberFormat="1" applyFont="1" applyFill="1" applyBorder="1" applyAlignment="1" applyProtection="1">
      <alignment horizontal="right" vertical="center"/>
      <protection locked="0"/>
    </xf>
    <xf numFmtId="165" fontId="48" fillId="62" borderId="2" xfId="0" applyNumberFormat="1" applyFont="1" applyFill="1" applyBorder="1" applyAlignment="1">
      <alignment horizontal="right" vertical="center"/>
    </xf>
    <xf numFmtId="0" fontId="45" fillId="58" borderId="4" xfId="0" applyFont="1" applyFill="1" applyBorder="1" applyAlignment="1">
      <alignment horizontal="center" vertical="center"/>
    </xf>
    <xf numFmtId="180" fontId="45" fillId="58" borderId="2" xfId="5" applyFont="1" applyFill="1" applyBorder="1" applyAlignment="1" applyProtection="1">
      <alignment horizontal="center" vertical="center"/>
    </xf>
    <xf numFmtId="180" fontId="45" fillId="58" borderId="2" xfId="5" applyFont="1" applyFill="1" applyBorder="1" applyAlignment="1" applyProtection="1">
      <alignment horizontal="center"/>
    </xf>
    <xf numFmtId="0" fontId="45" fillId="58" borderId="2" xfId="0" applyFont="1" applyFill="1" applyBorder="1" applyAlignment="1">
      <alignment horizontal="center"/>
    </xf>
    <xf numFmtId="6" fontId="52" fillId="58" borderId="0" xfId="0" applyNumberFormat="1" applyFont="1" applyFill="1" applyBorder="1" applyProtection="1">
      <protection locked="0"/>
    </xf>
    <xf numFmtId="0" fontId="53" fillId="58" borderId="2" xfId="0" applyFont="1" applyFill="1" applyBorder="1" applyAlignment="1">
      <alignment horizontal="center" shrinkToFit="1"/>
    </xf>
    <xf numFmtId="0" fontId="45" fillId="58" borderId="2" xfId="0" applyFont="1" applyFill="1" applyBorder="1" applyAlignment="1">
      <alignment horizontal="center" shrinkToFit="1"/>
    </xf>
    <xf numFmtId="0" fontId="9" fillId="0" borderId="0" xfId="0" applyFont="1" applyBorder="1" applyProtection="1">
      <protection locked="0"/>
    </xf>
    <xf numFmtId="164" fontId="0" fillId="0" borderId="0" xfId="6" applyFont="1" applyFill="1" applyBorder="1"/>
    <xf numFmtId="0" fontId="2" fillId="0" borderId="0" xfId="0" applyFont="1" applyBorder="1" applyAlignment="1" applyProtection="1">
      <alignment horizontal="center"/>
      <protection locked="0"/>
    </xf>
    <xf numFmtId="3" fontId="0" fillId="0" borderId="0" xfId="0" applyNumberFormat="1" applyBorder="1" applyAlignment="1" applyProtection="1">
      <alignment horizontal="right"/>
      <protection locked="0"/>
    </xf>
    <xf numFmtId="0" fontId="0" fillId="0" borderId="0" xfId="0" applyFont="1" applyBorder="1" applyProtection="1">
      <protection locked="0"/>
    </xf>
    <xf numFmtId="0" fontId="2" fillId="0" borderId="0" xfId="0" applyFont="1" applyBorder="1" applyProtection="1">
      <protection locked="0"/>
    </xf>
    <xf numFmtId="3" fontId="0" fillId="0" borderId="0" xfId="0" applyNumberFormat="1" applyBorder="1" applyProtection="1">
      <protection locked="0"/>
    </xf>
    <xf numFmtId="0" fontId="55" fillId="58" borderId="0" xfId="0" applyFont="1" applyFill="1" applyBorder="1" applyProtection="1">
      <protection locked="0"/>
    </xf>
    <xf numFmtId="165" fontId="54" fillId="58" borderId="2" xfId="0" applyNumberFormat="1" applyFont="1" applyFill="1" applyBorder="1" applyProtection="1">
      <protection locked="0"/>
    </xf>
    <xf numFmtId="180" fontId="18" fillId="58" borderId="2" xfId="5" applyFont="1" applyFill="1" applyBorder="1" applyAlignment="1" applyProtection="1">
      <alignment horizontal="center" vertical="center"/>
    </xf>
    <xf numFmtId="189" fontId="56" fillId="58" borderId="2" xfId="6" applyNumberFormat="1" applyFont="1" applyFill="1" applyBorder="1" applyAlignment="1">
      <alignment horizontal="center" vertical="center"/>
    </xf>
    <xf numFmtId="165" fontId="57" fillId="62" borderId="2" xfId="0" applyNumberFormat="1" applyFont="1" applyFill="1" applyBorder="1" applyAlignment="1">
      <alignment horizontal="right" vertical="center"/>
    </xf>
    <xf numFmtId="180" fontId="14" fillId="58" borderId="2" xfId="5" applyFont="1" applyFill="1" applyBorder="1" applyAlignment="1" applyProtection="1">
      <alignment horizontal="center"/>
    </xf>
    <xf numFmtId="189" fontId="45" fillId="58" borderId="2" xfId="0" applyNumberFormat="1" applyFont="1" applyFill="1" applyBorder="1" applyAlignment="1">
      <alignment horizontal="center" vertical="center"/>
    </xf>
    <xf numFmtId="0" fontId="54" fillId="58" borderId="2" xfId="0" applyFont="1" applyFill="1" applyBorder="1" applyAlignment="1" applyProtection="1">
      <alignment horizontal="center"/>
      <protection locked="0"/>
    </xf>
    <xf numFmtId="165" fontId="0" fillId="58" borderId="2" xfId="0" applyNumberFormat="1" applyFill="1" applyBorder="1" applyProtection="1">
      <protection locked="0"/>
    </xf>
    <xf numFmtId="189" fontId="0" fillId="58" borderId="2" xfId="0" applyNumberFormat="1" applyFill="1" applyBorder="1" applyProtection="1">
      <protection locked="0"/>
    </xf>
    <xf numFmtId="180" fontId="57" fillId="62" borderId="2" xfId="5" applyFont="1" applyFill="1" applyBorder="1" applyAlignment="1" applyProtection="1">
      <alignment horizontal="center" vertical="center"/>
    </xf>
    <xf numFmtId="184" fontId="53" fillId="58" borderId="0" xfId="2" applyNumberFormat="1" applyFont="1" applyFill="1" applyBorder="1" applyAlignment="1">
      <alignment horizontal="center"/>
    </xf>
    <xf numFmtId="49" fontId="44" fillId="0" borderId="0" xfId="0" applyNumberFormat="1" applyFont="1" applyBorder="1" applyAlignment="1">
      <alignment horizontal="right"/>
    </xf>
    <xf numFmtId="183" fontId="50" fillId="58" borderId="2" xfId="0" applyNumberFormat="1" applyFont="1" applyFill="1" applyBorder="1" applyAlignment="1">
      <alignment horizontal="center" vertical="center" wrapText="1"/>
    </xf>
    <xf numFmtId="189" fontId="45" fillId="58" borderId="2" xfId="0" applyNumberFormat="1" applyFont="1" applyFill="1" applyBorder="1" applyAlignment="1">
      <alignment horizontal="center"/>
    </xf>
    <xf numFmtId="164" fontId="45" fillId="58" borderId="2" xfId="6" applyFont="1" applyFill="1" applyBorder="1" applyAlignment="1">
      <alignment horizontal="center"/>
    </xf>
    <xf numFmtId="189" fontId="45" fillId="58" borderId="2" xfId="6" applyNumberFormat="1" applyFont="1" applyFill="1" applyBorder="1" applyAlignment="1">
      <alignment horizontal="center"/>
    </xf>
    <xf numFmtId="183" fontId="50" fillId="58" borderId="2" xfId="0" applyNumberFormat="1" applyFont="1" applyFill="1" applyBorder="1" applyAlignment="1">
      <alignment horizontal="center" wrapText="1"/>
    </xf>
    <xf numFmtId="183" fontId="50" fillId="58" borderId="2" xfId="0" applyNumberFormat="1" applyFont="1" applyFill="1" applyBorder="1" applyAlignment="1">
      <alignment horizontal="center" vertical="top" wrapText="1"/>
    </xf>
    <xf numFmtId="0" fontId="44" fillId="58" borderId="0" xfId="0" applyFont="1" applyFill="1" applyBorder="1" applyAlignment="1">
      <alignment vertical="center" wrapText="1"/>
    </xf>
    <xf numFmtId="49" fontId="44" fillId="0" borderId="0" xfId="0" applyNumberFormat="1" applyFont="1" applyBorder="1"/>
    <xf numFmtId="164" fontId="45" fillId="58" borderId="2" xfId="6" applyFont="1" applyFill="1" applyBorder="1" applyAlignment="1">
      <alignment horizontal="center" vertical="center"/>
    </xf>
    <xf numFmtId="184" fontId="31" fillId="69" borderId="46" xfId="0" applyNumberFormat="1" applyFont="1" applyFill="1" applyBorder="1" applyAlignment="1">
      <alignment horizontal="left"/>
    </xf>
    <xf numFmtId="180" fontId="13" fillId="69" borderId="16" xfId="0" applyNumberFormat="1" applyFont="1" applyFill="1" applyBorder="1" applyAlignment="1">
      <alignment horizontal="center"/>
    </xf>
    <xf numFmtId="180" fontId="53" fillId="58" borderId="0" xfId="5" applyFont="1" applyFill="1" applyBorder="1" applyAlignment="1" applyProtection="1">
      <alignment horizontal="center"/>
    </xf>
    <xf numFmtId="189" fontId="53" fillId="58" borderId="5" xfId="0" applyNumberFormat="1" applyFont="1" applyFill="1" applyBorder="1" applyAlignment="1">
      <alignment horizontal="center"/>
    </xf>
    <xf numFmtId="184" fontId="45" fillId="58" borderId="2" xfId="2" applyNumberFormat="1" applyFont="1" applyFill="1" applyBorder="1" applyAlignment="1">
      <alignment horizontal="center"/>
    </xf>
    <xf numFmtId="190" fontId="0" fillId="0" borderId="0" xfId="0" applyNumberFormat="1" applyProtection="1">
      <protection locked="0"/>
    </xf>
    <xf numFmtId="189" fontId="45" fillId="58" borderId="2" xfId="0" applyNumberFormat="1" applyFont="1" applyFill="1" applyBorder="1" applyAlignment="1">
      <alignment horizontal="center" vertical="top"/>
    </xf>
    <xf numFmtId="172" fontId="9" fillId="4" borderId="2" xfId="2" applyNumberFormat="1" applyFont="1" applyFill="1" applyBorder="1" applyAlignment="1" applyProtection="1">
      <alignment vertical="center"/>
      <protection locked="0"/>
    </xf>
    <xf numFmtId="172" fontId="9" fillId="8" borderId="2" xfId="2" applyNumberFormat="1" applyFont="1" applyFill="1" applyBorder="1" applyAlignment="1" applyProtection="1">
      <alignment vertical="center"/>
    </xf>
    <xf numFmtId="181" fontId="9" fillId="8" borderId="2" xfId="0" applyNumberFormat="1" applyFont="1" applyFill="1" applyBorder="1" applyAlignment="1" applyProtection="1">
      <alignment horizontal="right" vertical="center"/>
    </xf>
    <xf numFmtId="174" fontId="9" fillId="4" borderId="9" xfId="2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Protection="1"/>
    <xf numFmtId="172" fontId="9" fillId="4" borderId="21" xfId="2" applyNumberFormat="1" applyFont="1" applyFill="1" applyBorder="1" applyAlignment="1" applyProtection="1">
      <alignment vertical="center"/>
      <protection locked="0"/>
    </xf>
    <xf numFmtId="181" fontId="9" fillId="8" borderId="26" xfId="0" applyNumberFormat="1" applyFont="1" applyFill="1" applyBorder="1" applyAlignment="1" applyProtection="1">
      <alignment horizontal="right" vertical="center"/>
    </xf>
    <xf numFmtId="177" fontId="9" fillId="4" borderId="2" xfId="1" applyNumberFormat="1" applyFont="1" applyFill="1" applyBorder="1" applyAlignment="1" applyProtection="1">
      <alignment vertical="center"/>
      <protection locked="0"/>
    </xf>
    <xf numFmtId="183" fontId="22" fillId="71" borderId="36" xfId="0" applyNumberFormat="1" applyFont="1" applyFill="1" applyBorder="1" applyAlignment="1">
      <alignment horizontal="left" vertical="center" wrapText="1"/>
    </xf>
    <xf numFmtId="0" fontId="23" fillId="71" borderId="36" xfId="0" applyFont="1" applyFill="1" applyBorder="1" applyAlignment="1">
      <alignment horizontal="center"/>
    </xf>
    <xf numFmtId="180" fontId="23" fillId="71" borderId="36" xfId="0" applyNumberFormat="1" applyFont="1" applyFill="1" applyBorder="1" applyAlignment="1">
      <alignment horizontal="center"/>
    </xf>
    <xf numFmtId="184" fontId="23" fillId="71" borderId="36" xfId="0" applyNumberFormat="1" applyFont="1" applyFill="1" applyBorder="1" applyAlignment="1">
      <alignment horizontal="center"/>
    </xf>
    <xf numFmtId="180" fontId="24" fillId="71" borderId="36" xfId="0" applyNumberFormat="1" applyFont="1" applyFill="1" applyBorder="1" applyAlignment="1">
      <alignment horizontal="center"/>
    </xf>
    <xf numFmtId="185" fontId="23" fillId="71" borderId="36" xfId="0" applyNumberFormat="1" applyFont="1" applyFill="1" applyBorder="1" applyAlignment="1">
      <alignment horizontal="center" vertical="center"/>
    </xf>
    <xf numFmtId="183" fontId="22" fillId="71" borderId="36" xfId="0" applyNumberFormat="1" applyFont="1" applyFill="1" applyBorder="1" applyAlignment="1">
      <alignment horizontal="center" vertical="center" wrapText="1"/>
    </xf>
    <xf numFmtId="0" fontId="23" fillId="71" borderId="36" xfId="0" applyFont="1" applyFill="1" applyBorder="1" applyAlignment="1">
      <alignment horizontal="center" vertical="center"/>
    </xf>
    <xf numFmtId="180" fontId="23" fillId="71" borderId="36" xfId="0" applyNumberFormat="1" applyFont="1" applyFill="1" applyBorder="1" applyAlignment="1">
      <alignment horizontal="center" vertical="center"/>
    </xf>
    <xf numFmtId="184" fontId="23" fillId="71" borderId="36" xfId="0" applyNumberFormat="1" applyFont="1" applyFill="1" applyBorder="1" applyAlignment="1">
      <alignment horizontal="center" vertical="center"/>
    </xf>
    <xf numFmtId="180" fontId="24" fillId="71" borderId="36" xfId="0" applyNumberFormat="1" applyFont="1" applyFill="1" applyBorder="1" applyAlignment="1">
      <alignment horizontal="center" vertical="center"/>
    </xf>
    <xf numFmtId="183" fontId="34" fillId="71" borderId="36" xfId="0" applyNumberFormat="1" applyFont="1" applyFill="1" applyBorder="1" applyAlignment="1">
      <alignment horizontal="center" vertical="center" wrapText="1"/>
    </xf>
    <xf numFmtId="0" fontId="34" fillId="71" borderId="36" xfId="0" applyFont="1" applyFill="1" applyBorder="1" applyAlignment="1">
      <alignment horizontal="center"/>
    </xf>
    <xf numFmtId="180" fontId="34" fillId="71" borderId="36" xfId="0" applyNumberFormat="1" applyFont="1" applyFill="1" applyBorder="1" applyAlignment="1">
      <alignment horizontal="center"/>
    </xf>
    <xf numFmtId="184" fontId="34" fillId="71" borderId="36" xfId="0" applyNumberFormat="1" applyFont="1" applyFill="1" applyBorder="1" applyAlignment="1">
      <alignment horizontal="center"/>
    </xf>
    <xf numFmtId="180" fontId="58" fillId="71" borderId="36" xfId="0" applyNumberFormat="1" applyFont="1" applyFill="1" applyBorder="1" applyAlignment="1">
      <alignment horizontal="center"/>
    </xf>
    <xf numFmtId="185" fontId="34" fillId="71" borderId="36" xfId="0" applyNumberFormat="1" applyFont="1" applyFill="1" applyBorder="1" applyAlignment="1">
      <alignment horizontal="center" vertical="center"/>
    </xf>
    <xf numFmtId="167" fontId="9" fillId="29" borderId="2" xfId="2" applyNumberFormat="1" applyFont="1" applyFill="1" applyBorder="1" applyAlignment="1" applyProtection="1">
      <alignment vertical="center"/>
      <protection locked="0"/>
    </xf>
    <xf numFmtId="167" fontId="5" fillId="28" borderId="6" xfId="2" applyNumberFormat="1" applyFont="1" applyFill="1" applyBorder="1" applyAlignment="1" applyProtection="1">
      <alignment vertical="center"/>
    </xf>
    <xf numFmtId="0" fontId="21" fillId="71" borderId="2" xfId="0" applyFont="1" applyFill="1" applyBorder="1" applyAlignment="1">
      <alignment horizontal="left" vertical="center" wrapText="1"/>
    </xf>
    <xf numFmtId="183" fontId="22" fillId="71" borderId="2" xfId="0" applyNumberFormat="1" applyFont="1" applyFill="1" applyBorder="1" applyAlignment="1">
      <alignment horizontal="left" vertical="center" wrapText="1"/>
    </xf>
    <xf numFmtId="0" fontId="23" fillId="71" borderId="2" xfId="0" applyFont="1" applyFill="1" applyBorder="1" applyAlignment="1">
      <alignment horizontal="center" vertical="center"/>
    </xf>
    <xf numFmtId="180" fontId="23" fillId="71" borderId="2" xfId="5" applyFont="1" applyFill="1" applyBorder="1" applyAlignment="1" applyProtection="1">
      <alignment horizontal="center" vertical="center"/>
    </xf>
    <xf numFmtId="184" fontId="23" fillId="71" borderId="2" xfId="2" applyNumberFormat="1" applyFont="1" applyFill="1" applyBorder="1" applyAlignment="1">
      <alignment horizontal="center" vertical="center"/>
    </xf>
    <xf numFmtId="180" fontId="24" fillId="71" borderId="2" xfId="5" applyFont="1" applyFill="1" applyBorder="1" applyAlignment="1" applyProtection="1">
      <alignment horizontal="center" vertical="center"/>
    </xf>
    <xf numFmtId="185" fontId="23" fillId="71" borderId="2" xfId="0" applyNumberFormat="1" applyFont="1" applyFill="1" applyBorder="1" applyAlignment="1">
      <alignment horizontal="center" vertical="center"/>
    </xf>
    <xf numFmtId="0" fontId="23" fillId="71" borderId="2" xfId="0" applyFont="1" applyFill="1" applyBorder="1" applyAlignment="1">
      <alignment horizontal="center"/>
    </xf>
    <xf numFmtId="180" fontId="23" fillId="71" borderId="2" xfId="5" applyFont="1" applyFill="1" applyBorder="1" applyAlignment="1" applyProtection="1">
      <alignment horizontal="center"/>
    </xf>
    <xf numFmtId="184" fontId="23" fillId="71" borderId="2" xfId="2" applyNumberFormat="1" applyFont="1" applyFill="1" applyBorder="1" applyAlignment="1">
      <alignment horizontal="center"/>
    </xf>
    <xf numFmtId="180" fontId="24" fillId="71" borderId="2" xfId="5" applyFont="1" applyFill="1" applyBorder="1" applyAlignment="1" applyProtection="1">
      <alignment horizontal="center"/>
    </xf>
    <xf numFmtId="183" fontId="22" fillId="71" borderId="2" xfId="0" applyNumberFormat="1" applyFont="1" applyFill="1" applyBorder="1" applyAlignment="1">
      <alignment horizontal="center" vertical="center" wrapText="1"/>
    </xf>
    <xf numFmtId="183" fontId="22" fillId="4" borderId="2" xfId="0" applyNumberFormat="1" applyFont="1" applyFill="1" applyBorder="1" applyAlignment="1">
      <alignment horizontal="left" vertical="center" wrapText="1"/>
    </xf>
    <xf numFmtId="0" fontId="23" fillId="4" borderId="2" xfId="0" applyFont="1" applyFill="1" applyBorder="1" applyAlignment="1">
      <alignment horizontal="center"/>
    </xf>
    <xf numFmtId="180" fontId="23" fillId="4" borderId="2" xfId="5" applyFont="1" applyFill="1" applyBorder="1" applyAlignment="1" applyProtection="1">
      <alignment horizontal="center"/>
    </xf>
    <xf numFmtId="184" fontId="23" fillId="4" borderId="2" xfId="2" applyNumberFormat="1" applyFont="1" applyFill="1" applyBorder="1" applyAlignment="1">
      <alignment horizontal="center"/>
    </xf>
    <xf numFmtId="180" fontId="24" fillId="4" borderId="2" xfId="5" applyFont="1" applyFill="1" applyBorder="1" applyAlignment="1" applyProtection="1">
      <alignment horizontal="center"/>
    </xf>
    <xf numFmtId="185" fontId="23" fillId="4" borderId="2" xfId="0" applyNumberFormat="1" applyFont="1" applyFill="1" applyBorder="1" applyAlignment="1">
      <alignment horizontal="center" vertical="center"/>
    </xf>
    <xf numFmtId="183" fontId="22" fillId="4" borderId="2" xfId="0" applyNumberFormat="1" applyFont="1" applyFill="1" applyBorder="1" applyAlignment="1">
      <alignment horizontal="center" vertical="center" wrapText="1"/>
    </xf>
    <xf numFmtId="0" fontId="9" fillId="0" borderId="0" xfId="0" applyFont="1" applyProtection="1">
      <protection locked="0"/>
    </xf>
    <xf numFmtId="180" fontId="45" fillId="71" borderId="0" xfId="5" applyFont="1" applyFill="1" applyBorder="1" applyAlignment="1" applyProtection="1">
      <alignment horizontal="center"/>
    </xf>
    <xf numFmtId="0" fontId="45" fillId="71" borderId="2" xfId="0" applyFont="1" applyFill="1" applyBorder="1" applyAlignment="1">
      <alignment horizontal="center"/>
    </xf>
    <xf numFmtId="180" fontId="45" fillId="71" borderId="2" xfId="5" applyFont="1" applyFill="1" applyBorder="1" applyAlignment="1" applyProtection="1">
      <alignment horizontal="center"/>
    </xf>
    <xf numFmtId="184" fontId="21" fillId="71" borderId="2" xfId="2" applyNumberFormat="1" applyFont="1" applyFill="1" applyBorder="1"/>
    <xf numFmtId="186" fontId="21" fillId="71" borderId="36" xfId="0" applyNumberFormat="1" applyFont="1" applyFill="1" applyBorder="1" applyAlignment="1">
      <alignment horizontal="center"/>
    </xf>
    <xf numFmtId="0" fontId="0" fillId="25" borderId="5" xfId="0" applyFont="1" applyFill="1" applyBorder="1" applyAlignment="1" applyProtection="1">
      <alignment horizontal="left" vertical="center"/>
    </xf>
    <xf numFmtId="172" fontId="0" fillId="25" borderId="5" xfId="2" applyNumberFormat="1" applyFont="1" applyFill="1" applyBorder="1" applyAlignment="1" applyProtection="1">
      <alignment vertical="center"/>
    </xf>
    <xf numFmtId="181" fontId="32" fillId="8" borderId="23" xfId="0" applyNumberFormat="1" applyFont="1" applyFill="1" applyBorder="1" applyAlignment="1" applyProtection="1">
      <alignment horizontal="right" vertical="center"/>
    </xf>
    <xf numFmtId="181" fontId="32" fillId="8" borderId="26" xfId="0" applyNumberFormat="1" applyFont="1" applyFill="1" applyBorder="1" applyAlignment="1" applyProtection="1">
      <alignment horizontal="right" vertical="center"/>
    </xf>
    <xf numFmtId="181" fontId="32" fillId="8" borderId="30" xfId="0" applyNumberFormat="1" applyFont="1" applyFill="1" applyBorder="1" applyAlignment="1" applyProtection="1">
      <alignment horizontal="right" vertical="center"/>
    </xf>
    <xf numFmtId="0" fontId="0" fillId="25" borderId="17" xfId="0" applyFont="1" applyFill="1" applyBorder="1" applyAlignment="1" applyProtection="1">
      <alignment horizontal="left" vertical="center"/>
    </xf>
    <xf numFmtId="181" fontId="0" fillId="24" borderId="18" xfId="0" applyNumberFormat="1" applyFont="1" applyFill="1" applyBorder="1" applyAlignment="1" applyProtection="1">
      <alignment horizontal="right" vertical="center"/>
    </xf>
    <xf numFmtId="0" fontId="9" fillId="4" borderId="27" xfId="0" applyFont="1" applyFill="1" applyBorder="1" applyAlignment="1" applyProtection="1">
      <alignment horizontal="left" vertical="center"/>
      <protection locked="0"/>
    </xf>
    <xf numFmtId="0" fontId="9" fillId="4" borderId="29" xfId="0" applyFont="1" applyFill="1" applyBorder="1" applyAlignment="1" applyProtection="1">
      <alignment horizontal="left" vertical="center"/>
      <protection locked="0"/>
    </xf>
    <xf numFmtId="172" fontId="9" fillId="4" borderId="29" xfId="2" applyNumberFormat="1" applyFont="1" applyFill="1" applyBorder="1" applyAlignment="1" applyProtection="1">
      <alignment vertical="center"/>
      <protection locked="0"/>
    </xf>
    <xf numFmtId="172" fontId="9" fillId="8" borderId="29" xfId="2" applyNumberFormat="1" applyFont="1" applyFill="1" applyBorder="1" applyAlignment="1" applyProtection="1">
      <alignment vertical="center"/>
    </xf>
    <xf numFmtId="181" fontId="9" fillId="8" borderId="30" xfId="0" applyNumberFormat="1" applyFont="1" applyFill="1" applyBorder="1" applyAlignment="1" applyProtection="1">
      <alignment horizontal="right" vertical="center"/>
    </xf>
    <xf numFmtId="0" fontId="21" fillId="71" borderId="36" xfId="0" applyFont="1" applyFill="1" applyBorder="1" applyAlignment="1">
      <alignment horizontal="left" vertical="center" wrapText="1"/>
    </xf>
    <xf numFmtId="0" fontId="9" fillId="4" borderId="2" xfId="0" applyFont="1" applyFill="1" applyBorder="1" applyProtection="1">
      <protection locked="0"/>
    </xf>
    <xf numFmtId="172" fontId="9" fillId="4" borderId="8" xfId="2" applyNumberFormat="1" applyFont="1" applyFill="1" applyBorder="1" applyAlignment="1" applyProtection="1">
      <alignment vertical="center"/>
      <protection locked="0"/>
    </xf>
    <xf numFmtId="172" fontId="9" fillId="4" borderId="4" xfId="2" applyNumberFormat="1" applyFont="1" applyFill="1" applyBorder="1" applyAlignment="1" applyProtection="1">
      <alignment vertical="center"/>
      <protection locked="0"/>
    </xf>
    <xf numFmtId="172" fontId="9" fillId="61" borderId="51" xfId="2" applyNumberFormat="1" applyFont="1" applyFill="1" applyBorder="1" applyAlignment="1" applyProtection="1">
      <alignment vertical="center"/>
    </xf>
    <xf numFmtId="0" fontId="32" fillId="4" borderId="20" xfId="7" applyFill="1" applyBorder="1" applyProtection="1">
      <protection locked="0"/>
    </xf>
    <xf numFmtId="0" fontId="32" fillId="4" borderId="21" xfId="7" applyFill="1" applyBorder="1" applyProtection="1">
      <protection locked="0"/>
    </xf>
    <xf numFmtId="172" fontId="0" fillId="4" borderId="21" xfId="8" applyNumberFormat="1" applyFont="1" applyFill="1" applyBorder="1" applyAlignment="1" applyProtection="1">
      <alignment vertical="center"/>
      <protection locked="0"/>
    </xf>
    <xf numFmtId="172" fontId="0" fillId="4" borderId="23" xfId="8" applyNumberFormat="1" applyFont="1" applyFill="1" applyBorder="1" applyAlignment="1" applyProtection="1">
      <alignment vertical="center"/>
      <protection locked="0"/>
    </xf>
    <xf numFmtId="0" fontId="32" fillId="4" borderId="25" xfId="7" applyFill="1" applyBorder="1" applyProtection="1">
      <protection locked="0"/>
    </xf>
    <xf numFmtId="0" fontId="32" fillId="4" borderId="2" xfId="7" applyFill="1" applyBorder="1" applyProtection="1">
      <protection locked="0"/>
    </xf>
    <xf numFmtId="172" fontId="0" fillId="4" borderId="2" xfId="8" applyNumberFormat="1" applyFont="1" applyFill="1" applyBorder="1" applyAlignment="1" applyProtection="1">
      <alignment vertical="center"/>
      <protection locked="0"/>
    </xf>
    <xf numFmtId="172" fontId="0" fillId="4" borderId="8" xfId="8" applyNumberFormat="1" applyFont="1" applyFill="1" applyBorder="1" applyAlignment="1" applyProtection="1">
      <alignment vertical="center"/>
      <protection locked="0"/>
    </xf>
    <xf numFmtId="172" fontId="0" fillId="4" borderId="26" xfId="8" applyNumberFormat="1" applyFont="1" applyFill="1" applyBorder="1" applyAlignment="1" applyProtection="1">
      <alignment vertical="center"/>
      <protection locked="0"/>
    </xf>
    <xf numFmtId="172" fontId="0" fillId="61" borderId="2" xfId="2" applyNumberFormat="1" applyFont="1" applyFill="1" applyBorder="1" applyAlignment="1" applyProtection="1">
      <alignment vertical="center"/>
    </xf>
    <xf numFmtId="181" fontId="0" fillId="0" borderId="2" xfId="0" applyNumberFormat="1" applyBorder="1" applyAlignment="1" applyProtection="1">
      <alignment horizontal="right" vertical="center"/>
    </xf>
    <xf numFmtId="0" fontId="0" fillId="4" borderId="5" xfId="0" applyFill="1" applyBorder="1" applyAlignment="1" applyProtection="1">
      <alignment horizontal="left" vertical="center"/>
      <protection locked="0"/>
    </xf>
    <xf numFmtId="0" fontId="0" fillId="4" borderId="5" xfId="0" applyFill="1" applyBorder="1" applyProtection="1">
      <protection locked="0"/>
    </xf>
    <xf numFmtId="172" fontId="0" fillId="4" borderId="54" xfId="2" applyNumberFormat="1" applyFont="1" applyFill="1" applyBorder="1" applyAlignment="1" applyProtection="1">
      <alignment vertical="center"/>
      <protection locked="0"/>
    </xf>
    <xf numFmtId="172" fontId="0" fillId="4" borderId="18" xfId="2" applyNumberFormat="1" applyFont="1" applyFill="1" applyBorder="1" applyAlignment="1" applyProtection="1">
      <alignment vertical="center"/>
      <protection locked="0"/>
    </xf>
    <xf numFmtId="172" fontId="0" fillId="61" borderId="60" xfId="2" applyNumberFormat="1" applyFont="1" applyFill="1" applyBorder="1" applyAlignment="1" applyProtection="1">
      <alignment vertical="center"/>
    </xf>
    <xf numFmtId="181" fontId="0" fillId="0" borderId="5" xfId="0" applyNumberFormat="1" applyBorder="1" applyAlignment="1" applyProtection="1">
      <alignment horizontal="right" vertical="center"/>
    </xf>
    <xf numFmtId="191" fontId="0" fillId="71" borderId="21" xfId="9" applyNumberFormat="1" applyFont="1" applyFill="1" applyBorder="1" applyAlignment="1" applyProtection="1">
      <alignment vertical="center"/>
      <protection locked="0"/>
    </xf>
    <xf numFmtId="191" fontId="0" fillId="71" borderId="22" xfId="9" applyNumberFormat="1" applyFont="1" applyFill="1" applyBorder="1" applyAlignment="1" applyProtection="1">
      <alignment vertical="center"/>
      <protection locked="0"/>
    </xf>
    <xf numFmtId="191" fontId="0" fillId="71" borderId="2" xfId="9" applyNumberFormat="1" applyFont="1" applyFill="1" applyBorder="1" applyAlignment="1" applyProtection="1">
      <alignment vertical="center"/>
      <protection locked="0"/>
    </xf>
    <xf numFmtId="191" fontId="0" fillId="71" borderId="4" xfId="9" applyNumberFormat="1" applyFont="1" applyFill="1" applyBorder="1" applyAlignment="1" applyProtection="1">
      <alignment vertical="center"/>
      <protection locked="0"/>
    </xf>
    <xf numFmtId="0" fontId="32" fillId="4" borderId="2" xfId="7" applyFill="1" applyBorder="1" applyAlignment="1" applyProtection="1">
      <alignment horizontal="left" vertical="center"/>
      <protection locked="0"/>
    </xf>
    <xf numFmtId="172" fontId="0" fillId="4" borderId="2" xfId="10" applyNumberFormat="1" applyFont="1" applyFill="1" applyBorder="1" applyAlignment="1" applyProtection="1">
      <alignment vertical="center"/>
      <protection locked="0"/>
    </xf>
    <xf numFmtId="172" fontId="0" fillId="4" borderId="8" xfId="10" applyNumberFormat="1" applyFont="1" applyFill="1" applyBorder="1" applyAlignment="1" applyProtection="1">
      <alignment vertical="center"/>
      <protection locked="0"/>
    </xf>
    <xf numFmtId="172" fontId="0" fillId="4" borderId="4" xfId="10" applyNumberFormat="1" applyFont="1" applyFill="1" applyBorder="1" applyAlignment="1" applyProtection="1">
      <alignment vertical="center"/>
      <protection locked="0"/>
    </xf>
    <xf numFmtId="0" fontId="32" fillId="4" borderId="27" xfId="7" applyFill="1" applyBorder="1" applyProtection="1">
      <protection locked="0"/>
    </xf>
    <xf numFmtId="0" fontId="32" fillId="4" borderId="29" xfId="7" applyFill="1" applyBorder="1" applyProtection="1">
      <protection locked="0"/>
    </xf>
    <xf numFmtId="191" fontId="0" fillId="71" borderId="29" xfId="9" applyNumberFormat="1" applyFont="1" applyFill="1" applyBorder="1" applyAlignment="1" applyProtection="1">
      <alignment vertical="center"/>
      <protection locked="0"/>
    </xf>
    <xf numFmtId="191" fontId="0" fillId="71" borderId="28" xfId="9" applyNumberFormat="1" applyFont="1" applyFill="1" applyBorder="1" applyAlignment="1" applyProtection="1">
      <alignment vertical="center"/>
      <protection locked="0"/>
    </xf>
    <xf numFmtId="173" fontId="0" fillId="15" borderId="22" xfId="2" applyNumberFormat="1" applyFont="1" applyFill="1" applyBorder="1" applyAlignment="1" applyProtection="1">
      <alignment horizontal="center" vertical="center"/>
    </xf>
    <xf numFmtId="173" fontId="0" fillId="15" borderId="28" xfId="2" applyNumberFormat="1" applyFont="1" applyFill="1" applyBorder="1" applyAlignment="1" applyProtection="1">
      <alignment horizontal="center" vertical="center"/>
    </xf>
    <xf numFmtId="172" fontId="0" fillId="8" borderId="20" xfId="2" applyNumberFormat="1" applyFont="1" applyFill="1" applyBorder="1" applyAlignment="1" applyProtection="1">
      <alignment vertical="center"/>
    </xf>
    <xf numFmtId="172" fontId="0" fillId="8" borderId="27" xfId="2" applyNumberFormat="1" applyFont="1" applyFill="1" applyBorder="1" applyAlignment="1" applyProtection="1">
      <alignment vertical="center"/>
    </xf>
    <xf numFmtId="173" fontId="0" fillId="15" borderId="18" xfId="2" applyNumberFormat="1" applyFont="1" applyFill="1" applyBorder="1" applyAlignment="1" applyProtection="1">
      <alignment horizontal="center" vertical="center"/>
    </xf>
    <xf numFmtId="172" fontId="0" fillId="8" borderId="17" xfId="2" applyNumberFormat="1" applyFont="1" applyFill="1" applyBorder="1" applyAlignment="1" applyProtection="1">
      <alignment vertical="center"/>
    </xf>
    <xf numFmtId="172" fontId="0" fillId="8" borderId="72" xfId="2" applyNumberFormat="1" applyFont="1" applyFill="1" applyBorder="1" applyAlignment="1" applyProtection="1">
      <alignment vertical="center"/>
    </xf>
    <xf numFmtId="173" fontId="0" fillId="15" borderId="42" xfId="2" applyNumberFormat="1" applyFont="1" applyFill="1" applyBorder="1" applyAlignment="1" applyProtection="1">
      <alignment horizontal="center" vertical="center"/>
    </xf>
    <xf numFmtId="172" fontId="0" fillId="8" borderId="43" xfId="2" applyNumberFormat="1" applyFont="1" applyFill="1" applyBorder="1" applyAlignment="1" applyProtection="1">
      <alignment vertical="center"/>
    </xf>
    <xf numFmtId="0" fontId="3" fillId="0" borderId="0" xfId="4" applyFont="1" applyBorder="1" applyAlignment="1" applyProtection="1"/>
    <xf numFmtId="0" fontId="3" fillId="0" borderId="0" xfId="4" applyFont="1" applyBorder="1" applyAlignment="1" applyProtection="1">
      <alignment horizontal="left" vertical="center"/>
    </xf>
    <xf numFmtId="0" fontId="3" fillId="0" borderId="0" xfId="4" applyFont="1" applyBorder="1" applyAlignment="1" applyProtection="1">
      <alignment horizontal="left" vertical="center" wrapText="1"/>
    </xf>
    <xf numFmtId="0" fontId="0" fillId="0" borderId="0" xfId="0" applyFont="1" applyBorder="1"/>
    <xf numFmtId="0" fontId="3" fillId="0" borderId="0" xfId="4" applyFont="1" applyBorder="1" applyAlignment="1" applyProtection="1">
      <alignment horizontal="left" vertical="center" indent="4"/>
    </xf>
    <xf numFmtId="167" fontId="10" fillId="14" borderId="39" xfId="0" applyNumberFormat="1" applyFont="1" applyFill="1" applyBorder="1" applyAlignment="1" applyProtection="1">
      <alignment horizontal="center" vertical="center"/>
    </xf>
    <xf numFmtId="0" fontId="7" fillId="20" borderId="38" xfId="0" applyFont="1" applyFill="1" applyBorder="1" applyAlignment="1" applyProtection="1">
      <alignment horizontal="center" vertical="center" wrapText="1"/>
    </xf>
    <xf numFmtId="0" fontId="0" fillId="0" borderId="8" xfId="0" applyFont="1" applyBorder="1" applyAlignment="1" applyProtection="1">
      <alignment horizontal="center" vertical="center" wrapText="1"/>
    </xf>
    <xf numFmtId="167" fontId="0" fillId="3" borderId="23" xfId="2" applyNumberFormat="1" applyFont="1" applyFill="1" applyBorder="1" applyAlignment="1" applyProtection="1">
      <alignment horizontal="right" vertical="center"/>
    </xf>
    <xf numFmtId="0" fontId="0" fillId="0" borderId="2" xfId="0" applyFont="1" applyBorder="1" applyAlignment="1" applyProtection="1">
      <alignment horizontal="center" vertical="center" wrapText="1"/>
    </xf>
    <xf numFmtId="167" fontId="0" fillId="3" borderId="26" xfId="2" applyNumberFormat="1" applyFont="1" applyFill="1" applyBorder="1" applyAlignment="1" applyProtection="1">
      <alignment horizontal="right" vertical="center"/>
    </xf>
    <xf numFmtId="167" fontId="10" fillId="14" borderId="18" xfId="0" applyNumberFormat="1" applyFont="1" applyFill="1" applyBorder="1" applyAlignment="1" applyProtection="1">
      <alignment horizontal="center" vertical="center"/>
    </xf>
    <xf numFmtId="0" fontId="7" fillId="20" borderId="32" xfId="0" applyFont="1" applyFill="1" applyBorder="1" applyAlignment="1" applyProtection="1">
      <alignment horizontal="center" vertical="center" wrapText="1"/>
    </xf>
    <xf numFmtId="167" fontId="0" fillId="3" borderId="35" xfId="2" applyNumberFormat="1" applyFont="1" applyFill="1" applyBorder="1" applyAlignment="1" applyProtection="1">
      <alignment horizontal="right" vertical="center"/>
    </xf>
    <xf numFmtId="167" fontId="10" fillId="14" borderId="28" xfId="0" applyNumberFormat="1" applyFont="1" applyFill="1" applyBorder="1" applyAlignment="1" applyProtection="1">
      <alignment horizontal="center" vertical="center"/>
    </xf>
    <xf numFmtId="0" fontId="7" fillId="0" borderId="25" xfId="0" applyFont="1" applyBorder="1" applyAlignment="1" applyProtection="1">
      <alignment horizontal="center" vertical="center" wrapText="1"/>
    </xf>
    <xf numFmtId="167" fontId="10" fillId="14" borderId="4" xfId="0" applyNumberFormat="1" applyFont="1" applyFill="1" applyBorder="1" applyAlignment="1" applyProtection="1">
      <alignment horizontal="center" vertical="center"/>
    </xf>
    <xf numFmtId="0" fontId="7" fillId="0" borderId="27" xfId="0" applyFont="1" applyBorder="1" applyAlignment="1" applyProtection="1">
      <alignment horizontal="center" vertical="center" wrapText="1"/>
    </xf>
    <xf numFmtId="167" fontId="0" fillId="16" borderId="26" xfId="2" applyNumberFormat="1" applyFont="1" applyFill="1" applyBorder="1" applyAlignment="1" applyProtection="1">
      <alignment horizontal="right" vertical="center"/>
    </xf>
    <xf numFmtId="0" fontId="7" fillId="0" borderId="20" xfId="0" applyFont="1" applyBorder="1" applyAlignment="1" applyProtection="1">
      <alignment horizontal="center" vertical="center" wrapText="1"/>
    </xf>
    <xf numFmtId="0" fontId="0" fillId="0" borderId="21" xfId="0" applyFont="1" applyBorder="1" applyAlignment="1" applyProtection="1">
      <alignment horizontal="center" vertical="center" wrapText="1"/>
    </xf>
    <xf numFmtId="167" fontId="11" fillId="6" borderId="13" xfId="0" applyNumberFormat="1" applyFont="1" applyFill="1" applyBorder="1" applyAlignment="1" applyProtection="1">
      <alignment horizontal="center" vertical="center" wrapText="1"/>
    </xf>
    <xf numFmtId="167" fontId="8" fillId="6" borderId="14" xfId="0" applyNumberFormat="1" applyFont="1" applyFill="1" applyBorder="1" applyAlignment="1" applyProtection="1">
      <alignment horizontal="center" vertical="center" wrapText="1"/>
    </xf>
    <xf numFmtId="167" fontId="8" fillId="6" borderId="10" xfId="0" applyNumberFormat="1" applyFont="1" applyFill="1" applyBorder="1" applyAlignment="1" applyProtection="1">
      <alignment horizontal="center" vertical="center" wrapText="1"/>
    </xf>
    <xf numFmtId="167" fontId="12" fillId="4" borderId="15" xfId="0" applyNumberFormat="1" applyFont="1" applyFill="1" applyBorder="1" applyAlignment="1" applyProtection="1">
      <alignment horizontal="center" vertical="center" wrapText="1"/>
    </xf>
    <xf numFmtId="167" fontId="8" fillId="6" borderId="16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right" vertical="center"/>
    </xf>
    <xf numFmtId="0" fontId="7" fillId="4" borderId="2" xfId="0" applyFont="1" applyFill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left" vertical="center" indent="4"/>
    </xf>
    <xf numFmtId="0" fontId="2" fillId="5" borderId="9" xfId="0" applyFont="1" applyFill="1" applyBorder="1" applyAlignment="1" applyProtection="1">
      <alignment horizontal="center" vertical="center" wrapText="1"/>
    </xf>
    <xf numFmtId="0" fontId="2" fillId="5" borderId="10" xfId="0" applyFont="1" applyFill="1" applyBorder="1" applyAlignment="1" applyProtection="1">
      <alignment horizontal="center" vertical="center" wrapText="1"/>
    </xf>
    <xf numFmtId="167" fontId="2" fillId="5" borderId="11" xfId="0" applyNumberFormat="1" applyFont="1" applyFill="1" applyBorder="1" applyAlignment="1" applyProtection="1">
      <alignment horizontal="center" vertical="center"/>
    </xf>
    <xf numFmtId="167" fontId="7" fillId="13" borderId="12" xfId="0" applyNumberFormat="1" applyFont="1" applyFill="1" applyBorder="1" applyAlignment="1" applyProtection="1">
      <alignment horizontal="center" vertical="center" wrapText="1"/>
    </xf>
    <xf numFmtId="0" fontId="10" fillId="0" borderId="62" xfId="0" applyFont="1" applyBorder="1" applyAlignment="1" applyProtection="1">
      <alignment horizontal="center" vertical="center" wrapText="1"/>
    </xf>
    <xf numFmtId="174" fontId="0" fillId="17" borderId="51" xfId="2" applyNumberFormat="1" applyFont="1" applyFill="1" applyBorder="1" applyAlignment="1" applyProtection="1">
      <alignment horizontal="center" vertical="center"/>
    </xf>
    <xf numFmtId="0" fontId="10" fillId="0" borderId="39" xfId="0" applyFont="1" applyBorder="1" applyAlignment="1" applyProtection="1">
      <alignment horizontal="center" vertical="center" wrapText="1"/>
    </xf>
    <xf numFmtId="0" fontId="10" fillId="0" borderId="45" xfId="0" applyFont="1" applyBorder="1" applyAlignment="1" applyProtection="1">
      <alignment horizontal="center" vertical="center" wrapText="1"/>
    </xf>
    <xf numFmtId="0" fontId="10" fillId="0" borderId="48" xfId="0" applyFont="1" applyBorder="1" applyAlignment="1" applyProtection="1">
      <alignment horizontal="center" vertical="center" wrapText="1"/>
    </xf>
    <xf numFmtId="174" fontId="0" fillId="59" borderId="47" xfId="2" applyNumberFormat="1" applyFont="1" applyFill="1" applyBorder="1" applyAlignment="1" applyProtection="1">
      <alignment horizontal="center" vertical="center"/>
    </xf>
    <xf numFmtId="0" fontId="7" fillId="5" borderId="9" xfId="0" applyFont="1" applyFill="1" applyBorder="1" applyAlignment="1" applyProtection="1">
      <alignment horizontal="center" vertical="center" wrapText="1"/>
    </xf>
    <xf numFmtId="0" fontId="7" fillId="5" borderId="11" xfId="0" applyFont="1" applyFill="1" applyBorder="1" applyAlignment="1" applyProtection="1">
      <alignment horizontal="center" vertical="center" wrapText="1"/>
    </xf>
    <xf numFmtId="167" fontId="11" fillId="6" borderId="39" xfId="0" applyNumberFormat="1" applyFont="1" applyFill="1" applyBorder="1" applyAlignment="1" applyProtection="1">
      <alignment horizontal="center" vertical="center" wrapText="1"/>
    </xf>
    <xf numFmtId="0" fontId="4" fillId="3" borderId="0" xfId="0" applyFont="1" applyFill="1" applyBorder="1" applyAlignment="1" applyProtection="1">
      <alignment horizontal="left" vertical="center" indent="4"/>
    </xf>
    <xf numFmtId="0" fontId="7" fillId="5" borderId="45" xfId="0" applyFont="1" applyFill="1" applyBorder="1" applyAlignment="1" applyProtection="1">
      <alignment horizontal="center" vertical="center" wrapText="1"/>
    </xf>
    <xf numFmtId="0" fontId="7" fillId="5" borderId="53" xfId="0" applyFont="1" applyFill="1" applyBorder="1" applyAlignment="1" applyProtection="1">
      <alignment horizontal="center" vertical="center" wrapText="1"/>
    </xf>
    <xf numFmtId="0" fontId="10" fillId="15" borderId="43" xfId="0" applyFont="1" applyFill="1" applyBorder="1" applyAlignment="1" applyProtection="1">
      <alignment horizontal="center" vertical="center" wrapText="1"/>
    </xf>
    <xf numFmtId="172" fontId="32" fillId="24" borderId="50" xfId="2" applyNumberFormat="1" applyFill="1" applyBorder="1" applyAlignment="1" applyProtection="1">
      <alignment horizontal="center" vertical="center"/>
    </xf>
    <xf numFmtId="172" fontId="0" fillId="10" borderId="51" xfId="2" applyNumberFormat="1" applyFont="1" applyFill="1" applyBorder="1" applyAlignment="1" applyProtection="1">
      <alignment horizontal="center" vertical="center"/>
    </xf>
    <xf numFmtId="172" fontId="0" fillId="10" borderId="52" xfId="2" applyNumberFormat="1" applyFont="1" applyFill="1" applyBorder="1" applyAlignment="1" applyProtection="1">
      <alignment horizontal="center" vertical="center"/>
    </xf>
    <xf numFmtId="0" fontId="10" fillId="15" borderId="32" xfId="0" applyFont="1" applyFill="1" applyBorder="1" applyAlignment="1" applyProtection="1">
      <alignment horizontal="center" vertical="center" wrapText="1"/>
    </xf>
    <xf numFmtId="173" fontId="0" fillId="23" borderId="26" xfId="2" applyNumberFormat="1" applyFont="1" applyFill="1" applyBorder="1" applyAlignment="1" applyProtection="1">
      <alignment horizontal="center" vertical="center"/>
    </xf>
    <xf numFmtId="172" fontId="0" fillId="10" borderId="26" xfId="2" applyNumberFormat="1" applyFont="1" applyFill="1" applyBorder="1" applyAlignment="1" applyProtection="1">
      <alignment horizontal="center" vertical="center"/>
    </xf>
    <xf numFmtId="0" fontId="7" fillId="5" borderId="15" xfId="0" applyFont="1" applyFill="1" applyBorder="1" applyAlignment="1" applyProtection="1">
      <alignment horizontal="center" vertical="center" wrapText="1"/>
    </xf>
    <xf numFmtId="167" fontId="2" fillId="5" borderId="46" xfId="0" applyNumberFormat="1" applyFont="1" applyFill="1" applyBorder="1" applyAlignment="1" applyProtection="1">
      <alignment horizontal="center" vertical="center" wrapText="1"/>
    </xf>
    <xf numFmtId="167" fontId="2" fillId="5" borderId="45" xfId="0" applyNumberFormat="1" applyFont="1" applyFill="1" applyBorder="1" applyAlignment="1" applyProtection="1">
      <alignment horizontal="center" vertical="center" wrapText="1"/>
    </xf>
    <xf numFmtId="0" fontId="10" fillId="15" borderId="9" xfId="0" applyFont="1" applyFill="1" applyBorder="1" applyAlignment="1" applyProtection="1">
      <alignment horizontal="center" vertical="center" wrapText="1"/>
    </xf>
    <xf numFmtId="0" fontId="10" fillId="15" borderId="20" xfId="0" applyFont="1" applyFill="1" applyBorder="1" applyAlignment="1" applyProtection="1">
      <alignment horizontal="center" vertical="center" wrapText="1"/>
    </xf>
    <xf numFmtId="0" fontId="10" fillId="15" borderId="27" xfId="0" applyFont="1" applyFill="1" applyBorder="1" applyAlignment="1" applyProtection="1">
      <alignment horizontal="center" vertical="center" wrapText="1"/>
    </xf>
    <xf numFmtId="172" fontId="0" fillId="23" borderId="47" xfId="2" applyNumberFormat="1" applyFont="1" applyFill="1" applyBorder="1" applyAlignment="1" applyProtection="1">
      <alignment horizontal="center" vertical="center"/>
    </xf>
    <xf numFmtId="173" fontId="0" fillId="17" borderId="48" xfId="2" applyNumberFormat="1" applyFont="1" applyFill="1" applyBorder="1" applyAlignment="1" applyProtection="1">
      <alignment horizontal="center" vertical="center"/>
      <protection locked="0"/>
    </xf>
    <xf numFmtId="172" fontId="0" fillId="10" borderId="49" xfId="2" applyNumberFormat="1" applyFont="1" applyFill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right" vertical="center"/>
    </xf>
    <xf numFmtId="0" fontId="7" fillId="4" borderId="39" xfId="0" applyFont="1" applyFill="1" applyBorder="1" applyAlignment="1" applyProtection="1">
      <alignment horizontal="center" vertical="center"/>
    </xf>
    <xf numFmtId="168" fontId="2" fillId="5" borderId="37" xfId="2" applyFont="1" applyFill="1" applyBorder="1" applyAlignment="1" applyProtection="1">
      <alignment horizontal="center" vertical="center" wrapText="1"/>
    </xf>
    <xf numFmtId="0" fontId="7" fillId="0" borderId="5" xfId="0" applyFont="1" applyBorder="1" applyAlignment="1" applyProtection="1">
      <alignment horizontal="center" vertical="top" wrapText="1"/>
    </xf>
    <xf numFmtId="175" fontId="11" fillId="6" borderId="37" xfId="1" applyNumberFormat="1" applyFont="1" applyFill="1" applyBorder="1" applyAlignment="1" applyProtection="1">
      <alignment horizontal="right" vertical="center" wrapText="1"/>
    </xf>
    <xf numFmtId="0" fontId="13" fillId="5" borderId="5" xfId="0" applyFont="1" applyFill="1" applyBorder="1" applyAlignment="1" applyProtection="1">
      <alignment horizontal="center" vertical="center"/>
    </xf>
    <xf numFmtId="0" fontId="2" fillId="5" borderId="2" xfId="0" applyFont="1" applyFill="1" applyBorder="1" applyAlignment="1" applyProtection="1">
      <alignment horizontal="center" vertical="center"/>
    </xf>
    <xf numFmtId="0" fontId="13" fillId="5" borderId="4" xfId="0" applyFont="1" applyFill="1" applyBorder="1" applyAlignment="1" applyProtection="1">
      <alignment horizontal="center" vertical="center"/>
    </xf>
    <xf numFmtId="0" fontId="13" fillId="5" borderId="2" xfId="0" applyFont="1" applyFill="1" applyBorder="1" applyAlignment="1" applyProtection="1">
      <alignment horizontal="center" vertical="center" wrapText="1"/>
    </xf>
    <xf numFmtId="0" fontId="13" fillId="5" borderId="2" xfId="0" applyFont="1" applyFill="1" applyBorder="1" applyAlignment="1" applyProtection="1">
      <alignment horizontal="center" vertical="center"/>
    </xf>
    <xf numFmtId="0" fontId="16" fillId="20" borderId="2" xfId="0" applyFont="1" applyFill="1" applyBorder="1" applyAlignment="1" applyProtection="1">
      <alignment horizontal="center" vertical="center"/>
    </xf>
    <xf numFmtId="0" fontId="13" fillId="26" borderId="55" xfId="0" applyFont="1" applyFill="1" applyBorder="1" applyAlignment="1" applyProtection="1">
      <alignment horizontal="left" vertical="center"/>
    </xf>
    <xf numFmtId="167" fontId="13" fillId="9" borderId="2" xfId="2" applyNumberFormat="1" applyFont="1" applyFill="1" applyBorder="1" applyAlignment="1" applyProtection="1">
      <alignment horizontal="center" vertical="center"/>
    </xf>
    <xf numFmtId="167" fontId="13" fillId="26" borderId="2" xfId="2" applyNumberFormat="1" applyFont="1" applyFill="1" applyBorder="1" applyAlignment="1" applyProtection="1">
      <alignment horizontal="center" vertical="center"/>
    </xf>
    <xf numFmtId="167" fontId="2" fillId="9" borderId="2" xfId="2" applyNumberFormat="1" applyFont="1" applyFill="1" applyBorder="1" applyAlignment="1" applyProtection="1">
      <alignment horizontal="center" vertical="center"/>
    </xf>
    <xf numFmtId="0" fontId="15" fillId="34" borderId="6" xfId="0" applyFont="1" applyFill="1" applyBorder="1" applyAlignment="1" applyProtection="1">
      <alignment horizontal="center" vertical="center" wrapText="1"/>
    </xf>
    <xf numFmtId="168" fontId="2" fillId="50" borderId="37" xfId="2" applyFont="1" applyFill="1" applyBorder="1" applyAlignment="1" applyProtection="1">
      <alignment horizontal="center" vertical="center" wrapText="1"/>
    </xf>
    <xf numFmtId="0" fontId="13" fillId="2" borderId="2" xfId="0" applyFont="1" applyFill="1" applyBorder="1" applyAlignment="1" applyProtection="1">
      <alignment horizontal="center" vertical="center" wrapText="1"/>
    </xf>
    <xf numFmtId="0" fontId="13" fillId="49" borderId="2" xfId="0" applyFont="1" applyFill="1" applyBorder="1" applyAlignment="1" applyProtection="1">
      <alignment horizontal="center" vertical="center"/>
    </xf>
    <xf numFmtId="167" fontId="13" fillId="38" borderId="6" xfId="2" applyNumberFormat="1" applyFont="1" applyFill="1" applyBorder="1" applyAlignment="1" applyProtection="1">
      <alignment horizontal="center" vertical="center"/>
    </xf>
    <xf numFmtId="167" fontId="13" fillId="41" borderId="2" xfId="2" applyNumberFormat="1" applyFont="1" applyFill="1" applyBorder="1" applyAlignment="1" applyProtection="1">
      <alignment horizontal="center" vertical="center"/>
    </xf>
    <xf numFmtId="0" fontId="16" fillId="35" borderId="2" xfId="0" applyFont="1" applyFill="1" applyBorder="1" applyAlignment="1" applyProtection="1">
      <alignment horizontal="center" vertical="center"/>
    </xf>
    <xf numFmtId="168" fontId="2" fillId="5" borderId="5" xfId="2" applyFont="1" applyFill="1" applyBorder="1" applyAlignment="1" applyProtection="1">
      <alignment horizontal="center" vertical="center" wrapText="1"/>
    </xf>
    <xf numFmtId="0" fontId="13" fillId="31" borderId="2" xfId="0" applyFont="1" applyFill="1" applyBorder="1" applyAlignment="1" applyProtection="1">
      <alignment horizontal="center" vertical="center" wrapText="1"/>
    </xf>
    <xf numFmtId="0" fontId="13" fillId="32" borderId="2" xfId="0" applyFont="1" applyFill="1" applyBorder="1" applyAlignment="1" applyProtection="1">
      <alignment horizontal="center" vertical="center"/>
    </xf>
    <xf numFmtId="168" fontId="2" fillId="33" borderId="37" xfId="2" applyFont="1" applyFill="1" applyBorder="1" applyAlignment="1" applyProtection="1">
      <alignment horizontal="center" vertical="center" wrapText="1"/>
    </xf>
    <xf numFmtId="0" fontId="7" fillId="0" borderId="2" xfId="0" applyFont="1" applyBorder="1" applyAlignment="1" applyProtection="1">
      <alignment horizontal="center" vertical="top" wrapText="1"/>
    </xf>
    <xf numFmtId="168" fontId="2" fillId="5" borderId="2" xfId="2" applyFont="1" applyFill="1" applyBorder="1" applyAlignment="1" applyProtection="1">
      <alignment horizontal="center" vertical="center" wrapText="1"/>
    </xf>
    <xf numFmtId="0" fontId="7" fillId="52" borderId="62" xfId="0" applyFont="1" applyFill="1" applyBorder="1" applyAlignment="1" applyProtection="1">
      <alignment horizontal="center" vertical="center" textRotation="90" wrapText="1"/>
    </xf>
    <xf numFmtId="0" fontId="7" fillId="52" borderId="43" xfId="0" applyFont="1" applyFill="1" applyBorder="1" applyAlignment="1" applyProtection="1">
      <alignment horizontal="left" vertical="center" wrapText="1"/>
    </xf>
    <xf numFmtId="0" fontId="8" fillId="14" borderId="13" xfId="0" applyFont="1" applyFill="1" applyBorder="1" applyAlignment="1" applyProtection="1">
      <alignment horizontal="center" vertical="center"/>
    </xf>
    <xf numFmtId="0" fontId="17" fillId="52" borderId="68" xfId="0" applyFont="1" applyFill="1" applyBorder="1" applyAlignment="1" applyProtection="1">
      <alignment horizontal="center" vertical="center" textRotation="90" wrapText="1"/>
    </xf>
    <xf numFmtId="0" fontId="7" fillId="4" borderId="43" xfId="0" applyFont="1" applyFill="1" applyBorder="1" applyAlignment="1" applyProtection="1">
      <alignment horizontal="left" vertical="center" wrapText="1"/>
      <protection locked="0"/>
    </xf>
    <xf numFmtId="0" fontId="2" fillId="5" borderId="22" xfId="0" applyFont="1" applyFill="1" applyBorder="1" applyAlignment="1" applyProtection="1">
      <alignment horizontal="center" vertical="center" wrapText="1"/>
    </xf>
    <xf numFmtId="0" fontId="0" fillId="0" borderId="56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181" fontId="0" fillId="26" borderId="39" xfId="0" applyNumberFormat="1" applyFill="1" applyBorder="1" applyAlignment="1" applyProtection="1">
      <alignment horizontal="center" vertical="center"/>
    </xf>
    <xf numFmtId="0" fontId="7" fillId="4" borderId="9" xfId="0" applyFont="1" applyFill="1" applyBorder="1" applyAlignment="1" applyProtection="1">
      <alignment horizontal="left" vertical="center" wrapText="1"/>
      <protection locked="0"/>
    </xf>
    <xf numFmtId="0" fontId="8" fillId="52" borderId="13" xfId="0" applyFont="1" applyFill="1" applyBorder="1" applyAlignment="1" applyProtection="1">
      <alignment horizontal="center" vertical="center"/>
    </xf>
    <xf numFmtId="0" fontId="8" fillId="53" borderId="13" xfId="0" applyFont="1" applyFill="1" applyBorder="1" applyAlignment="1" applyProtection="1">
      <alignment horizontal="center" vertical="center"/>
    </xf>
    <xf numFmtId="0" fontId="8" fillId="14" borderId="58" xfId="0" applyFont="1" applyFill="1" applyBorder="1" applyAlignment="1" applyProtection="1">
      <alignment horizontal="center" vertical="center"/>
    </xf>
    <xf numFmtId="0" fontId="8" fillId="53" borderId="58" xfId="0" applyFont="1" applyFill="1" applyBorder="1" applyAlignment="1" applyProtection="1">
      <alignment horizontal="center" vertical="center"/>
    </xf>
    <xf numFmtId="0" fontId="8" fillId="52" borderId="58" xfId="0" applyFont="1" applyFill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 vertical="center"/>
    </xf>
    <xf numFmtId="0" fontId="2" fillId="5" borderId="43" xfId="0" applyFont="1" applyFill="1" applyBorder="1" applyAlignment="1" applyProtection="1">
      <alignment horizontal="center" vertical="center" wrapText="1"/>
    </xf>
    <xf numFmtId="0" fontId="2" fillId="5" borderId="41" xfId="0" applyFont="1" applyFill="1" applyBorder="1" applyAlignment="1" applyProtection="1">
      <alignment horizontal="center" vertical="center"/>
    </xf>
    <xf numFmtId="0" fontId="2" fillId="5" borderId="41" xfId="0" applyFont="1" applyFill="1" applyBorder="1" applyAlignment="1" applyProtection="1">
      <alignment horizontal="center" vertical="center" wrapText="1"/>
    </xf>
    <xf numFmtId="0" fontId="2" fillId="26" borderId="44" xfId="0" applyFont="1" applyFill="1" applyBorder="1" applyAlignment="1" applyProtection="1">
      <alignment horizontal="center" vertical="center" wrapText="1"/>
    </xf>
    <xf numFmtId="0" fontId="2" fillId="26" borderId="15" xfId="0" applyFont="1" applyFill="1" applyBorder="1" applyAlignment="1" applyProtection="1">
      <alignment horizontal="center" vertical="center" wrapText="1"/>
    </xf>
    <xf numFmtId="0" fontId="8" fillId="14" borderId="12" xfId="0" applyFont="1" applyFill="1" applyBorder="1" applyAlignment="1" applyProtection="1">
      <alignment horizontal="center" vertical="center"/>
    </xf>
    <xf numFmtId="0" fontId="8" fillId="52" borderId="67" xfId="0" applyFont="1" applyFill="1" applyBorder="1" applyAlignment="1" applyProtection="1">
      <alignment horizontal="center" vertical="center"/>
    </xf>
    <xf numFmtId="0" fontId="2" fillId="5" borderId="39" xfId="0" applyFont="1" applyFill="1" applyBorder="1" applyAlignment="1" applyProtection="1">
      <alignment horizontal="center" vertical="center" wrapText="1"/>
    </xf>
    <xf numFmtId="0" fontId="2" fillId="5" borderId="2" xfId="0" applyFont="1" applyFill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 vertical="center"/>
    </xf>
    <xf numFmtId="0" fontId="7" fillId="0" borderId="39" xfId="0" applyFont="1" applyBorder="1" applyAlignment="1" applyProtection="1">
      <alignment horizontal="left" vertical="center" wrapText="1"/>
    </xf>
    <xf numFmtId="167" fontId="0" fillId="10" borderId="26" xfId="2" applyNumberFormat="1" applyFont="1" applyFill="1" applyBorder="1" applyAlignment="1" applyProtection="1">
      <alignment horizontal="center" vertical="center"/>
    </xf>
    <xf numFmtId="167" fontId="0" fillId="35" borderId="26" xfId="2" applyNumberFormat="1" applyFont="1" applyFill="1" applyBorder="1" applyAlignment="1" applyProtection="1">
      <alignment horizontal="center" vertical="center"/>
    </xf>
    <xf numFmtId="167" fontId="0" fillId="12" borderId="26" xfId="2" applyNumberFormat="1" applyFont="1" applyFill="1" applyBorder="1" applyAlignment="1" applyProtection="1">
      <alignment horizontal="center" vertical="center"/>
    </xf>
    <xf numFmtId="173" fontId="0" fillId="12" borderId="26" xfId="0" applyNumberFormat="1" applyFont="1" applyFill="1" applyBorder="1" applyAlignment="1" applyProtection="1">
      <alignment horizontal="center" vertical="center"/>
    </xf>
    <xf numFmtId="0" fontId="7" fillId="0" borderId="45" xfId="0" applyFont="1" applyBorder="1" applyAlignment="1" applyProtection="1">
      <alignment horizontal="left" vertical="center" wrapText="1"/>
    </xf>
    <xf numFmtId="167" fontId="0" fillId="10" borderId="51" xfId="2" applyNumberFormat="1" applyFont="1" applyFill="1" applyBorder="1" applyAlignment="1" applyProtection="1">
      <alignment horizontal="center" vertical="center"/>
    </xf>
    <xf numFmtId="167" fontId="0" fillId="35" borderId="51" xfId="2" applyNumberFormat="1" applyFont="1" applyFill="1" applyBorder="1" applyAlignment="1" applyProtection="1">
      <alignment horizontal="center" vertical="center"/>
    </xf>
    <xf numFmtId="167" fontId="0" fillId="12" borderId="51" xfId="2" applyNumberFormat="1" applyFont="1" applyFill="1" applyBorder="1" applyAlignment="1" applyProtection="1">
      <alignment horizontal="center" vertical="center"/>
    </xf>
    <xf numFmtId="173" fontId="0" fillId="12" borderId="51" xfId="0" applyNumberFormat="1" applyFont="1" applyFill="1" applyBorder="1" applyAlignment="1" applyProtection="1">
      <alignment horizontal="center" vertical="center"/>
    </xf>
    <xf numFmtId="167" fontId="0" fillId="10" borderId="39" xfId="2" applyNumberFormat="1" applyFont="1" applyFill="1" applyBorder="1" applyAlignment="1" applyProtection="1">
      <alignment horizontal="center" vertical="center"/>
    </xf>
    <xf numFmtId="167" fontId="0" fillId="35" borderId="39" xfId="2" applyNumberFormat="1" applyFont="1" applyFill="1" applyBorder="1" applyAlignment="1" applyProtection="1">
      <alignment horizontal="center" vertical="center"/>
    </xf>
    <xf numFmtId="167" fontId="0" fillId="12" borderId="39" xfId="2" applyNumberFormat="1" applyFont="1" applyFill="1" applyBorder="1" applyAlignment="1" applyProtection="1">
      <alignment horizontal="center" vertical="center"/>
    </xf>
    <xf numFmtId="173" fontId="0" fillId="12" borderId="39" xfId="0" applyNumberFormat="1" applyFont="1" applyFill="1" applyBorder="1" applyAlignment="1" applyProtection="1">
      <alignment horizontal="center" vertical="center"/>
    </xf>
    <xf numFmtId="0" fontId="7" fillId="5" borderId="67" xfId="0" applyFont="1" applyFill="1" applyBorder="1" applyAlignment="1" applyProtection="1">
      <alignment horizontal="center" vertical="center"/>
    </xf>
    <xf numFmtId="0" fontId="7" fillId="4" borderId="2" xfId="0" applyFont="1" applyFill="1" applyBorder="1" applyAlignment="1" applyProtection="1">
      <alignment horizontal="center" vertical="center"/>
      <protection locked="0"/>
    </xf>
    <xf numFmtId="0" fontId="2" fillId="5" borderId="45" xfId="0" applyFont="1" applyFill="1" applyBorder="1" applyAlignment="1" applyProtection="1">
      <alignment horizontal="center" vertical="center" wrapText="1"/>
    </xf>
    <xf numFmtId="0" fontId="2" fillId="5" borderId="16" xfId="0" applyFont="1" applyFill="1" applyBorder="1" applyAlignment="1" applyProtection="1">
      <alignment horizontal="center" vertical="center" wrapText="1"/>
    </xf>
    <xf numFmtId="167" fontId="7" fillId="5" borderId="13" xfId="0" applyNumberFormat="1" applyFont="1" applyFill="1" applyBorder="1" applyAlignment="1" applyProtection="1">
      <alignment horizontal="center" vertical="center" wrapText="1"/>
    </xf>
    <xf numFmtId="0" fontId="7" fillId="3" borderId="62" xfId="0" applyFont="1" applyFill="1" applyBorder="1" applyAlignment="1" applyProtection="1">
      <alignment horizontal="center" vertical="center" wrapText="1"/>
    </xf>
    <xf numFmtId="181" fontId="7" fillId="8" borderId="39" xfId="0" applyNumberFormat="1" applyFont="1" applyFill="1" applyBorder="1" applyAlignment="1" applyProtection="1">
      <alignment horizontal="right" vertical="center"/>
    </xf>
    <xf numFmtId="181" fontId="7" fillId="8" borderId="13" xfId="0" applyNumberFormat="1" applyFont="1" applyFill="1" applyBorder="1" applyAlignment="1" applyProtection="1">
      <alignment horizontal="right" vertical="center"/>
    </xf>
    <xf numFmtId="181" fontId="7" fillId="8" borderId="51" xfId="0" applyNumberFormat="1" applyFont="1" applyFill="1" applyBorder="1" applyAlignment="1" applyProtection="1">
      <alignment horizontal="right" vertical="center"/>
    </xf>
    <xf numFmtId="181" fontId="7" fillId="8" borderId="58" xfId="0" applyNumberFormat="1" applyFont="1" applyFill="1" applyBorder="1" applyAlignment="1" applyProtection="1">
      <alignment horizontal="right" vertical="center"/>
    </xf>
    <xf numFmtId="0" fontId="2" fillId="54" borderId="39" xfId="0" applyFont="1" applyFill="1" applyBorder="1" applyAlignment="1" applyProtection="1">
      <alignment horizontal="center" vertical="center" wrapText="1"/>
    </xf>
    <xf numFmtId="0" fontId="2" fillId="54" borderId="45" xfId="0" applyFont="1" applyFill="1" applyBorder="1" applyAlignment="1" applyProtection="1">
      <alignment horizontal="center" vertical="center" wrapText="1"/>
    </xf>
    <xf numFmtId="0" fontId="8" fillId="0" borderId="0" xfId="0" applyFont="1" applyBorder="1" applyAlignment="1" applyProtection="1">
      <alignment horizontal="center" vertical="center"/>
    </xf>
    <xf numFmtId="181" fontId="7" fillId="10" borderId="39" xfId="0" applyNumberFormat="1" applyFont="1" applyFill="1" applyBorder="1" applyAlignment="1" applyProtection="1">
      <alignment horizontal="right" vertical="center"/>
    </xf>
    <xf numFmtId="0" fontId="2" fillId="54" borderId="53" xfId="0" applyFont="1" applyFill="1" applyBorder="1" applyAlignment="1" applyProtection="1">
      <alignment horizontal="center" vertical="center" wrapText="1"/>
    </xf>
    <xf numFmtId="0" fontId="2" fillId="5" borderId="41" xfId="0" applyFont="1" applyFill="1" applyBorder="1" applyAlignment="1" applyProtection="1">
      <alignment horizontal="center" vertical="center"/>
      <protection locked="0"/>
    </xf>
    <xf numFmtId="0" fontId="2" fillId="5" borderId="10" xfId="0" applyFont="1" applyFill="1" applyBorder="1" applyAlignment="1" applyProtection="1">
      <alignment horizontal="center" vertical="center"/>
      <protection locked="0"/>
    </xf>
    <xf numFmtId="0" fontId="2" fillId="5" borderId="41" xfId="0" applyFont="1" applyFill="1" applyBorder="1" applyAlignment="1" applyProtection="1">
      <alignment horizontal="center" vertical="center" wrapText="1"/>
      <protection locked="0"/>
    </xf>
    <xf numFmtId="0" fontId="2" fillId="5" borderId="10" xfId="0" applyFont="1" applyFill="1" applyBorder="1" applyAlignment="1" applyProtection="1">
      <alignment horizontal="center" vertical="center" wrapText="1"/>
      <protection locked="0"/>
    </xf>
    <xf numFmtId="0" fontId="7" fillId="3" borderId="12" xfId="0" applyFont="1" applyFill="1" applyBorder="1" applyAlignment="1" applyProtection="1">
      <alignment horizontal="center" vertical="center" wrapText="1"/>
    </xf>
    <xf numFmtId="0" fontId="7" fillId="3" borderId="50" xfId="0" applyFont="1" applyFill="1" applyBorder="1" applyAlignment="1" applyProtection="1">
      <alignment horizontal="center" vertical="center" wrapText="1"/>
    </xf>
    <xf numFmtId="0" fontId="7" fillId="3" borderId="63" xfId="0" applyFont="1" applyFill="1" applyBorder="1" applyAlignment="1" applyProtection="1">
      <alignment horizontal="center" vertical="center" wrapText="1"/>
    </xf>
    <xf numFmtId="181" fontId="7" fillId="8" borderId="67" xfId="0" applyNumberFormat="1" applyFont="1" applyFill="1" applyBorder="1" applyAlignment="1" applyProtection="1">
      <alignment horizontal="right" vertical="center"/>
    </xf>
    <xf numFmtId="181" fontId="7" fillId="8" borderId="52" xfId="0" applyNumberFormat="1" applyFont="1" applyFill="1" applyBorder="1" applyAlignment="1" applyProtection="1">
      <alignment horizontal="right" vertical="center"/>
    </xf>
    <xf numFmtId="181" fontId="7" fillId="8" borderId="77" xfId="0" applyNumberFormat="1" applyFont="1" applyFill="1" applyBorder="1" applyAlignment="1" applyProtection="1">
      <alignment horizontal="right" vertical="center"/>
    </xf>
    <xf numFmtId="0" fontId="7" fillId="3" borderId="32" xfId="0" applyFont="1" applyFill="1" applyBorder="1" applyAlignment="1" applyProtection="1">
      <alignment horizontal="center" vertical="center" wrapText="1"/>
    </xf>
    <xf numFmtId="181" fontId="7" fillId="10" borderId="48" xfId="0" applyNumberFormat="1" applyFont="1" applyFill="1" applyBorder="1" applyAlignment="1" applyProtection="1">
      <alignment horizontal="right" vertical="center"/>
    </xf>
    <xf numFmtId="0" fontId="7" fillId="3" borderId="46" xfId="0" applyFont="1" applyFill="1" applyBorder="1" applyAlignment="1" applyProtection="1">
      <alignment horizontal="center" vertical="center" wrapText="1"/>
    </xf>
    <xf numFmtId="181" fontId="7" fillId="8" borderId="75" xfId="0" applyNumberFormat="1" applyFont="1" applyFill="1" applyBorder="1" applyAlignment="1" applyProtection="1">
      <alignment horizontal="right" vertical="center"/>
    </xf>
    <xf numFmtId="181" fontId="7" fillId="8" borderId="16" xfId="0" applyNumberFormat="1" applyFont="1" applyFill="1" applyBorder="1" applyAlignment="1" applyProtection="1">
      <alignment horizontal="right" vertical="center"/>
    </xf>
    <xf numFmtId="0" fontId="2" fillId="5" borderId="11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center" vertical="center" wrapText="1"/>
    </xf>
    <xf numFmtId="0" fontId="2" fillId="5" borderId="10" xfId="0" applyFont="1" applyFill="1" applyBorder="1" applyAlignment="1" applyProtection="1">
      <alignment horizontal="center" vertical="center"/>
    </xf>
    <xf numFmtId="0" fontId="0" fillId="25" borderId="39" xfId="0" applyFont="1" applyFill="1" applyBorder="1" applyAlignment="1" applyProtection="1">
      <alignment horizontal="center" vertical="center"/>
      <protection locked="0"/>
    </xf>
    <xf numFmtId="0" fontId="0" fillId="25" borderId="46" xfId="0" applyFont="1" applyFill="1" applyBorder="1" applyAlignment="1" applyProtection="1">
      <alignment horizontal="center" vertical="center"/>
      <protection locked="0"/>
    </xf>
    <xf numFmtId="0" fontId="0" fillId="25" borderId="16" xfId="0" applyFont="1" applyFill="1" applyBorder="1" applyAlignment="1" applyProtection="1">
      <alignment horizontal="center" vertical="center"/>
      <protection locked="0"/>
    </xf>
    <xf numFmtId="0" fontId="0" fillId="25" borderId="47" xfId="0" applyFont="1" applyFill="1" applyBorder="1" applyAlignment="1" applyProtection="1">
      <alignment horizontal="center" vertical="center"/>
      <protection locked="0"/>
    </xf>
    <xf numFmtId="0" fontId="0" fillId="25" borderId="49" xfId="0" applyFont="1" applyFill="1" applyBorder="1" applyAlignment="1" applyProtection="1">
      <alignment horizontal="center" vertical="center"/>
      <protection locked="0"/>
    </xf>
    <xf numFmtId="0" fontId="10" fillId="0" borderId="43" xfId="0" applyFont="1" applyBorder="1" applyAlignment="1" applyProtection="1">
      <alignment horizontal="center" vertical="center" wrapText="1"/>
    </xf>
    <xf numFmtId="182" fontId="32" fillId="35" borderId="26" xfId="3" applyNumberFormat="1" applyFill="1" applyBorder="1" applyAlignment="1" applyProtection="1">
      <alignment horizontal="center" vertical="center"/>
    </xf>
    <xf numFmtId="182" fontId="32" fillId="35" borderId="4" xfId="3" applyNumberFormat="1" applyFill="1" applyBorder="1" applyAlignment="1" applyProtection="1">
      <alignment horizontal="center" vertical="center"/>
    </xf>
    <xf numFmtId="0" fontId="10" fillId="0" borderId="9" xfId="0" applyFont="1" applyBorder="1" applyAlignment="1" applyProtection="1">
      <alignment horizontal="center" vertical="center" wrapText="1"/>
    </xf>
    <xf numFmtId="167" fontId="0" fillId="24" borderId="51" xfId="2" applyNumberFormat="1" applyFont="1" applyFill="1" applyBorder="1" applyAlignment="1" applyProtection="1">
      <alignment horizontal="center" vertical="center"/>
    </xf>
    <xf numFmtId="182" fontId="32" fillId="56" borderId="51" xfId="3" applyNumberFormat="1" applyFill="1" applyBorder="1" applyAlignment="1" applyProtection="1">
      <alignment horizontal="center" vertical="center"/>
    </xf>
    <xf numFmtId="182" fontId="32" fillId="56" borderId="50" xfId="3" applyNumberFormat="1" applyFill="1" applyBorder="1" applyAlignment="1" applyProtection="1">
      <alignment horizontal="center" vertical="center"/>
    </xf>
    <xf numFmtId="0" fontId="10" fillId="0" borderId="25" xfId="0" applyFont="1" applyBorder="1" applyAlignment="1" applyProtection="1">
      <alignment horizontal="center" vertical="center" wrapText="1"/>
    </xf>
    <xf numFmtId="0" fontId="10" fillId="0" borderId="20" xfId="0" applyFont="1" applyBorder="1" applyAlignment="1" applyProtection="1">
      <alignment horizontal="center" vertical="center" wrapText="1"/>
    </xf>
    <xf numFmtId="0" fontId="0" fillId="25" borderId="25" xfId="0" applyFont="1" applyFill="1" applyBorder="1" applyAlignment="1" applyProtection="1">
      <alignment horizontal="center" vertical="center"/>
      <protection locked="0"/>
    </xf>
    <xf numFmtId="0" fontId="0" fillId="25" borderId="26" xfId="0" applyFont="1" applyFill="1" applyBorder="1" applyAlignment="1" applyProtection="1">
      <alignment horizontal="center" vertical="center"/>
      <protection locked="0"/>
    </xf>
    <xf numFmtId="0" fontId="0" fillId="25" borderId="4" xfId="0" applyFont="1" applyFill="1" applyBorder="1" applyAlignment="1" applyProtection="1">
      <alignment horizontal="center" vertical="center"/>
      <protection locked="0"/>
    </xf>
    <xf numFmtId="167" fontId="0" fillId="24" borderId="39" xfId="2" applyNumberFormat="1" applyFont="1" applyFill="1" applyBorder="1" applyAlignment="1" applyProtection="1">
      <alignment horizontal="center" vertical="center"/>
    </xf>
    <xf numFmtId="0" fontId="7" fillId="5" borderId="20" xfId="0" applyFont="1" applyFill="1" applyBorder="1" applyAlignment="1" applyProtection="1">
      <alignment horizontal="center" vertical="center" wrapText="1"/>
    </xf>
    <xf numFmtId="0" fontId="7" fillId="5" borderId="23" xfId="0" applyFont="1" applyFill="1" applyBorder="1" applyAlignment="1" applyProtection="1">
      <alignment horizontal="center" vertical="center" wrapText="1"/>
    </xf>
    <xf numFmtId="167" fontId="2" fillId="5" borderId="12" xfId="0" applyNumberFormat="1" applyFont="1" applyFill="1" applyBorder="1" applyAlignment="1" applyProtection="1">
      <alignment horizontal="center" vertical="center" wrapText="1"/>
    </xf>
    <xf numFmtId="0" fontId="2" fillId="5" borderId="13" xfId="0" applyFont="1" applyFill="1" applyBorder="1" applyAlignment="1" applyProtection="1">
      <alignment horizontal="center" vertical="center"/>
    </xf>
    <xf numFmtId="0" fontId="2" fillId="5" borderId="12" xfId="0" applyFont="1" applyFill="1" applyBorder="1" applyAlignment="1" applyProtection="1">
      <alignment horizontal="center" vertical="center"/>
    </xf>
    <xf numFmtId="0" fontId="2" fillId="5" borderId="56" xfId="0" applyFont="1" applyFill="1" applyBorder="1" applyAlignment="1" applyProtection="1">
      <alignment horizontal="center" vertical="center"/>
    </xf>
    <xf numFmtId="182" fontId="32" fillId="56" borderId="39" xfId="3" applyNumberFormat="1" applyFill="1" applyBorder="1" applyAlignment="1" applyProtection="1">
      <alignment horizontal="center" vertical="center"/>
    </xf>
    <xf numFmtId="0" fontId="0" fillId="55" borderId="2" xfId="0" applyFont="1" applyFill="1" applyBorder="1" applyAlignment="1" applyProtection="1">
      <alignment horizontal="left" vertical="center" wrapText="1"/>
    </xf>
    <xf numFmtId="0" fontId="2" fillId="5" borderId="67" xfId="0" applyFont="1" applyFill="1" applyBorder="1" applyAlignment="1" applyProtection="1">
      <alignment horizontal="center" vertical="center"/>
    </xf>
    <xf numFmtId="3" fontId="0" fillId="0" borderId="0" xfId="0" applyNumberFormat="1" applyFill="1" applyBorder="1" applyAlignment="1" applyProtection="1">
      <alignment horizontal="right"/>
      <protection locked="0"/>
    </xf>
    <xf numFmtId="0" fontId="2" fillId="0" borderId="0" xfId="0" applyFont="1" applyFill="1" applyBorder="1" applyAlignment="1" applyProtection="1">
      <alignment horizontal="center"/>
      <protection locked="0"/>
    </xf>
    <xf numFmtId="3" fontId="0" fillId="0" borderId="0" xfId="0" applyNumberFormat="1" applyBorder="1" applyAlignment="1" applyProtection="1">
      <alignment horizontal="right"/>
      <protection locked="0"/>
    </xf>
    <xf numFmtId="0" fontId="26" fillId="0" borderId="0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/>
    </xf>
    <xf numFmtId="0" fontId="21" fillId="0" borderId="0" xfId="0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left" vertical="center" wrapText="1"/>
    </xf>
    <xf numFmtId="0" fontId="27" fillId="0" borderId="0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/>
    </xf>
    <xf numFmtId="0" fontId="27" fillId="0" borderId="0" xfId="0" applyFont="1" applyFill="1" applyBorder="1" applyAlignment="1">
      <alignment horizontal="justify" vertical="center" wrapText="1"/>
    </xf>
    <xf numFmtId="0" fontId="25" fillId="0" borderId="0" xfId="0" applyFont="1" applyFill="1" applyBorder="1" applyAlignment="1">
      <alignment vertical="center" wrapText="1"/>
    </xf>
    <xf numFmtId="0" fontId="26" fillId="0" borderId="0" xfId="0" applyFont="1" applyFill="1" applyBorder="1" applyAlignment="1">
      <alignment horizontal="center" vertical="center" wrapText="1"/>
    </xf>
    <xf numFmtId="0" fontId="49" fillId="58" borderId="0" xfId="0" applyFont="1" applyFill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/>
    </xf>
    <xf numFmtId="0" fontId="21" fillId="0" borderId="54" xfId="0" applyFont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0" fontId="21" fillId="58" borderId="0" xfId="0" applyFont="1" applyFill="1" applyBorder="1" applyAlignment="1">
      <alignment horizontal="center" vertical="center" wrapText="1"/>
    </xf>
    <xf numFmtId="0" fontId="21" fillId="58" borderId="0" xfId="0" applyFont="1" applyFill="1" applyBorder="1" applyAlignment="1">
      <alignment horizontal="left" vertical="center" wrapText="1"/>
    </xf>
    <xf numFmtId="0" fontId="27" fillId="64" borderId="0" xfId="0" applyFont="1" applyFill="1" applyBorder="1" applyAlignment="1">
      <alignment horizontal="center" vertical="center" wrapText="1"/>
    </xf>
    <xf numFmtId="0" fontId="26" fillId="68" borderId="39" xfId="0" applyFont="1" applyFill="1" applyBorder="1" applyAlignment="1">
      <alignment horizontal="center" vertical="center" wrapText="1"/>
    </xf>
    <xf numFmtId="0" fontId="27" fillId="64" borderId="0" xfId="0" applyFont="1" applyFill="1" applyBorder="1" applyAlignment="1">
      <alignment horizontal="justify" vertical="center" wrapText="1"/>
    </xf>
    <xf numFmtId="0" fontId="49" fillId="58" borderId="0" xfId="0" applyFont="1" applyFill="1" applyBorder="1" applyAlignment="1">
      <alignment horizontal="left" vertical="center" wrapText="1"/>
    </xf>
    <xf numFmtId="0" fontId="41" fillId="58" borderId="0" xfId="0" applyFont="1" applyFill="1" applyBorder="1" applyAlignment="1">
      <alignment horizontal="center" vertical="center" wrapText="1"/>
    </xf>
    <xf numFmtId="0" fontId="21" fillId="0" borderId="5" xfId="0" applyFont="1" applyBorder="1" applyAlignment="1">
      <alignment horizontal="left" vertical="center" wrapText="1"/>
    </xf>
    <xf numFmtId="0" fontId="21" fillId="0" borderId="54" xfId="0" applyFont="1" applyBorder="1" applyAlignment="1">
      <alignment horizontal="left" vertical="center" wrapText="1"/>
    </xf>
    <xf numFmtId="0" fontId="21" fillId="0" borderId="8" xfId="0" applyFont="1" applyBorder="1" applyAlignment="1">
      <alignment horizontal="left" vertical="center" wrapText="1"/>
    </xf>
    <xf numFmtId="0" fontId="21" fillId="0" borderId="2" xfId="0" applyFont="1" applyBorder="1" applyAlignment="1">
      <alignment horizontal="center" vertical="center" wrapText="1"/>
    </xf>
    <xf numFmtId="0" fontId="21" fillId="71" borderId="2" xfId="0" applyFont="1" applyFill="1" applyBorder="1" applyAlignment="1">
      <alignment horizontal="left" vertical="center" wrapText="1"/>
    </xf>
    <xf numFmtId="0" fontId="21" fillId="0" borderId="2" xfId="0" applyFont="1" applyBorder="1" applyAlignment="1">
      <alignment horizontal="left" vertical="center" wrapText="1"/>
    </xf>
    <xf numFmtId="0" fontId="21" fillId="71" borderId="5" xfId="0" applyFont="1" applyFill="1" applyBorder="1" applyAlignment="1">
      <alignment horizontal="left" vertical="center" wrapText="1"/>
    </xf>
    <xf numFmtId="0" fontId="21" fillId="71" borderId="54" xfId="0" applyFont="1" applyFill="1" applyBorder="1" applyAlignment="1">
      <alignment horizontal="left" vertical="center" wrapText="1"/>
    </xf>
    <xf numFmtId="0" fontId="21" fillId="71" borderId="8" xfId="0" applyFont="1" applyFill="1" applyBorder="1" applyAlignment="1">
      <alignment horizontal="left" vertical="center" wrapText="1"/>
    </xf>
    <xf numFmtId="0" fontId="25" fillId="0" borderId="39" xfId="0" applyFont="1" applyBorder="1" applyAlignment="1">
      <alignment vertical="center" wrapText="1"/>
    </xf>
    <xf numFmtId="0" fontId="26" fillId="67" borderId="39" xfId="0" applyFont="1" applyFill="1" applyBorder="1" applyAlignment="1">
      <alignment horizontal="center" vertical="center" wrapText="1"/>
    </xf>
    <xf numFmtId="0" fontId="27" fillId="3" borderId="39" xfId="0" applyFont="1" applyFill="1" applyBorder="1" applyAlignment="1">
      <alignment horizontal="justify" vertical="center" wrapText="1"/>
    </xf>
    <xf numFmtId="0" fontId="27" fillId="3" borderId="39" xfId="0" applyFont="1" applyFill="1" applyBorder="1" applyAlignment="1">
      <alignment horizontal="center" vertical="center" wrapText="1"/>
    </xf>
    <xf numFmtId="0" fontId="0" fillId="0" borderId="46" xfId="0" applyBorder="1" applyAlignment="1" applyProtection="1">
      <alignment horizontal="center" vertical="center" wrapText="1"/>
      <protection locked="0"/>
    </xf>
    <xf numFmtId="0" fontId="0" fillId="0" borderId="53" xfId="0" applyBorder="1" applyAlignment="1" applyProtection="1">
      <alignment horizontal="center" vertical="center" wrapText="1"/>
      <protection locked="0"/>
    </xf>
    <xf numFmtId="0" fontId="0" fillId="0" borderId="16" xfId="0" applyBorder="1" applyAlignment="1" applyProtection="1">
      <alignment horizontal="center" vertical="center" wrapText="1"/>
      <protection locked="0"/>
    </xf>
    <xf numFmtId="0" fontId="0" fillId="0" borderId="65" xfId="0" applyBorder="1" applyAlignment="1" applyProtection="1">
      <alignment horizontal="center" vertical="center" wrapText="1"/>
      <protection locked="0"/>
    </xf>
    <xf numFmtId="0" fontId="0" fillId="0" borderId="0" xfId="0" applyBorder="1" applyAlignment="1" applyProtection="1">
      <alignment horizontal="center" vertical="center" wrapText="1"/>
      <protection locked="0"/>
    </xf>
    <xf numFmtId="0" fontId="0" fillId="0" borderId="66" xfId="0" applyBorder="1" applyAlignment="1" applyProtection="1">
      <alignment horizontal="center" vertical="center" wrapText="1"/>
      <protection locked="0"/>
    </xf>
    <xf numFmtId="0" fontId="0" fillId="0" borderId="47" xfId="0" applyBorder="1" applyAlignment="1" applyProtection="1">
      <alignment horizontal="center" vertical="center" wrapText="1"/>
      <protection locked="0"/>
    </xf>
    <xf numFmtId="0" fontId="0" fillId="0" borderId="68" xfId="0" applyBorder="1" applyAlignment="1" applyProtection="1">
      <alignment horizontal="center" vertical="center" wrapText="1"/>
      <protection locked="0"/>
    </xf>
    <xf numFmtId="0" fontId="0" fillId="0" borderId="49" xfId="0" applyBorder="1" applyAlignment="1" applyProtection="1">
      <alignment horizontal="center" vertical="center" wrapText="1"/>
      <protection locked="0"/>
    </xf>
    <xf numFmtId="165" fontId="0" fillId="58" borderId="2" xfId="0" applyNumberFormat="1" applyFont="1" applyFill="1" applyBorder="1" applyAlignment="1" applyProtection="1">
      <alignment horizontal="center"/>
      <protection locked="0"/>
    </xf>
    <xf numFmtId="0" fontId="0" fillId="58" borderId="2" xfId="0" applyFont="1" applyFill="1" applyBorder="1" applyAlignment="1" applyProtection="1">
      <alignment horizontal="center"/>
      <protection locked="0"/>
    </xf>
    <xf numFmtId="180" fontId="45" fillId="58" borderId="2" xfId="5" applyFont="1" applyFill="1" applyBorder="1" applyAlignment="1" applyProtection="1">
      <alignment horizontal="center" vertical="center"/>
    </xf>
    <xf numFmtId="184" fontId="53" fillId="69" borderId="62" xfId="0" applyNumberFormat="1" applyFont="1" applyFill="1" applyBorder="1" applyAlignment="1">
      <alignment horizontal="right"/>
    </xf>
    <xf numFmtId="184" fontId="53" fillId="69" borderId="75" xfId="0" applyNumberFormat="1" applyFont="1" applyFill="1" applyBorder="1" applyAlignment="1">
      <alignment horizontal="right"/>
    </xf>
    <xf numFmtId="0" fontId="4" fillId="0" borderId="0" xfId="0" applyFont="1" applyBorder="1" applyAlignment="1">
      <alignment horizontal="left" vertical="center" indent="4"/>
    </xf>
  </cellXfs>
  <cellStyles count="11">
    <cellStyle name="Hipervínculo" xfId="4" builtinId="8"/>
    <cellStyle name="Millares" xfId="1" builtinId="3"/>
    <cellStyle name="Moneda" xfId="2" builtinId="4"/>
    <cellStyle name="Moneda [0]" xfId="6" builtinId="7"/>
    <cellStyle name="Moneda 2" xfId="10" xr:uid="{030CCE88-3F85-4227-9A20-A35F153E0FCC}"/>
    <cellStyle name="Moneda 2 2" xfId="9" xr:uid="{837B15C6-D487-4AAA-B626-0DE42AF7DE37}"/>
    <cellStyle name="Moneda 3" xfId="8" xr:uid="{A054C5DA-4DA7-4C23-8AB9-A5DBF56ADE37}"/>
    <cellStyle name="Normal" xfId="0" builtinId="0"/>
    <cellStyle name="Normal 2" xfId="7" xr:uid="{A784D68A-AF6C-4212-AFAB-CBBF6CC6E20B}"/>
    <cellStyle name="Porcentaje" xfId="3" builtinId="5"/>
    <cellStyle name="Texto explicativo" xfId="5" builtinId="53" customBuiltin="1"/>
  </cellStyles>
  <dxfs count="8"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colors>
    <indexedColors>
      <rgbColor rgb="FF000000"/>
      <rgbColor rgb="FFFFFFFF"/>
      <rgbColor rgb="FFFF0000"/>
      <rgbColor rgb="FFA1B3C9"/>
      <rgbColor rgb="FF0000FF"/>
      <rgbColor rgb="FFFFFF00"/>
      <rgbColor rgb="FFD3C0C0"/>
      <rgbColor rgb="FF8EB7E5"/>
      <rgbColor rgb="FFC00000"/>
      <rgbColor rgb="FF94A2B5"/>
      <rgbColor rgb="FFDBCBE4"/>
      <rgbColor rgb="FFB97035"/>
      <rgbColor rgb="FFBABAC7"/>
      <rgbColor rgb="FF578FD5"/>
      <rgbColor rgb="FFBFBFC0"/>
      <rgbColor rgb="FFA0816E"/>
      <rgbColor rgb="FF95B3D7"/>
      <rgbColor rgb="FFB48384"/>
      <rgbColor rgb="FFFFFFF2"/>
      <rgbColor rgb="FFE4E6EC"/>
      <rgbColor rgb="FFBFBFBF"/>
      <rgbColor rgb="FFD99694"/>
      <rgbColor rgb="FF799CC6"/>
      <rgbColor rgb="FFC6D9F1"/>
      <rgbColor rgb="FFE6D3DF"/>
      <rgbColor rgb="FFBDBDBE"/>
      <rgbColor rgb="FFDFDF00"/>
      <rgbColor rgb="FFA8D08D"/>
      <rgbColor rgb="FFADBDD3"/>
      <rgbColor rgb="FFB5C6E8"/>
      <rgbColor rgb="FF5C95D6"/>
      <rgbColor rgb="FFB9CDE5"/>
      <rgbColor rgb="FF00B7F7"/>
      <rgbColor rgb="FFD9D9D9"/>
      <rgbColor rgb="FFDFDFE0"/>
      <rgbColor rgb="FFF3DCDB"/>
      <rgbColor rgb="FFB1C0EB"/>
      <rgbColor rgb="FFE6B9B8"/>
      <rgbColor rgb="FFB5B5CF"/>
      <rgbColor rgb="FFFFD966"/>
      <rgbColor rgb="FF2B79BB"/>
      <rgbColor rgb="FF649DD7"/>
      <rgbColor rgb="FFBFBF00"/>
      <rgbColor rgb="FFFFC000"/>
      <rgbColor rgb="FFF79646"/>
      <rgbColor rgb="FFD8833E"/>
      <rgbColor rgb="FF3D81C5"/>
      <rgbColor rgb="FF9E9E9F"/>
      <rgbColor rgb="FF0B2B4B"/>
      <rgbColor rgb="FF568ED4"/>
      <rgbColor rgb="FFB8C1C4"/>
      <rgbColor rgb="FFB5A5A5"/>
      <rgbColor rgb="FFA2A3AE"/>
      <rgbColor rgb="FFBD9CA1"/>
      <rgbColor rgb="FF849DBF"/>
      <rgbColor rgb="FFA6A6A7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hyperlink" Target="#'&#205;ndice Tablas '.A1"/><Relationship Id="rId1" Type="http://schemas.openxmlformats.org/officeDocument/2006/relationships/hyperlink" Target="#'D) Costos Indirectos '.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285840</xdr:colOff>
      <xdr:row>3</xdr:row>
      <xdr:rowOff>119160</xdr:rowOff>
    </xdr:from>
    <xdr:to>
      <xdr:col>8</xdr:col>
      <xdr:colOff>285120</xdr:colOff>
      <xdr:row>5</xdr:row>
      <xdr:rowOff>70920</xdr:rowOff>
    </xdr:to>
    <xdr:sp macro="" textlink="">
      <xdr:nvSpPr>
        <xdr:cNvPr id="2" name="CustomShap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285840" y="604800"/>
          <a:ext cx="6582960" cy="275400"/>
        </a:xfrm>
        <a:prstGeom prst="rect">
          <a:avLst/>
        </a:prstGeom>
        <a:solidFill>
          <a:srgbClr val="FFFF00"/>
        </a:solidFill>
        <a:ln w="28440">
          <a:solidFill>
            <a:srgbClr val="C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90000" tIns="45000" rIns="90000" bIns="45000" anchor="ctr"/>
        <a:lstStyle/>
        <a:p>
          <a:pPr algn="ctr">
            <a:lnSpc>
              <a:spcPct val="100000"/>
            </a:lnSpc>
          </a:pPr>
          <a:r>
            <a:rPr lang="es-CL" sz="1050" b="1" strike="noStrike" spc="-1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Arial"/>
            </a:rPr>
            <a:t>INGRESE LOS DATOS EN LAS CELDAS DESTACADAS EN COLOR AMARILLO Y NARANJO</a:t>
          </a:r>
          <a:endParaRPr lang="es-CL" sz="1200" b="0" strike="noStrike" spc="-1">
            <a:solidFill>
              <a:srgbClr val="000000"/>
            </a:solidFill>
            <a:uFill>
              <a:solidFill>
                <a:srgbClr val="FFFFFF"/>
              </a:solidFill>
            </a:uFill>
            <a:latin typeface="Times New Roman"/>
          </a:endParaRPr>
        </a:p>
      </xdr:txBody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17</xdr:col>
      <xdr:colOff>203895</xdr:colOff>
      <xdr:row>57</xdr:row>
      <xdr:rowOff>26511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D1F98AB6-FEE3-4F15-8A57-7E51AE8E65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2583" y="1111250"/>
          <a:ext cx="12565229" cy="796401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109</xdr:row>
      <xdr:rowOff>0</xdr:rowOff>
    </xdr:from>
    <xdr:to>
      <xdr:col>17</xdr:col>
      <xdr:colOff>211666</xdr:colOff>
      <xdr:row>159</xdr:row>
      <xdr:rowOff>7459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44A6623C-194D-48FB-9950-C401EFF913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72583" y="17303750"/>
          <a:ext cx="12573000" cy="794495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160</xdr:row>
      <xdr:rowOff>0</xdr:rowOff>
    </xdr:from>
    <xdr:to>
      <xdr:col>9</xdr:col>
      <xdr:colOff>10583</xdr:colOff>
      <xdr:row>209</xdr:row>
      <xdr:rowOff>99524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id="{17BF28CB-FE1B-4CA5-8E2E-6D11F874B4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72583" y="25400000"/>
          <a:ext cx="6191250" cy="787827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58</xdr:row>
      <xdr:rowOff>0</xdr:rowOff>
    </xdr:from>
    <xdr:to>
      <xdr:col>17</xdr:col>
      <xdr:colOff>190500</xdr:colOff>
      <xdr:row>107</xdr:row>
      <xdr:rowOff>118577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C2FFA699-2023-4901-B719-B7E3F48C6D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72583" y="9207500"/>
          <a:ext cx="12551834" cy="789732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369000</xdr:colOff>
      <xdr:row>1</xdr:row>
      <xdr:rowOff>71280</xdr:rowOff>
    </xdr:from>
    <xdr:to>
      <xdr:col>0</xdr:col>
      <xdr:colOff>1118520</xdr:colOff>
      <xdr:row>6</xdr:row>
      <xdr:rowOff>3110</xdr:rowOff>
    </xdr:to>
    <xdr:sp macro="" textlink="">
      <xdr:nvSpPr>
        <xdr:cNvPr id="5" name="CustomShape 1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369000" y="232920"/>
          <a:ext cx="749520" cy="878040"/>
        </a:xfrm>
        <a:prstGeom prst="rightArrow">
          <a:avLst>
            <a:gd name="adj1" fmla="val 50000"/>
            <a:gd name="adj2" fmla="val 50000"/>
          </a:avLst>
        </a:prstGeom>
        <a:solidFill>
          <a:srgbClr val="00B0F0"/>
        </a:solidFill>
        <a:ln>
          <a:noFill/>
        </a:ln>
        <a:effectLst>
          <a:outerShdw blurRad="40000" dist="23000" dir="5400000" rotWithShape="0">
            <a:srgbClr val="000000">
              <a:alpha val="35000"/>
            </a:srgbClr>
          </a:outerShdw>
        </a:effectLst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/>
      </xdr:style>
      <xdr:txBody>
        <a:bodyPr lIns="18360" tIns="0" rIns="0" bIns="0" anchor="ctr"/>
        <a:lstStyle/>
        <a:p>
          <a:pPr algn="ctr">
            <a:lnSpc>
              <a:spcPct val="100000"/>
            </a:lnSpc>
          </a:pPr>
          <a:r>
            <a:rPr lang="es-CL" sz="1200" b="1" strike="noStrike" spc="-1">
              <a:solidFill>
                <a:srgbClr val="FF0000"/>
              </a:solidFill>
              <a:uFill>
                <a:solidFill>
                  <a:srgbClr val="FFFFFF"/>
                </a:solidFill>
              </a:uFill>
              <a:latin typeface="Calibri"/>
            </a:rPr>
            <a:t>Ir a </a:t>
          </a:r>
          <a:endParaRPr lang="es-CL" sz="1200" b="0" strike="noStrike" spc="-1">
            <a:solidFill>
              <a:srgbClr val="000000"/>
            </a:solidFill>
            <a:uFill>
              <a:solidFill>
                <a:srgbClr val="FFFFFF"/>
              </a:solidFill>
            </a:uFill>
            <a:latin typeface="Times New Roman"/>
          </a:endParaRPr>
        </a:p>
        <a:p>
          <a:pPr algn="ctr">
            <a:lnSpc>
              <a:spcPct val="100000"/>
            </a:lnSpc>
          </a:pPr>
          <a:r>
            <a:rPr lang="es-CL" sz="1200" b="1" strike="noStrike" spc="-1">
              <a:solidFill>
                <a:srgbClr val="FF0000"/>
              </a:solidFill>
              <a:uFill>
                <a:solidFill>
                  <a:srgbClr val="FFFFFF"/>
                </a:solidFill>
              </a:uFill>
              <a:latin typeface="Calibri"/>
            </a:rPr>
            <a:t>TABLA 4</a:t>
          </a:r>
          <a:endParaRPr lang="es-CL" sz="1200" b="0" strike="noStrike" spc="-1">
            <a:solidFill>
              <a:srgbClr val="000000"/>
            </a:solidFill>
            <a:uFill>
              <a:solidFill>
                <a:srgbClr val="FFFFFF"/>
              </a:solidFill>
            </a:uFill>
            <a:latin typeface="Times New Roman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333360</xdr:colOff>
      <xdr:row>2</xdr:row>
      <xdr:rowOff>47520</xdr:rowOff>
    </xdr:from>
    <xdr:to>
      <xdr:col>32</xdr:col>
      <xdr:colOff>749520</xdr:colOff>
      <xdr:row>3</xdr:row>
      <xdr:rowOff>177840</xdr:rowOff>
    </xdr:to>
    <xdr:sp macro="" textlink="">
      <xdr:nvSpPr>
        <xdr:cNvPr id="6" name="Custom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/>
      </xdr:nvSpPr>
      <xdr:spPr>
        <a:xfrm>
          <a:off x="43424280" y="371160"/>
          <a:ext cx="416160" cy="292320"/>
        </a:xfrm>
        <a:prstGeom prst="rightArrow">
          <a:avLst>
            <a:gd name="adj1" fmla="val 50000"/>
            <a:gd name="adj2" fmla="val 50000"/>
          </a:avLst>
        </a:prstGeom>
        <a:solidFill>
          <a:srgbClr val="0000CC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24</xdr:col>
      <xdr:colOff>0</xdr:colOff>
      <xdr:row>3</xdr:row>
      <xdr:rowOff>0</xdr:rowOff>
    </xdr:from>
    <xdr:to>
      <xdr:col>24</xdr:col>
      <xdr:colOff>416160</xdr:colOff>
      <xdr:row>4</xdr:row>
      <xdr:rowOff>58680</xdr:rowOff>
    </xdr:to>
    <xdr:sp macro="" textlink="">
      <xdr:nvSpPr>
        <xdr:cNvPr id="7" name="Custom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/>
      </xdr:nvSpPr>
      <xdr:spPr>
        <a:xfrm>
          <a:off x="35188920" y="485640"/>
          <a:ext cx="416160" cy="296640"/>
        </a:xfrm>
        <a:prstGeom prst="rightArrow">
          <a:avLst>
            <a:gd name="adj1" fmla="val 50000"/>
            <a:gd name="adj2" fmla="val 50000"/>
          </a:avLst>
        </a:prstGeom>
        <a:solidFill>
          <a:srgbClr val="0000CC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20</xdr:col>
      <xdr:colOff>0</xdr:colOff>
      <xdr:row>3</xdr:row>
      <xdr:rowOff>0</xdr:rowOff>
    </xdr:from>
    <xdr:to>
      <xdr:col>20</xdr:col>
      <xdr:colOff>416160</xdr:colOff>
      <xdr:row>4</xdr:row>
      <xdr:rowOff>58680</xdr:rowOff>
    </xdr:to>
    <xdr:sp macro="" textlink="">
      <xdr:nvSpPr>
        <xdr:cNvPr id="8" name="Custom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/>
      </xdr:nvSpPr>
      <xdr:spPr>
        <a:xfrm>
          <a:off x="27645120" y="485640"/>
          <a:ext cx="416160" cy="296640"/>
        </a:xfrm>
        <a:prstGeom prst="rightArrow">
          <a:avLst>
            <a:gd name="adj1" fmla="val 50000"/>
            <a:gd name="adj2" fmla="val 50000"/>
          </a:avLst>
        </a:prstGeom>
        <a:solidFill>
          <a:srgbClr val="0000CC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12</xdr:col>
      <xdr:colOff>369000</xdr:colOff>
      <xdr:row>3</xdr:row>
      <xdr:rowOff>23760</xdr:rowOff>
    </xdr:from>
    <xdr:to>
      <xdr:col>12</xdr:col>
      <xdr:colOff>785160</xdr:colOff>
      <xdr:row>4</xdr:row>
      <xdr:rowOff>82440</xdr:rowOff>
    </xdr:to>
    <xdr:sp macro="" textlink="">
      <xdr:nvSpPr>
        <xdr:cNvPr id="9" name="Custom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/>
      </xdr:nvSpPr>
      <xdr:spPr>
        <a:xfrm>
          <a:off x="18977040" y="509400"/>
          <a:ext cx="416160" cy="296640"/>
        </a:xfrm>
        <a:prstGeom prst="rightArrow">
          <a:avLst>
            <a:gd name="adj1" fmla="val 50000"/>
            <a:gd name="adj2" fmla="val 50000"/>
          </a:avLst>
        </a:prstGeom>
        <a:solidFill>
          <a:srgbClr val="0000CC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39</xdr:col>
      <xdr:colOff>0</xdr:colOff>
      <xdr:row>3</xdr:row>
      <xdr:rowOff>0</xdr:rowOff>
    </xdr:from>
    <xdr:to>
      <xdr:col>39</xdr:col>
      <xdr:colOff>416160</xdr:colOff>
      <xdr:row>4</xdr:row>
      <xdr:rowOff>58680</xdr:rowOff>
    </xdr:to>
    <xdr:sp macro="" textlink="">
      <xdr:nvSpPr>
        <xdr:cNvPr id="10" name="Custom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/>
      </xdr:nvSpPr>
      <xdr:spPr>
        <a:xfrm>
          <a:off x="50177520" y="485640"/>
          <a:ext cx="416160" cy="296640"/>
        </a:xfrm>
        <a:prstGeom prst="rightArrow">
          <a:avLst>
            <a:gd name="adj1" fmla="val 50000"/>
            <a:gd name="adj2" fmla="val 50000"/>
          </a:avLst>
        </a:prstGeom>
        <a:solidFill>
          <a:srgbClr val="0000CC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897480</xdr:colOff>
      <xdr:row>2</xdr:row>
      <xdr:rowOff>0</xdr:rowOff>
    </xdr:from>
    <xdr:to>
      <xdr:col>1</xdr:col>
      <xdr:colOff>1307520</xdr:colOff>
      <xdr:row>5</xdr:row>
      <xdr:rowOff>142200</xdr:rowOff>
    </xdr:to>
    <xdr:sp macro="" textlink="">
      <xdr:nvSpPr>
        <xdr:cNvPr id="11" name="CustomShape 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/>
      </xdr:nvSpPr>
      <xdr:spPr>
        <a:xfrm flipH="1">
          <a:off x="897480" y="323640"/>
          <a:ext cx="1324440" cy="704160"/>
        </a:xfrm>
        <a:prstGeom prst="rightArrow">
          <a:avLst>
            <a:gd name="adj1" fmla="val 68919"/>
            <a:gd name="adj2" fmla="val 37302"/>
          </a:avLst>
        </a:prstGeom>
        <a:solidFill>
          <a:srgbClr val="00B0F0"/>
        </a:solidFill>
        <a:ln>
          <a:noFill/>
        </a:ln>
        <a:effectLst>
          <a:outerShdw blurRad="40000" dist="23000" dir="5400000" rotWithShape="0">
            <a:srgbClr val="000000">
              <a:alpha val="35000"/>
            </a:srgbClr>
          </a:outerShdw>
        </a:effectLst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/>
      </xdr:style>
      <xdr:txBody>
        <a:bodyPr lIns="18360" tIns="0" rIns="0" bIns="0" anchor="ctr"/>
        <a:lstStyle/>
        <a:p>
          <a:pPr algn="ctr">
            <a:lnSpc>
              <a:spcPct val="100000"/>
            </a:lnSpc>
          </a:pPr>
          <a:r>
            <a:rPr lang="es-CL" sz="1200" b="1" strike="noStrike" spc="-1">
              <a:solidFill>
                <a:srgbClr val="FF0000"/>
              </a:solidFill>
              <a:uFill>
                <a:solidFill>
                  <a:srgbClr val="FFFFFF"/>
                </a:solidFill>
              </a:uFill>
              <a:latin typeface="Calibri"/>
            </a:rPr>
            <a:t>Regresar</a:t>
          </a:r>
          <a:endParaRPr lang="es-CL" sz="1200" b="0" strike="noStrike" spc="-1">
            <a:solidFill>
              <a:srgbClr val="000000"/>
            </a:solidFill>
            <a:uFill>
              <a:solidFill>
                <a:srgbClr val="FFFFFF"/>
              </a:solidFill>
            </a:uFill>
            <a:latin typeface="Times New Roman"/>
          </a:endParaRPr>
        </a:p>
        <a:p>
          <a:pPr algn="ctr">
            <a:lnSpc>
              <a:spcPct val="100000"/>
            </a:lnSpc>
          </a:pPr>
          <a:r>
            <a:rPr lang="es-CL" sz="1200" b="1" strike="noStrike" spc="-1">
              <a:solidFill>
                <a:srgbClr val="FF0000"/>
              </a:solidFill>
              <a:uFill>
                <a:solidFill>
                  <a:srgbClr val="FFFFFF"/>
                </a:solidFill>
              </a:uFill>
              <a:latin typeface="Calibri"/>
            </a:rPr>
            <a:t>Indice Tablas</a:t>
          </a:r>
          <a:endParaRPr lang="es-CL" sz="1200" b="0" strike="noStrike" spc="-1">
            <a:solidFill>
              <a:srgbClr val="000000"/>
            </a:solidFill>
            <a:uFill>
              <a:solidFill>
                <a:srgbClr val="FFFFFF"/>
              </a:solidFill>
            </a:uFill>
            <a:latin typeface="Times New Roman"/>
          </a:endParaRPr>
        </a:p>
        <a:p>
          <a:pPr algn="ctr">
            <a:lnSpc>
              <a:spcPct val="100000"/>
            </a:lnSpc>
          </a:pPr>
          <a:endParaRPr lang="es-CL" sz="1200" b="0" strike="noStrike" spc="-1">
            <a:solidFill>
              <a:srgbClr val="000000"/>
            </a:solidFill>
            <a:uFill>
              <a:solidFill>
                <a:srgbClr val="FFFFFF"/>
              </a:solidFill>
            </a:uFill>
            <a:latin typeface="Times New Roman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790575</xdr:colOff>
      <xdr:row>121</xdr:row>
      <xdr:rowOff>66675</xdr:rowOff>
    </xdr:to>
    <xdr:sp macro="" textlink="">
      <xdr:nvSpPr>
        <xdr:cNvPr id="4112" name="shapetype_202" hidden="1">
          <a:extLst>
            <a:ext uri="{FF2B5EF4-FFF2-40B4-BE49-F238E27FC236}">
              <a16:creationId xmlns:a16="http://schemas.microsoft.com/office/drawing/2014/main" id="{00000000-0008-0000-0900-00001010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790575</xdr:colOff>
      <xdr:row>121</xdr:row>
      <xdr:rowOff>66675</xdr:rowOff>
    </xdr:to>
    <xdr:sp macro="" textlink="">
      <xdr:nvSpPr>
        <xdr:cNvPr id="4110" name="shapetype_202" hidden="1">
          <a:extLst>
            <a:ext uri="{FF2B5EF4-FFF2-40B4-BE49-F238E27FC236}">
              <a16:creationId xmlns:a16="http://schemas.microsoft.com/office/drawing/2014/main" id="{00000000-0008-0000-0900-00000E10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790575</xdr:colOff>
      <xdr:row>121</xdr:row>
      <xdr:rowOff>66675</xdr:rowOff>
    </xdr:to>
    <xdr:sp macro="" textlink="">
      <xdr:nvSpPr>
        <xdr:cNvPr id="4108" name="shapetype_202" hidden="1">
          <a:extLst>
            <a:ext uri="{FF2B5EF4-FFF2-40B4-BE49-F238E27FC236}">
              <a16:creationId xmlns:a16="http://schemas.microsoft.com/office/drawing/2014/main" id="{00000000-0008-0000-0900-00000C10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790575</xdr:colOff>
      <xdr:row>121</xdr:row>
      <xdr:rowOff>66675</xdr:rowOff>
    </xdr:to>
    <xdr:sp macro="" textlink="">
      <xdr:nvSpPr>
        <xdr:cNvPr id="4106" name="shapetype_202" hidden="1">
          <a:extLst>
            <a:ext uri="{FF2B5EF4-FFF2-40B4-BE49-F238E27FC236}">
              <a16:creationId xmlns:a16="http://schemas.microsoft.com/office/drawing/2014/main" id="{00000000-0008-0000-0900-00000A10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790575</xdr:colOff>
      <xdr:row>121</xdr:row>
      <xdr:rowOff>66675</xdr:rowOff>
    </xdr:to>
    <xdr:sp macro="" textlink="">
      <xdr:nvSpPr>
        <xdr:cNvPr id="4104" name="shapetype_202" hidden="1">
          <a:extLst>
            <a:ext uri="{FF2B5EF4-FFF2-40B4-BE49-F238E27FC236}">
              <a16:creationId xmlns:a16="http://schemas.microsoft.com/office/drawing/2014/main" id="{00000000-0008-0000-0900-00000810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790575</xdr:colOff>
      <xdr:row>121</xdr:row>
      <xdr:rowOff>66675</xdr:rowOff>
    </xdr:to>
    <xdr:sp macro="" textlink="">
      <xdr:nvSpPr>
        <xdr:cNvPr id="4102" name="shapetype_202" hidden="1">
          <a:extLst>
            <a:ext uri="{FF2B5EF4-FFF2-40B4-BE49-F238E27FC236}">
              <a16:creationId xmlns:a16="http://schemas.microsoft.com/office/drawing/2014/main" id="{00000000-0008-0000-0900-00000610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790575</xdr:colOff>
      <xdr:row>121</xdr:row>
      <xdr:rowOff>66675</xdr:rowOff>
    </xdr:to>
    <xdr:sp macro="" textlink="">
      <xdr:nvSpPr>
        <xdr:cNvPr id="4100" name="shapetype_202" hidden="1">
          <a:extLst>
            <a:ext uri="{FF2B5EF4-FFF2-40B4-BE49-F238E27FC236}">
              <a16:creationId xmlns:a16="http://schemas.microsoft.com/office/drawing/2014/main" id="{00000000-0008-0000-0900-00000410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790575</xdr:colOff>
      <xdr:row>121</xdr:row>
      <xdr:rowOff>66675</xdr:rowOff>
    </xdr:to>
    <xdr:sp macro="" textlink="">
      <xdr:nvSpPr>
        <xdr:cNvPr id="4098" name="shapetype_202" hidden="1">
          <a:extLst>
            <a:ext uri="{FF2B5EF4-FFF2-40B4-BE49-F238E27FC236}">
              <a16:creationId xmlns:a16="http://schemas.microsoft.com/office/drawing/2014/main" id="{00000000-0008-0000-0900-00000210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84590886\AppData\Local\Microsoft\Windows\Temporary%20Internet%20Files\Content.Outlook\UCTDKSZC\13426884\Desktop\PLANILLAS%20TARIFAS%202020%20(A.%20EDUCACIONAL)\PLANILLA%20TARIFAS%20A.%20EDUCACIONAL%202020%20(BIENTALC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G://Documentos/2021/TARIFAS%202022/ANALISIS%20COSTOS%20INDIRECTOS/3000%20C.I.%20BIENVALP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84590886\Desktop\Copia%20de%20BDvrs2%20TARIFAS%202023-EDUCACIONAL%20(2)dalegr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ciones"/>
      <sheetName val="Índice Tablas"/>
      <sheetName val="A) Resumen Ingresos y Egresos"/>
      <sheetName val="B) Reajuste Tarifas y Ocupación"/>
      <sheetName val="C) Costos Directos"/>
      <sheetName val="D) Costos Indirectos"/>
      <sheetName val="E) Resumen Tarifado "/>
      <sheetName val="F) Remuneraciones"/>
      <sheetName val="G) Comparación Mercado"/>
      <sheetName val="H) Detalle Datos"/>
    </sheetNames>
    <sheetDataSet>
      <sheetData sheetId="0"/>
      <sheetData sheetId="1"/>
      <sheetData sheetId="2"/>
      <sheetData sheetId="3">
        <row r="5">
          <cell r="F5" t="str">
            <v>(DEPTO./DELEG.)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. COMERCIAL"/>
      <sheetName val="A. EDUCACIONAL"/>
      <sheetName val="A. RECREATIVA"/>
      <sheetName val="CONSOLIDADO"/>
      <sheetName val="$$"/>
      <sheetName val="REMUNERACIONES"/>
    </sheetNames>
    <sheetDataSet>
      <sheetData sheetId="0"/>
      <sheetData sheetId="1"/>
      <sheetData sheetId="2"/>
      <sheetData sheetId="3"/>
      <sheetData sheetId="4">
        <row r="70">
          <cell r="L70">
            <v>224139234.66666701</v>
          </cell>
        </row>
      </sheetData>
      <sheetData sheetId="5">
        <row r="3">
          <cell r="Z3">
            <v>10802448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BD EDU"/>
      <sheetName val="AGUI y BONOS"/>
    </sheetNames>
    <sheetDataSet>
      <sheetData sheetId="0">
        <row r="19">
          <cell r="AJ19">
            <v>668765</v>
          </cell>
          <cell r="AP19">
            <v>272746</v>
          </cell>
        </row>
        <row r="22">
          <cell r="AJ22">
            <v>872368</v>
          </cell>
        </row>
        <row r="27">
          <cell r="AJ27">
            <v>437800</v>
          </cell>
        </row>
        <row r="28">
          <cell r="AJ28">
            <v>641518</v>
          </cell>
        </row>
        <row r="29">
          <cell r="AJ29">
            <v>629311</v>
          </cell>
        </row>
        <row r="30">
          <cell r="AJ30">
            <v>437800</v>
          </cell>
        </row>
        <row r="45">
          <cell r="AJ45">
            <v>629311</v>
          </cell>
        </row>
        <row r="57">
          <cell r="AP57">
            <v>272746</v>
          </cell>
        </row>
        <row r="68">
          <cell r="AJ68">
            <v>203858</v>
          </cell>
        </row>
        <row r="77">
          <cell r="AJ77">
            <v>646888</v>
          </cell>
        </row>
        <row r="80">
          <cell r="AJ80">
            <v>646888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K2"/>
  <sheetViews>
    <sheetView showGridLines="0" tabSelected="1" zoomScale="90" zoomScaleNormal="90" workbookViewId="0">
      <selection activeCell="S91" sqref="S91"/>
    </sheetView>
  </sheetViews>
  <sheetFormatPr baseColWidth="10" defaultColWidth="9.140625" defaultRowHeight="12.75" x14ac:dyDescent="0.2"/>
  <cols>
    <col min="1" max="1025" width="11.5703125" style="1"/>
  </cols>
  <sheetData>
    <row r="1" spans="10:10" x14ac:dyDescent="0.2">
      <c r="J1" s="2"/>
    </row>
    <row r="2" spans="10:10" x14ac:dyDescent="0.2">
      <c r="J2" s="2" t="s">
        <v>0</v>
      </c>
    </row>
  </sheetData>
  <sheetProtection algorithmName="SHA-512" hashValue="i/9Yg4McyP6mMXhKa1ZhLaD5FU9Dr1I+e1s+YXPzpYpV7PIlG15TmZHYPpwewRSF3YQ9IAWcRM2EPAjcW/2Y6w==" saltValue="TPaBg+1oaSh9PUMr8EAMLg==" spinCount="100000" sheet="1" objects="1" scenarios="1"/>
  <pageMargins left="0.7" right="0.7" top="0.75" bottom="0.75" header="0.51180555555555496" footer="0.51180555555555496"/>
  <pageSetup paperSize="9" firstPageNumber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48A54"/>
  </sheetPr>
  <dimension ref="A1:AMG354"/>
  <sheetViews>
    <sheetView showGridLines="0" topLeftCell="AV31" zoomScale="95" zoomScaleNormal="95" workbookViewId="0">
      <selection activeCell="AE58" sqref="AE58"/>
    </sheetView>
  </sheetViews>
  <sheetFormatPr baseColWidth="10" defaultColWidth="9.140625" defaultRowHeight="12.75" x14ac:dyDescent="0.2"/>
  <cols>
    <col min="1" max="1" width="11.5703125" style="504" customWidth="1"/>
    <col min="2" max="2" width="15.42578125" style="504" customWidth="1"/>
    <col min="3" max="3" width="13.85546875" style="504" customWidth="1"/>
    <col min="4" max="4" width="11.5703125" style="504"/>
    <col min="5" max="5" width="13.140625" style="504" customWidth="1"/>
    <col min="6" max="6" width="10.42578125" style="504" customWidth="1"/>
    <col min="7" max="8" width="11.140625" style="504" customWidth="1"/>
    <col min="9" max="9" width="7" style="504" customWidth="1"/>
    <col min="10" max="10" width="10.42578125" style="504" customWidth="1"/>
    <col min="11" max="11" width="17.5703125" style="504" customWidth="1"/>
    <col min="12" max="12" width="21.42578125" style="504" customWidth="1"/>
    <col min="13" max="13" width="14.42578125" style="504" customWidth="1"/>
    <col min="14" max="14" width="14.85546875" style="504" customWidth="1"/>
    <col min="15" max="15" width="13.5703125" style="504" customWidth="1"/>
    <col min="16" max="16" width="12.42578125" style="504" customWidth="1"/>
    <col min="17" max="17" width="18.5703125" style="504" customWidth="1"/>
    <col min="18" max="18" width="14.85546875" style="504" customWidth="1"/>
    <col min="19" max="19" width="25.85546875" style="504" customWidth="1"/>
    <col min="20" max="20" width="15.5703125" style="504"/>
    <col min="21" max="21" width="13.5703125" style="504"/>
    <col min="22" max="22" width="15.5703125" style="504" customWidth="1"/>
    <col min="23" max="23" width="10.42578125" style="504" customWidth="1"/>
    <col min="24" max="25" width="13.42578125" style="504" customWidth="1"/>
    <col min="26" max="26" width="9.42578125" style="504" customWidth="1"/>
    <col min="27" max="27" width="7.42578125" style="504" customWidth="1"/>
    <col min="28" max="28" width="6.42578125" style="504" customWidth="1"/>
    <col min="29" max="29" width="9" style="504" customWidth="1"/>
    <col min="30" max="30" width="11.7109375" style="504" bestFit="1" customWidth="1"/>
    <col min="31" max="31" width="10.42578125" style="504" customWidth="1"/>
    <col min="32" max="32" width="14" style="504" customWidth="1"/>
    <col min="33" max="34" width="11.5703125" style="504"/>
    <col min="35" max="36" width="11.5703125" style="504" customWidth="1"/>
    <col min="37" max="37" width="8.42578125" style="504" customWidth="1"/>
    <col min="38" max="38" width="8.140625" style="504" customWidth="1"/>
    <col min="39" max="39" width="8.85546875" style="504" customWidth="1"/>
    <col min="40" max="40" width="10.140625" style="504" customWidth="1"/>
    <col min="41" max="41" width="10.5703125" style="504" customWidth="1"/>
    <col min="42" max="42" width="13.140625" style="504" customWidth="1"/>
    <col min="43" max="50" width="11.5703125" style="504"/>
    <col min="51" max="51" width="10.85546875" style="504" customWidth="1"/>
    <col min="52" max="56" width="11.5703125" style="504"/>
    <col min="57" max="57" width="9.42578125" style="504" customWidth="1"/>
    <col min="58" max="59" width="9.140625" style="504" customWidth="1"/>
    <col min="60" max="60" width="9.85546875" style="504" customWidth="1"/>
    <col min="61" max="61" width="11" style="504" customWidth="1"/>
    <col min="62" max="1021" width="11.5703125" style="504"/>
  </cols>
  <sheetData>
    <row r="1" spans="1:71" x14ac:dyDescent="0.2">
      <c r="J1" s="505"/>
      <c r="K1" s="506"/>
    </row>
    <row r="2" spans="1:71" x14ac:dyDescent="0.2">
      <c r="J2" s="505" t="s">
        <v>254</v>
      </c>
      <c r="K2" s="506"/>
    </row>
    <row r="4" spans="1:71" ht="19.5" customHeight="1" x14ac:dyDescent="0.2">
      <c r="I4" s="507" t="s">
        <v>27</v>
      </c>
      <c r="J4" s="1300" t="str">
        <f>+'B) Reajuste Tarifas y Ocupación'!F5</f>
        <v>BIENVALP</v>
      </c>
      <c r="K4" s="1300"/>
    </row>
    <row r="5" spans="1:71" ht="19.5" customHeight="1" x14ac:dyDescent="0.2">
      <c r="I5" s="507"/>
      <c r="J5" s="822"/>
      <c r="K5" s="822"/>
    </row>
    <row r="6" spans="1:71" ht="19.5" customHeight="1" thickBot="1" x14ac:dyDescent="0.3">
      <c r="A6" s="839" t="s">
        <v>394</v>
      </c>
      <c r="I6" s="507"/>
      <c r="J6" s="822"/>
      <c r="K6" s="822" t="s">
        <v>391</v>
      </c>
      <c r="V6" s="895" t="s">
        <v>571</v>
      </c>
    </row>
    <row r="7" spans="1:71" ht="19.5" customHeight="1" thickBot="1" x14ac:dyDescent="0.3">
      <c r="A7" s="826"/>
      <c r="B7" s="827" t="s">
        <v>380</v>
      </c>
      <c r="C7" s="827" t="s">
        <v>381</v>
      </c>
      <c r="D7" s="827" t="s">
        <v>382</v>
      </c>
      <c r="E7" s="827"/>
      <c r="F7" s="827" t="s">
        <v>383</v>
      </c>
      <c r="G7" s="827" t="s">
        <v>384</v>
      </c>
      <c r="H7" s="827" t="str">
        <f>C19</f>
        <v>CANT.COFIAS</v>
      </c>
      <c r="I7" s="828"/>
      <c r="J7" s="829"/>
      <c r="L7" s="827" t="s">
        <v>395</v>
      </c>
      <c r="M7" s="847" t="s">
        <v>396</v>
      </c>
      <c r="N7" s="848" t="s">
        <v>404</v>
      </c>
      <c r="O7" s="848" t="s">
        <v>397</v>
      </c>
      <c r="P7" s="848" t="s">
        <v>398</v>
      </c>
      <c r="Q7" s="850" t="s">
        <v>399</v>
      </c>
      <c r="R7" s="852" t="s">
        <v>405</v>
      </c>
      <c r="S7" s="851" t="s">
        <v>400</v>
      </c>
      <c r="T7" s="849" t="s">
        <v>154</v>
      </c>
      <c r="U7" s="845"/>
      <c r="V7" s="963" t="s">
        <v>401</v>
      </c>
      <c r="W7" s="896" t="s">
        <v>255</v>
      </c>
      <c r="X7" s="897" t="s">
        <v>256</v>
      </c>
      <c r="Y7" s="898" t="s">
        <v>257</v>
      </c>
      <c r="Z7" s="899" t="s">
        <v>258</v>
      </c>
      <c r="AA7" s="900" t="s">
        <v>259</v>
      </c>
      <c r="AB7" s="900" t="s">
        <v>260</v>
      </c>
      <c r="AC7" s="901" t="s">
        <v>572</v>
      </c>
      <c r="AD7" s="901" t="s">
        <v>573</v>
      </c>
      <c r="AE7" s="900" t="s">
        <v>622</v>
      </c>
      <c r="AF7" s="963" t="s">
        <v>360</v>
      </c>
      <c r="AG7" s="896" t="s">
        <v>255</v>
      </c>
      <c r="AH7" s="919" t="s">
        <v>256</v>
      </c>
      <c r="AI7" s="896" t="s">
        <v>257</v>
      </c>
      <c r="AJ7" s="920" t="s">
        <v>258</v>
      </c>
      <c r="AK7" s="921" t="s">
        <v>259</v>
      </c>
      <c r="AL7" s="921" t="s">
        <v>260</v>
      </c>
      <c r="AM7" s="922" t="s">
        <v>261</v>
      </c>
      <c r="AN7" s="922" t="s">
        <v>262</v>
      </c>
      <c r="AO7" s="921" t="s">
        <v>622</v>
      </c>
      <c r="AP7" s="895" t="s">
        <v>480</v>
      </c>
      <c r="AQ7" s="896" t="s">
        <v>255</v>
      </c>
      <c r="AR7" s="897" t="s">
        <v>256</v>
      </c>
      <c r="AS7" s="898" t="s">
        <v>257</v>
      </c>
      <c r="AT7" s="899" t="s">
        <v>258</v>
      </c>
      <c r="AU7" s="900" t="s">
        <v>259</v>
      </c>
      <c r="AV7" s="900" t="s">
        <v>260</v>
      </c>
      <c r="AW7" s="901" t="s">
        <v>572</v>
      </c>
      <c r="AX7" s="901" t="s">
        <v>573</v>
      </c>
      <c r="AY7" s="900" t="s">
        <v>622</v>
      </c>
      <c r="AZ7" s="963" t="s">
        <v>483</v>
      </c>
      <c r="BA7" s="896" t="s">
        <v>255</v>
      </c>
      <c r="BB7" s="919" t="s">
        <v>256</v>
      </c>
      <c r="BC7" s="896" t="s">
        <v>257</v>
      </c>
      <c r="BD7" s="920" t="s">
        <v>258</v>
      </c>
      <c r="BE7" s="921" t="s">
        <v>259</v>
      </c>
      <c r="BF7" s="921" t="s">
        <v>260</v>
      </c>
      <c r="BG7" s="922" t="s">
        <v>261</v>
      </c>
      <c r="BH7" s="922" t="s">
        <v>262</v>
      </c>
      <c r="BI7" s="921" t="s">
        <v>622</v>
      </c>
      <c r="BJ7" s="839" t="s">
        <v>388</v>
      </c>
      <c r="BK7" s="896" t="s">
        <v>255</v>
      </c>
      <c r="BL7" s="919" t="s">
        <v>256</v>
      </c>
      <c r="BM7" s="896" t="s">
        <v>257</v>
      </c>
      <c r="BN7" s="920" t="s">
        <v>258</v>
      </c>
      <c r="BO7" s="921" t="s">
        <v>259</v>
      </c>
      <c r="BP7" s="921" t="s">
        <v>260</v>
      </c>
      <c r="BQ7" s="922" t="s">
        <v>261</v>
      </c>
      <c r="BR7" s="922" t="s">
        <v>262</v>
      </c>
      <c r="BS7" s="921" t="s">
        <v>622</v>
      </c>
    </row>
    <row r="8" spans="1:71" ht="19.5" customHeight="1" x14ac:dyDescent="0.25">
      <c r="A8" s="830" t="s">
        <v>360</v>
      </c>
      <c r="B8" s="831">
        <f>2*20*10*23</f>
        <v>9200</v>
      </c>
      <c r="C8" s="831">
        <f>1*20*10*23</f>
        <v>4600</v>
      </c>
      <c r="D8" s="831">
        <f>2*20*10*23</f>
        <v>9200</v>
      </c>
      <c r="E8" s="831"/>
      <c r="F8" s="831">
        <v>10</v>
      </c>
      <c r="G8" s="831">
        <v>10</v>
      </c>
      <c r="H8" s="831">
        <v>50</v>
      </c>
      <c r="I8" s="828"/>
      <c r="J8" s="829"/>
      <c r="K8" s="825" t="s">
        <v>401</v>
      </c>
      <c r="L8" s="891">
        <v>120</v>
      </c>
      <c r="M8" s="891">
        <v>6</v>
      </c>
      <c r="N8" s="840">
        <v>1</v>
      </c>
      <c r="O8" s="840">
        <v>6</v>
      </c>
      <c r="P8" s="840">
        <v>11</v>
      </c>
      <c r="Q8" s="840">
        <v>3</v>
      </c>
      <c r="R8" s="840">
        <v>1</v>
      </c>
      <c r="S8" s="840">
        <v>2</v>
      </c>
      <c r="T8" s="841">
        <f t="shared" ref="T8:T14" si="0">SUM(N8:S8)</f>
        <v>24</v>
      </c>
      <c r="U8" s="845"/>
      <c r="W8" s="1373" t="s">
        <v>263</v>
      </c>
      <c r="X8" s="902" t="s">
        <v>264</v>
      </c>
      <c r="Y8" s="1070" t="s">
        <v>574</v>
      </c>
      <c r="Z8" s="1077" t="s">
        <v>265</v>
      </c>
      <c r="AA8" s="1077">
        <v>55</v>
      </c>
      <c r="AB8" s="1078" t="s">
        <v>575</v>
      </c>
      <c r="AC8" s="1079">
        <v>1400</v>
      </c>
      <c r="AD8" s="1080">
        <v>77000</v>
      </c>
      <c r="AE8" s="1075">
        <v>2.7</v>
      </c>
      <c r="AG8" s="1386" t="s">
        <v>263</v>
      </c>
      <c r="AH8" s="1089" t="s">
        <v>264</v>
      </c>
      <c r="AI8" s="1090" t="s">
        <v>574</v>
      </c>
      <c r="AJ8" s="1091" t="s">
        <v>265</v>
      </c>
      <c r="AK8" s="1091">
        <v>26</v>
      </c>
      <c r="AL8" s="1092" t="s">
        <v>266</v>
      </c>
      <c r="AM8" s="1093">
        <v>1400</v>
      </c>
      <c r="AN8" s="1094">
        <f t="shared" ref="AN8:AN34" si="1">+AM8*AK8</f>
        <v>36400</v>
      </c>
      <c r="AO8" s="1095">
        <v>1.3</v>
      </c>
      <c r="AQ8" s="1373" t="s">
        <v>263</v>
      </c>
      <c r="AR8" s="902" t="s">
        <v>264</v>
      </c>
      <c r="AS8" s="903" t="s">
        <v>574</v>
      </c>
      <c r="AT8" s="904" t="s">
        <v>265</v>
      </c>
      <c r="AU8" s="904">
        <v>26</v>
      </c>
      <c r="AV8" s="905" t="s">
        <v>575</v>
      </c>
      <c r="AW8" s="907">
        <v>1400</v>
      </c>
      <c r="AX8" s="908">
        <v>36400</v>
      </c>
      <c r="AY8" s="909">
        <v>1.3</v>
      </c>
      <c r="BA8" s="1386" t="s">
        <v>263</v>
      </c>
      <c r="BB8" s="1089" t="s">
        <v>264</v>
      </c>
      <c r="BC8" s="1090" t="s">
        <v>574</v>
      </c>
      <c r="BD8" s="1091" t="s">
        <v>265</v>
      </c>
      <c r="BE8" s="1091">
        <v>15</v>
      </c>
      <c r="BF8" s="1092" t="s">
        <v>266</v>
      </c>
      <c r="BG8" s="1093">
        <v>1400</v>
      </c>
      <c r="BH8" s="1094">
        <f t="shared" ref="BH8:BH49" si="2">+BG8*BE8</f>
        <v>21000</v>
      </c>
      <c r="BI8" s="1095">
        <v>0.7</v>
      </c>
      <c r="BK8" s="1386" t="s">
        <v>263</v>
      </c>
      <c r="BL8" s="923" t="s">
        <v>264</v>
      </c>
      <c r="BM8" s="1090" t="s">
        <v>574</v>
      </c>
      <c r="BN8" s="1091" t="s">
        <v>265</v>
      </c>
      <c r="BO8" s="1091">
        <v>15</v>
      </c>
      <c r="BP8" s="1092" t="s">
        <v>266</v>
      </c>
      <c r="BQ8" s="1093">
        <v>1400</v>
      </c>
      <c r="BR8" s="1094">
        <f t="shared" ref="BR8:BR49" si="3">+BQ8*BO8</f>
        <v>21000</v>
      </c>
      <c r="BS8" s="1095">
        <v>0.7</v>
      </c>
    </row>
    <row r="9" spans="1:71" ht="19.5" customHeight="1" x14ac:dyDescent="0.25">
      <c r="A9" s="830">
        <v>23</v>
      </c>
      <c r="B9" s="827" t="s">
        <v>385</v>
      </c>
      <c r="C9" s="827" t="s">
        <v>385</v>
      </c>
      <c r="D9" s="827" t="s">
        <v>385</v>
      </c>
      <c r="E9" s="827"/>
      <c r="F9" s="827" t="s">
        <v>386</v>
      </c>
      <c r="G9" s="827" t="s">
        <v>386</v>
      </c>
      <c r="H9" s="827" t="s">
        <v>386</v>
      </c>
      <c r="I9" s="828"/>
      <c r="J9" s="829"/>
      <c r="K9" s="825" t="s">
        <v>360</v>
      </c>
      <c r="L9" s="892">
        <v>120</v>
      </c>
      <c r="M9" s="892">
        <v>6</v>
      </c>
      <c r="N9" s="825">
        <v>1</v>
      </c>
      <c r="O9" s="825">
        <v>6</v>
      </c>
      <c r="P9" s="825">
        <v>11</v>
      </c>
      <c r="Q9" s="825">
        <v>3</v>
      </c>
      <c r="R9" s="825"/>
      <c r="S9" s="825">
        <v>2</v>
      </c>
      <c r="T9" s="824">
        <f t="shared" si="0"/>
        <v>23</v>
      </c>
      <c r="U9" s="845"/>
      <c r="W9" s="1374"/>
      <c r="X9" s="1383" t="s">
        <v>267</v>
      </c>
      <c r="Y9" s="1070" t="s">
        <v>268</v>
      </c>
      <c r="Z9" s="1071" t="s">
        <v>265</v>
      </c>
      <c r="AA9" s="1071">
        <v>31</v>
      </c>
      <c r="AB9" s="1072" t="s">
        <v>576</v>
      </c>
      <c r="AC9" s="1073">
        <v>3500</v>
      </c>
      <c r="AD9" s="1074">
        <v>108500</v>
      </c>
      <c r="AE9" s="1075">
        <v>3.8</v>
      </c>
      <c r="AG9" s="1386"/>
      <c r="AH9" s="1387" t="s">
        <v>267</v>
      </c>
      <c r="AI9" s="1090" t="s">
        <v>268</v>
      </c>
      <c r="AJ9" s="1096" t="s">
        <v>265</v>
      </c>
      <c r="AK9" s="1096">
        <v>18</v>
      </c>
      <c r="AL9" s="1097" t="s">
        <v>269</v>
      </c>
      <c r="AM9" s="1098">
        <v>3500</v>
      </c>
      <c r="AN9" s="1099">
        <f t="shared" si="1"/>
        <v>63000</v>
      </c>
      <c r="AO9" s="1095">
        <v>1.3</v>
      </c>
      <c r="AQ9" s="1374"/>
      <c r="AR9" s="1389" t="s">
        <v>267</v>
      </c>
      <c r="AS9" s="1070" t="s">
        <v>268</v>
      </c>
      <c r="AT9" s="1071" t="s">
        <v>265</v>
      </c>
      <c r="AU9" s="1071">
        <v>18</v>
      </c>
      <c r="AV9" s="1072" t="s">
        <v>576</v>
      </c>
      <c r="AW9" s="1073">
        <v>3500</v>
      </c>
      <c r="AX9" s="1074">
        <v>63000</v>
      </c>
      <c r="AY9" s="1075">
        <v>2.2000000000000002</v>
      </c>
      <c r="BA9" s="1386"/>
      <c r="BB9" s="1387" t="s">
        <v>267</v>
      </c>
      <c r="BC9" s="1090" t="s">
        <v>268</v>
      </c>
      <c r="BD9" s="1096" t="s">
        <v>265</v>
      </c>
      <c r="BE9" s="1096">
        <v>4</v>
      </c>
      <c r="BF9" s="1097" t="s">
        <v>269</v>
      </c>
      <c r="BG9" s="1098">
        <v>5000</v>
      </c>
      <c r="BH9" s="1099">
        <f t="shared" si="2"/>
        <v>20000</v>
      </c>
      <c r="BI9" s="1095">
        <v>0.7</v>
      </c>
      <c r="BK9" s="1386"/>
      <c r="BL9" s="1388" t="s">
        <v>267</v>
      </c>
      <c r="BM9" s="1090" t="s">
        <v>268</v>
      </c>
      <c r="BN9" s="1096" t="s">
        <v>265</v>
      </c>
      <c r="BO9" s="1096">
        <v>4</v>
      </c>
      <c r="BP9" s="1097" t="s">
        <v>269</v>
      </c>
      <c r="BQ9" s="1098">
        <v>5000</v>
      </c>
      <c r="BR9" s="1099">
        <f t="shared" si="3"/>
        <v>20000</v>
      </c>
      <c r="BS9" s="1095">
        <v>0.7</v>
      </c>
    </row>
    <row r="10" spans="1:71" ht="19.5" customHeight="1" x14ac:dyDescent="0.25">
      <c r="A10" s="832"/>
      <c r="B10" s="833">
        <v>50</v>
      </c>
      <c r="C10" s="833">
        <v>90</v>
      </c>
      <c r="D10" s="833">
        <v>50</v>
      </c>
      <c r="E10" s="833"/>
      <c r="F10" s="833">
        <f>F16</f>
        <v>14990</v>
      </c>
      <c r="G10" s="833">
        <v>6900</v>
      </c>
      <c r="H10" s="833">
        <v>2990</v>
      </c>
      <c r="I10" s="828"/>
      <c r="J10" s="829"/>
      <c r="K10" s="825" t="s">
        <v>388</v>
      </c>
      <c r="L10" s="892">
        <v>25</v>
      </c>
      <c r="M10" s="892">
        <v>2</v>
      </c>
      <c r="N10" s="825">
        <v>1</v>
      </c>
      <c r="O10" s="825">
        <v>1</v>
      </c>
      <c r="P10" s="825">
        <v>1</v>
      </c>
      <c r="Q10" s="825">
        <v>0</v>
      </c>
      <c r="R10" s="825"/>
      <c r="S10" s="825">
        <v>1</v>
      </c>
      <c r="T10" s="824">
        <f t="shared" si="0"/>
        <v>4</v>
      </c>
      <c r="U10" s="845"/>
      <c r="W10" s="1374"/>
      <c r="X10" s="1384"/>
      <c r="Y10" s="1070" t="s">
        <v>577</v>
      </c>
      <c r="Z10" s="1071" t="s">
        <v>265</v>
      </c>
      <c r="AA10" s="1071">
        <v>31</v>
      </c>
      <c r="AB10" s="1072" t="s">
        <v>576</v>
      </c>
      <c r="AC10" s="1073">
        <v>3500</v>
      </c>
      <c r="AD10" s="1074">
        <v>108500</v>
      </c>
      <c r="AE10" s="1075">
        <v>3.8</v>
      </c>
      <c r="AG10" s="1386"/>
      <c r="AH10" s="1387"/>
      <c r="AI10" s="1090" t="s">
        <v>577</v>
      </c>
      <c r="AJ10" s="1096" t="s">
        <v>265</v>
      </c>
      <c r="AK10" s="1096">
        <v>14</v>
      </c>
      <c r="AL10" s="1097" t="s">
        <v>269</v>
      </c>
      <c r="AM10" s="1098">
        <v>3500</v>
      </c>
      <c r="AN10" s="1099">
        <f t="shared" si="1"/>
        <v>49000</v>
      </c>
      <c r="AO10" s="1095">
        <v>1.7</v>
      </c>
      <c r="AQ10" s="1374"/>
      <c r="AR10" s="1390"/>
      <c r="AS10" s="1070" t="s">
        <v>577</v>
      </c>
      <c r="AT10" s="1071" t="s">
        <v>265</v>
      </c>
      <c r="AU10" s="1071">
        <v>14</v>
      </c>
      <c r="AV10" s="1072" t="s">
        <v>576</v>
      </c>
      <c r="AW10" s="1073">
        <v>3500</v>
      </c>
      <c r="AX10" s="1074">
        <v>49000</v>
      </c>
      <c r="AY10" s="1075">
        <v>1.7</v>
      </c>
      <c r="BA10" s="1386"/>
      <c r="BB10" s="1387"/>
      <c r="BC10" s="1090" t="s">
        <v>577</v>
      </c>
      <c r="BD10" s="1096" t="s">
        <v>265</v>
      </c>
      <c r="BE10" s="1096">
        <v>10</v>
      </c>
      <c r="BF10" s="1097" t="s">
        <v>269</v>
      </c>
      <c r="BG10" s="1098">
        <v>5100</v>
      </c>
      <c r="BH10" s="1099">
        <f t="shared" si="2"/>
        <v>51000</v>
      </c>
      <c r="BI10" s="1095">
        <v>1.8</v>
      </c>
      <c r="BK10" s="1386"/>
      <c r="BL10" s="1388"/>
      <c r="BM10" s="1090" t="s">
        <v>577</v>
      </c>
      <c r="BN10" s="1096" t="s">
        <v>265</v>
      </c>
      <c r="BO10" s="1096">
        <v>10</v>
      </c>
      <c r="BP10" s="1097" t="s">
        <v>269</v>
      </c>
      <c r="BQ10" s="1098">
        <v>5100</v>
      </c>
      <c r="BR10" s="1099">
        <f t="shared" si="3"/>
        <v>51000</v>
      </c>
      <c r="BS10" s="1095">
        <v>1.8</v>
      </c>
    </row>
    <row r="11" spans="1:71" ht="19.5" customHeight="1" x14ac:dyDescent="0.25">
      <c r="A11" s="828"/>
      <c r="B11" s="833">
        <f>B8*B10</f>
        <v>460000</v>
      </c>
      <c r="C11" s="833">
        <f>C8*C10</f>
        <v>414000</v>
      </c>
      <c r="D11" s="833">
        <f>D8*D10</f>
        <v>460000</v>
      </c>
      <c r="E11" s="834">
        <f>SUM(B11:D11)</f>
        <v>1334000</v>
      </c>
      <c r="F11" s="833">
        <f>F8*F10</f>
        <v>149900</v>
      </c>
      <c r="G11" s="833">
        <f>G8*G10</f>
        <v>69000</v>
      </c>
      <c r="H11" s="833">
        <f>H10*H8</f>
        <v>149500</v>
      </c>
      <c r="I11" s="834">
        <f>F11+G11+H11</f>
        <v>368400</v>
      </c>
      <c r="J11" s="829"/>
      <c r="K11" s="825" t="s">
        <v>389</v>
      </c>
      <c r="L11" s="892">
        <v>34</v>
      </c>
      <c r="M11" s="892">
        <v>3</v>
      </c>
      <c r="N11" s="842">
        <v>1</v>
      </c>
      <c r="O11" s="842">
        <v>2</v>
      </c>
      <c r="P11" s="842">
        <v>5</v>
      </c>
      <c r="Q11" s="842">
        <v>2</v>
      </c>
      <c r="R11" s="842"/>
      <c r="S11" s="842">
        <v>1</v>
      </c>
      <c r="T11" s="824">
        <f t="shared" si="0"/>
        <v>11</v>
      </c>
      <c r="U11" s="845"/>
      <c r="W11" s="1374"/>
      <c r="X11" s="1385"/>
      <c r="Y11" s="1070" t="s">
        <v>270</v>
      </c>
      <c r="Z11" s="1071" t="s">
        <v>265</v>
      </c>
      <c r="AA11" s="1071">
        <v>1</v>
      </c>
      <c r="AB11" s="1072" t="s">
        <v>578</v>
      </c>
      <c r="AC11" s="1073">
        <v>10000</v>
      </c>
      <c r="AD11" s="1074">
        <v>10000</v>
      </c>
      <c r="AE11" s="1075">
        <v>0.3</v>
      </c>
      <c r="AG11" s="1386"/>
      <c r="AH11" s="1387"/>
      <c r="AI11" s="1090" t="s">
        <v>270</v>
      </c>
      <c r="AJ11" s="1096" t="s">
        <v>265</v>
      </c>
      <c r="AK11" s="1096">
        <v>1</v>
      </c>
      <c r="AL11" s="1097" t="s">
        <v>271</v>
      </c>
      <c r="AM11" s="1098">
        <v>10000</v>
      </c>
      <c r="AN11" s="1099">
        <f t="shared" si="1"/>
        <v>10000</v>
      </c>
      <c r="AO11" s="1095">
        <v>0.3</v>
      </c>
      <c r="AQ11" s="1374"/>
      <c r="AR11" s="1391"/>
      <c r="AS11" s="1070" t="s">
        <v>270</v>
      </c>
      <c r="AT11" s="1071" t="s">
        <v>265</v>
      </c>
      <c r="AU11" s="1071">
        <v>1</v>
      </c>
      <c r="AV11" s="1072" t="s">
        <v>578</v>
      </c>
      <c r="AW11" s="1073">
        <v>10000</v>
      </c>
      <c r="AX11" s="1074">
        <v>10000</v>
      </c>
      <c r="AY11" s="1075">
        <v>0.3</v>
      </c>
      <c r="BA11" s="1386"/>
      <c r="BB11" s="1387"/>
      <c r="BC11" s="1090" t="s">
        <v>270</v>
      </c>
      <c r="BD11" s="1096" t="s">
        <v>265</v>
      </c>
      <c r="BE11" s="1096">
        <v>1</v>
      </c>
      <c r="BF11" s="1097" t="s">
        <v>271</v>
      </c>
      <c r="BG11" s="1098">
        <v>20000</v>
      </c>
      <c r="BH11" s="1099">
        <f t="shared" si="2"/>
        <v>20000</v>
      </c>
      <c r="BI11" s="1095">
        <v>0.7</v>
      </c>
      <c r="BK11" s="1386"/>
      <c r="BL11" s="1388"/>
      <c r="BM11" s="1090" t="s">
        <v>270</v>
      </c>
      <c r="BN11" s="1096" t="s">
        <v>265</v>
      </c>
      <c r="BO11" s="1096">
        <v>1</v>
      </c>
      <c r="BP11" s="1097" t="s">
        <v>271</v>
      </c>
      <c r="BQ11" s="1098">
        <v>20000</v>
      </c>
      <c r="BR11" s="1099">
        <f t="shared" si="3"/>
        <v>20000</v>
      </c>
      <c r="BS11" s="1095">
        <v>0.7</v>
      </c>
    </row>
    <row r="12" spans="1:71" ht="24.95" customHeight="1" x14ac:dyDescent="0.25">
      <c r="A12" s="828"/>
      <c r="B12" s="828"/>
      <c r="C12" s="828"/>
      <c r="D12" s="828"/>
      <c r="E12" s="835"/>
      <c r="F12" s="828"/>
      <c r="G12" s="828"/>
      <c r="H12" s="828"/>
      <c r="I12" s="835"/>
      <c r="J12" s="829"/>
      <c r="K12" s="888" t="s">
        <v>402</v>
      </c>
      <c r="L12" s="889">
        <v>70</v>
      </c>
      <c r="M12" s="889">
        <v>4</v>
      </c>
      <c r="N12" s="890">
        <v>1</v>
      </c>
      <c r="O12" s="890">
        <v>5</v>
      </c>
      <c r="P12" s="890">
        <v>10</v>
      </c>
      <c r="Q12" s="890">
        <v>3</v>
      </c>
      <c r="R12" s="843">
        <v>1</v>
      </c>
      <c r="S12" s="843">
        <v>2</v>
      </c>
      <c r="T12" s="844">
        <f t="shared" si="0"/>
        <v>22</v>
      </c>
      <c r="U12" s="845"/>
      <c r="W12" s="1374"/>
      <c r="X12" s="1383" t="s">
        <v>272</v>
      </c>
      <c r="Y12" s="1070" t="s">
        <v>579</v>
      </c>
      <c r="Z12" s="1071" t="s">
        <v>265</v>
      </c>
      <c r="AA12" s="1071">
        <v>1</v>
      </c>
      <c r="AB12" s="1072" t="s">
        <v>578</v>
      </c>
      <c r="AC12" s="1073">
        <v>25000</v>
      </c>
      <c r="AD12" s="1074">
        <v>25000</v>
      </c>
      <c r="AE12" s="1075">
        <v>0.9</v>
      </c>
      <c r="AG12" s="1386"/>
      <c r="AH12" s="1387" t="s">
        <v>272</v>
      </c>
      <c r="AI12" s="1090" t="s">
        <v>579</v>
      </c>
      <c r="AJ12" s="1096" t="s">
        <v>265</v>
      </c>
      <c r="AK12" s="1096">
        <v>3</v>
      </c>
      <c r="AL12" s="1097" t="s">
        <v>271</v>
      </c>
      <c r="AM12" s="1098">
        <v>25000</v>
      </c>
      <c r="AN12" s="1099">
        <f t="shared" si="1"/>
        <v>75000</v>
      </c>
      <c r="AO12" s="1095">
        <v>2.6</v>
      </c>
      <c r="AQ12" s="1374"/>
      <c r="AR12" s="1389" t="s">
        <v>272</v>
      </c>
      <c r="AS12" s="1070" t="s">
        <v>579</v>
      </c>
      <c r="AT12" s="1071" t="s">
        <v>265</v>
      </c>
      <c r="AU12" s="1071">
        <v>3</v>
      </c>
      <c r="AV12" s="1072" t="s">
        <v>578</v>
      </c>
      <c r="AW12" s="1073">
        <v>25000</v>
      </c>
      <c r="AX12" s="1074">
        <v>75000</v>
      </c>
      <c r="AY12" s="1075">
        <v>2.6</v>
      </c>
      <c r="BA12" s="1386"/>
      <c r="BB12" s="1387" t="s">
        <v>272</v>
      </c>
      <c r="BC12" s="1090" t="s">
        <v>579</v>
      </c>
      <c r="BD12" s="1096" t="s">
        <v>265</v>
      </c>
      <c r="BE12" s="1096">
        <v>1</v>
      </c>
      <c r="BF12" s="1097" t="s">
        <v>271</v>
      </c>
      <c r="BG12" s="1098">
        <v>25000</v>
      </c>
      <c r="BH12" s="1099">
        <f t="shared" si="2"/>
        <v>25000</v>
      </c>
      <c r="BI12" s="1095">
        <v>0.9</v>
      </c>
      <c r="BK12" s="1386"/>
      <c r="BL12" s="1388" t="s">
        <v>272</v>
      </c>
      <c r="BM12" s="1090" t="s">
        <v>579</v>
      </c>
      <c r="BN12" s="1096" t="s">
        <v>265</v>
      </c>
      <c r="BO12" s="1096">
        <v>1</v>
      </c>
      <c r="BP12" s="1097" t="s">
        <v>271</v>
      </c>
      <c r="BQ12" s="1098">
        <v>25000</v>
      </c>
      <c r="BR12" s="1099">
        <f t="shared" si="3"/>
        <v>25000</v>
      </c>
      <c r="BS12" s="1095">
        <v>0.9</v>
      </c>
    </row>
    <row r="13" spans="1:71" ht="19.5" customHeight="1" x14ac:dyDescent="0.25">
      <c r="A13" s="826"/>
      <c r="B13" s="827" t="s">
        <v>380</v>
      </c>
      <c r="C13" s="827" t="s">
        <v>381</v>
      </c>
      <c r="D13" s="827" t="s">
        <v>382</v>
      </c>
      <c r="E13" s="836"/>
      <c r="F13" s="827" t="s">
        <v>383</v>
      </c>
      <c r="G13" s="827" t="s">
        <v>384</v>
      </c>
      <c r="H13" s="827" t="s">
        <v>393</v>
      </c>
      <c r="I13" s="835"/>
      <c r="J13" s="829"/>
      <c r="K13" s="825" t="s">
        <v>403</v>
      </c>
      <c r="L13" s="892">
        <v>18</v>
      </c>
      <c r="M13" s="893">
        <v>1</v>
      </c>
      <c r="N13" s="825">
        <v>0</v>
      </c>
      <c r="O13" s="825">
        <v>0</v>
      </c>
      <c r="P13" s="825">
        <v>6</v>
      </c>
      <c r="Q13" s="825">
        <v>0</v>
      </c>
      <c r="R13" s="825"/>
      <c r="S13" s="825">
        <v>0</v>
      </c>
      <c r="T13" s="824">
        <f>SUM(P13:S13)</f>
        <v>6</v>
      </c>
      <c r="U13" s="845"/>
      <c r="W13" s="1374"/>
      <c r="X13" s="1385"/>
      <c r="Y13" s="1070" t="s">
        <v>580</v>
      </c>
      <c r="Z13" s="1071" t="s">
        <v>265</v>
      </c>
      <c r="AA13" s="1071">
        <v>2</v>
      </c>
      <c r="AB13" s="1072" t="s">
        <v>581</v>
      </c>
      <c r="AC13" s="1073">
        <v>45000</v>
      </c>
      <c r="AD13" s="1074">
        <v>90000</v>
      </c>
      <c r="AE13" s="1075">
        <v>3.1</v>
      </c>
      <c r="AG13" s="1386"/>
      <c r="AH13" s="1387"/>
      <c r="AI13" s="1090" t="s">
        <v>580</v>
      </c>
      <c r="AJ13" s="1096" t="s">
        <v>265</v>
      </c>
      <c r="AK13" s="1096">
        <v>2</v>
      </c>
      <c r="AL13" s="1097" t="s">
        <v>271</v>
      </c>
      <c r="AM13" s="1098">
        <v>45000</v>
      </c>
      <c r="AN13" s="1099">
        <f t="shared" si="1"/>
        <v>90000</v>
      </c>
      <c r="AO13" s="1095">
        <v>3.1</v>
      </c>
      <c r="AQ13" s="1374"/>
      <c r="AR13" s="1391"/>
      <c r="AS13" s="1070" t="s">
        <v>580</v>
      </c>
      <c r="AT13" s="1071" t="s">
        <v>265</v>
      </c>
      <c r="AU13" s="1071">
        <v>2</v>
      </c>
      <c r="AV13" s="1072" t="s">
        <v>578</v>
      </c>
      <c r="AW13" s="1073">
        <v>45000</v>
      </c>
      <c r="AX13" s="1074">
        <v>90000</v>
      </c>
      <c r="AY13" s="1075">
        <v>3.1</v>
      </c>
      <c r="BA13" s="1386"/>
      <c r="BB13" s="1387"/>
      <c r="BC13" s="1090" t="s">
        <v>580</v>
      </c>
      <c r="BD13" s="1096" t="s">
        <v>265</v>
      </c>
      <c r="BE13" s="1096">
        <v>1</v>
      </c>
      <c r="BF13" s="1097" t="s">
        <v>271</v>
      </c>
      <c r="BG13" s="1098">
        <v>65000</v>
      </c>
      <c r="BH13" s="1099">
        <f t="shared" si="2"/>
        <v>65000</v>
      </c>
      <c r="BI13" s="1095">
        <v>2.2999999999999998</v>
      </c>
      <c r="BK13" s="1386"/>
      <c r="BL13" s="1388"/>
      <c r="BM13" s="924" t="s">
        <v>580</v>
      </c>
      <c r="BN13" s="926" t="s">
        <v>265</v>
      </c>
      <c r="BO13" s="926">
        <v>1</v>
      </c>
      <c r="BP13" s="927" t="s">
        <v>271</v>
      </c>
      <c r="BQ13" s="928">
        <v>65000</v>
      </c>
      <c r="BR13" s="929">
        <f t="shared" si="3"/>
        <v>65000</v>
      </c>
      <c r="BS13" s="925"/>
    </row>
    <row r="14" spans="1:71" ht="19.5" customHeight="1" x14ac:dyDescent="0.2">
      <c r="A14" s="830" t="s">
        <v>387</v>
      </c>
      <c r="B14" s="831">
        <f>2*20*10*24</f>
        <v>9600</v>
      </c>
      <c r="C14" s="831">
        <f>1*20*10*24</f>
        <v>4800</v>
      </c>
      <c r="D14" s="831">
        <f>2*20*10*24</f>
        <v>9600</v>
      </c>
      <c r="E14" s="837"/>
      <c r="F14" s="831">
        <v>10</v>
      </c>
      <c r="G14" s="831">
        <v>10</v>
      </c>
      <c r="H14" s="831">
        <v>50</v>
      </c>
      <c r="I14" s="835"/>
      <c r="J14" s="829"/>
      <c r="N14" s="543">
        <f t="shared" ref="N14:S14" si="4">SUM(N8:N13)</f>
        <v>5</v>
      </c>
      <c r="O14" s="543">
        <f t="shared" si="4"/>
        <v>20</v>
      </c>
      <c r="P14" s="543">
        <f t="shared" si="4"/>
        <v>44</v>
      </c>
      <c r="Q14" s="543">
        <f t="shared" si="4"/>
        <v>11</v>
      </c>
      <c r="R14" s="543">
        <f t="shared" si="4"/>
        <v>2</v>
      </c>
      <c r="S14" s="543">
        <f t="shared" si="4"/>
        <v>8</v>
      </c>
      <c r="T14" s="841">
        <f t="shared" si="0"/>
        <v>90</v>
      </c>
      <c r="U14" s="845"/>
      <c r="W14" s="1375"/>
      <c r="X14" s="902" t="s">
        <v>273</v>
      </c>
      <c r="Y14" s="1070" t="s">
        <v>274</v>
      </c>
      <c r="Z14" s="1071" t="s">
        <v>265</v>
      </c>
      <c r="AA14" s="1071">
        <v>1</v>
      </c>
      <c r="AB14" s="1072" t="s">
        <v>578</v>
      </c>
      <c r="AC14" s="1073">
        <v>65000</v>
      </c>
      <c r="AD14" s="1074">
        <v>65000</v>
      </c>
      <c r="AE14" s="1075">
        <v>2.2999999999999998</v>
      </c>
      <c r="AG14" s="1386"/>
      <c r="AH14" s="1089" t="s">
        <v>273</v>
      </c>
      <c r="AI14" s="1090" t="s">
        <v>274</v>
      </c>
      <c r="AJ14" s="1096" t="s">
        <v>265</v>
      </c>
      <c r="AK14" s="1096">
        <v>1</v>
      </c>
      <c r="AL14" s="1097" t="s">
        <v>271</v>
      </c>
      <c r="AM14" s="1098">
        <v>55000</v>
      </c>
      <c r="AN14" s="1099">
        <f t="shared" si="1"/>
        <v>55000</v>
      </c>
      <c r="AO14" s="1095">
        <v>1.9</v>
      </c>
      <c r="AQ14" s="1375"/>
      <c r="AR14" s="1126" t="s">
        <v>273</v>
      </c>
      <c r="AS14" s="1070" t="s">
        <v>274</v>
      </c>
      <c r="AT14" s="1071" t="s">
        <v>265</v>
      </c>
      <c r="AU14" s="1071">
        <v>1</v>
      </c>
      <c r="AV14" s="1072" t="s">
        <v>578</v>
      </c>
      <c r="AW14" s="1073">
        <v>55000</v>
      </c>
      <c r="AX14" s="1074">
        <v>55000</v>
      </c>
      <c r="AY14" s="1075">
        <v>1.9</v>
      </c>
      <c r="BA14" s="1386"/>
      <c r="BB14" s="1089" t="s">
        <v>273</v>
      </c>
      <c r="BC14" s="1090" t="s">
        <v>274</v>
      </c>
      <c r="BD14" s="1096" t="s">
        <v>265</v>
      </c>
      <c r="BE14" s="1096">
        <v>1</v>
      </c>
      <c r="BF14" s="1097" t="s">
        <v>271</v>
      </c>
      <c r="BG14" s="1098">
        <v>65000</v>
      </c>
      <c r="BH14" s="1099">
        <f t="shared" si="2"/>
        <v>65000</v>
      </c>
      <c r="BI14" s="1095">
        <v>2.2999999999999998</v>
      </c>
      <c r="BK14" s="1386"/>
      <c r="BL14" s="923" t="s">
        <v>273</v>
      </c>
      <c r="BM14" s="1090" t="s">
        <v>274</v>
      </c>
      <c r="BN14" s="1096" t="s">
        <v>265</v>
      </c>
      <c r="BO14" s="1096">
        <v>1</v>
      </c>
      <c r="BP14" s="1097" t="s">
        <v>271</v>
      </c>
      <c r="BQ14" s="1098">
        <v>65000</v>
      </c>
      <c r="BR14" s="1099">
        <f t="shared" si="3"/>
        <v>65000</v>
      </c>
      <c r="BS14" s="1095">
        <v>2.2999999999999998</v>
      </c>
    </row>
    <row r="15" spans="1:71" ht="19.5" customHeight="1" x14ac:dyDescent="0.2">
      <c r="A15" s="830">
        <v>24</v>
      </c>
      <c r="B15" s="827" t="s">
        <v>385</v>
      </c>
      <c r="C15" s="827" t="s">
        <v>385</v>
      </c>
      <c r="D15" s="827" t="s">
        <v>385</v>
      </c>
      <c r="E15" s="836"/>
      <c r="F15" s="827" t="s">
        <v>386</v>
      </c>
      <c r="G15" s="827" t="s">
        <v>386</v>
      </c>
      <c r="H15" s="827" t="s">
        <v>386</v>
      </c>
      <c r="I15" s="835"/>
      <c r="J15" s="829"/>
      <c r="K15" s="995"/>
      <c r="L15" s="995"/>
      <c r="M15" s="995"/>
      <c r="N15" s="995"/>
      <c r="O15" s="995"/>
      <c r="P15" s="995"/>
      <c r="Q15" s="995"/>
      <c r="R15" s="995"/>
      <c r="S15" s="995"/>
      <c r="T15" s="996"/>
      <c r="U15" s="845"/>
      <c r="W15" s="1373" t="s">
        <v>275</v>
      </c>
      <c r="X15" s="1383" t="s">
        <v>276</v>
      </c>
      <c r="Y15" s="1070" t="s">
        <v>582</v>
      </c>
      <c r="Z15" s="1081" t="s">
        <v>583</v>
      </c>
      <c r="AA15" s="1082">
        <v>140</v>
      </c>
      <c r="AB15" s="1083" t="s">
        <v>584</v>
      </c>
      <c r="AC15" s="1084">
        <v>5328</v>
      </c>
      <c r="AD15" s="1085">
        <v>745976</v>
      </c>
      <c r="AE15" s="1086">
        <v>0</v>
      </c>
      <c r="AF15" s="1060"/>
      <c r="AG15" s="1375" t="s">
        <v>275</v>
      </c>
      <c r="AH15" s="1388"/>
      <c r="AI15" s="924" t="s">
        <v>616</v>
      </c>
      <c r="AJ15" s="930">
        <v>5</v>
      </c>
      <c r="AK15" s="926">
        <v>1</v>
      </c>
      <c r="AL15" s="927" t="s">
        <v>271</v>
      </c>
      <c r="AM15" s="928">
        <v>450000</v>
      </c>
      <c r="AN15" s="929">
        <f t="shared" si="1"/>
        <v>450000</v>
      </c>
      <c r="AO15" s="925"/>
      <c r="AQ15" s="1373" t="s">
        <v>275</v>
      </c>
      <c r="AR15" s="1383"/>
      <c r="AS15" s="903" t="s">
        <v>616</v>
      </c>
      <c r="AT15" s="914" t="s">
        <v>583</v>
      </c>
      <c r="AU15" s="910">
        <v>1</v>
      </c>
      <c r="AV15" s="911" t="s">
        <v>578</v>
      </c>
      <c r="AW15" s="912">
        <v>450000</v>
      </c>
      <c r="AX15" s="913">
        <v>450000</v>
      </c>
      <c r="AY15" s="909"/>
      <c r="BA15" s="1375"/>
      <c r="BB15" s="1388"/>
      <c r="BC15" s="924" t="s">
        <v>616</v>
      </c>
      <c r="BD15" s="930">
        <v>5</v>
      </c>
      <c r="BE15" s="926">
        <v>1</v>
      </c>
      <c r="BF15" s="927" t="s">
        <v>271</v>
      </c>
      <c r="BG15" s="928">
        <v>159000</v>
      </c>
      <c r="BH15" s="929">
        <f t="shared" si="2"/>
        <v>159000</v>
      </c>
      <c r="BI15" s="925"/>
      <c r="BK15" s="1375"/>
      <c r="BL15" s="1388"/>
      <c r="BM15" s="924" t="s">
        <v>616</v>
      </c>
      <c r="BN15" s="930">
        <v>5</v>
      </c>
      <c r="BO15" s="926">
        <v>1</v>
      </c>
      <c r="BP15" s="927" t="s">
        <v>271</v>
      </c>
      <c r="BQ15" s="928">
        <v>159000</v>
      </c>
      <c r="BR15" s="929">
        <f t="shared" si="3"/>
        <v>159000</v>
      </c>
      <c r="BS15" s="925"/>
    </row>
    <row r="16" spans="1:71" ht="19.5" customHeight="1" x14ac:dyDescent="0.2">
      <c r="A16" s="832"/>
      <c r="B16" s="833">
        <v>50</v>
      </c>
      <c r="C16" s="833">
        <v>90</v>
      </c>
      <c r="D16" s="833">
        <v>50</v>
      </c>
      <c r="E16" s="834"/>
      <c r="F16" s="833">
        <f>F22</f>
        <v>14990</v>
      </c>
      <c r="G16" s="833">
        <f>G10</f>
        <v>6900</v>
      </c>
      <c r="H16" s="833">
        <v>2990</v>
      </c>
      <c r="I16" s="835"/>
      <c r="J16" s="829"/>
      <c r="K16" s="997"/>
      <c r="L16" s="995"/>
      <c r="M16" s="995"/>
      <c r="N16" s="995"/>
      <c r="O16" s="995"/>
      <c r="P16" s="995"/>
      <c r="Q16" s="995"/>
      <c r="R16" s="995"/>
      <c r="S16" s="995"/>
      <c r="T16" s="995"/>
      <c r="U16" s="845"/>
      <c r="W16" s="1374"/>
      <c r="X16" s="1384"/>
      <c r="Y16" s="903" t="s">
        <v>585</v>
      </c>
      <c r="Z16" s="914" t="s">
        <v>583</v>
      </c>
      <c r="AA16" s="910">
        <v>90</v>
      </c>
      <c r="AB16" s="911" t="s">
        <v>584</v>
      </c>
      <c r="AC16" s="912">
        <v>14736</v>
      </c>
      <c r="AD16" s="913">
        <v>1326240</v>
      </c>
      <c r="AE16" s="909"/>
      <c r="AG16" s="1375"/>
      <c r="AH16" s="1388"/>
      <c r="AI16" s="1090" t="s">
        <v>277</v>
      </c>
      <c r="AJ16" s="1100">
        <v>5</v>
      </c>
      <c r="AK16" s="1096">
        <v>1</v>
      </c>
      <c r="AL16" s="1097" t="s">
        <v>617</v>
      </c>
      <c r="AM16" s="1098">
        <v>20120</v>
      </c>
      <c r="AN16" s="1099">
        <f t="shared" si="1"/>
        <v>20120</v>
      </c>
      <c r="AO16" s="1095">
        <v>0</v>
      </c>
      <c r="AP16" s="1108" t="s">
        <v>702</v>
      </c>
      <c r="AQ16" s="1374"/>
      <c r="AR16" s="1384"/>
      <c r="AS16" s="903" t="s">
        <v>277</v>
      </c>
      <c r="AT16" s="914" t="s">
        <v>583</v>
      </c>
      <c r="AU16" s="910">
        <v>1</v>
      </c>
      <c r="AV16" s="911" t="s">
        <v>584</v>
      </c>
      <c r="AW16" s="912">
        <v>20120</v>
      </c>
      <c r="AX16" s="913">
        <v>20120</v>
      </c>
      <c r="AY16" s="909">
        <v>37</v>
      </c>
      <c r="BA16" s="1375"/>
      <c r="BB16" s="1388"/>
      <c r="BC16" s="924" t="s">
        <v>277</v>
      </c>
      <c r="BD16" s="930">
        <v>5</v>
      </c>
      <c r="BE16" s="926">
        <v>15</v>
      </c>
      <c r="BF16" s="927" t="s">
        <v>617</v>
      </c>
      <c r="BG16" s="928">
        <v>20120</v>
      </c>
      <c r="BH16" s="929">
        <f t="shared" si="2"/>
        <v>301800</v>
      </c>
      <c r="BI16" s="925"/>
      <c r="BK16" s="1375"/>
      <c r="BL16" s="1388"/>
      <c r="BM16" s="924" t="s">
        <v>277</v>
      </c>
      <c r="BN16" s="930">
        <v>5</v>
      </c>
      <c r="BO16" s="926">
        <v>15</v>
      </c>
      <c r="BP16" s="927" t="s">
        <v>617</v>
      </c>
      <c r="BQ16" s="928">
        <v>20120</v>
      </c>
      <c r="BR16" s="929">
        <f t="shared" si="3"/>
        <v>301800</v>
      </c>
      <c r="BS16" s="925"/>
    </row>
    <row r="17" spans="1:73" ht="19.5" customHeight="1" x14ac:dyDescent="0.2">
      <c r="A17" s="828"/>
      <c r="B17" s="833">
        <f>B14*B16</f>
        <v>480000</v>
      </c>
      <c r="C17" s="833">
        <f>C14*C16</f>
        <v>432000</v>
      </c>
      <c r="D17" s="833">
        <f>D14*D16</f>
        <v>480000</v>
      </c>
      <c r="E17" s="834">
        <f>SUM(B17:D17)</f>
        <v>1392000</v>
      </c>
      <c r="F17" s="833">
        <f>F14*F16</f>
        <v>149900</v>
      </c>
      <c r="G17" s="833">
        <f>G14*G16</f>
        <v>69000</v>
      </c>
      <c r="H17" s="833">
        <f>H16*H14</f>
        <v>149500</v>
      </c>
      <c r="I17" s="834">
        <f>F17+G17+H17</f>
        <v>368400</v>
      </c>
      <c r="J17" s="829"/>
      <c r="K17" s="997" t="s">
        <v>401</v>
      </c>
      <c r="L17" s="995"/>
      <c r="M17" s="995"/>
      <c r="N17" s="966" t="s">
        <v>360</v>
      </c>
      <c r="O17" s="995"/>
      <c r="P17" s="995"/>
      <c r="Q17" s="995"/>
      <c r="R17" s="966" t="s">
        <v>480</v>
      </c>
      <c r="S17" s="995"/>
      <c r="T17" s="995"/>
      <c r="U17" s="845"/>
      <c r="W17" s="1374"/>
      <c r="X17" s="1384"/>
      <c r="Y17" s="903" t="s">
        <v>277</v>
      </c>
      <c r="Z17" s="914" t="s">
        <v>583</v>
      </c>
      <c r="AA17" s="910">
        <v>150</v>
      </c>
      <c r="AB17" s="911" t="s">
        <v>584</v>
      </c>
      <c r="AC17" s="912">
        <v>9820</v>
      </c>
      <c r="AD17" s="913">
        <v>1473000</v>
      </c>
      <c r="AE17" s="909"/>
      <c r="AG17" s="1375"/>
      <c r="AH17" s="1388"/>
      <c r="AI17" s="924" t="s">
        <v>278</v>
      </c>
      <c r="AJ17" s="930">
        <v>5</v>
      </c>
      <c r="AK17" s="926">
        <v>13</v>
      </c>
      <c r="AL17" s="927" t="s">
        <v>618</v>
      </c>
      <c r="AM17" s="928">
        <v>35000</v>
      </c>
      <c r="AN17" s="929">
        <f t="shared" si="1"/>
        <v>455000</v>
      </c>
      <c r="AO17" s="925"/>
      <c r="AQ17" s="1374"/>
      <c r="AR17" s="1385"/>
      <c r="AS17" s="903" t="s">
        <v>278</v>
      </c>
      <c r="AT17" s="914" t="s">
        <v>583</v>
      </c>
      <c r="AU17" s="910">
        <v>13</v>
      </c>
      <c r="AV17" s="911" t="s">
        <v>587</v>
      </c>
      <c r="AW17" s="912">
        <v>35000</v>
      </c>
      <c r="AX17" s="913">
        <v>455000</v>
      </c>
      <c r="AY17" s="909"/>
      <c r="BA17" s="1375"/>
      <c r="BB17" s="1388"/>
      <c r="BC17" s="924" t="s">
        <v>278</v>
      </c>
      <c r="BD17" s="930">
        <v>5</v>
      </c>
      <c r="BE17" s="926">
        <v>45</v>
      </c>
      <c r="BF17" s="927" t="s">
        <v>618</v>
      </c>
      <c r="BG17" s="928">
        <v>35000</v>
      </c>
      <c r="BH17" s="929">
        <f t="shared" si="2"/>
        <v>1575000</v>
      </c>
      <c r="BI17" s="925"/>
      <c r="BK17" s="1375"/>
      <c r="BL17" s="1388"/>
      <c r="BM17" s="924" t="s">
        <v>278</v>
      </c>
      <c r="BN17" s="930">
        <v>5</v>
      </c>
      <c r="BO17" s="926">
        <v>45</v>
      </c>
      <c r="BP17" s="927" t="s">
        <v>618</v>
      </c>
      <c r="BQ17" s="928">
        <v>35000</v>
      </c>
      <c r="BR17" s="929">
        <f t="shared" si="3"/>
        <v>1575000</v>
      </c>
      <c r="BS17" s="925"/>
    </row>
    <row r="18" spans="1:73" ht="27.95" customHeight="1" x14ac:dyDescent="0.2">
      <c r="A18" s="828"/>
      <c r="B18" s="828"/>
      <c r="C18" s="828"/>
      <c r="D18" s="828"/>
      <c r="E18" s="835"/>
      <c r="F18" s="828"/>
      <c r="G18" s="828"/>
      <c r="H18" s="828"/>
      <c r="I18" s="835"/>
      <c r="J18" s="829"/>
      <c r="K18" s="999" t="s">
        <v>655</v>
      </c>
      <c r="L18" s="994" t="s">
        <v>651</v>
      </c>
      <c r="M18" s="998">
        <v>121000</v>
      </c>
      <c r="N18" s="1023" t="s">
        <v>659</v>
      </c>
      <c r="O18" s="992" t="s">
        <v>362</v>
      </c>
      <c r="P18" s="1017">
        <v>210000</v>
      </c>
      <c r="Q18" s="1405">
        <f>P18+P19</f>
        <v>759990</v>
      </c>
      <c r="R18" s="1033" t="s">
        <v>663</v>
      </c>
      <c r="S18" s="1040" t="s">
        <v>481</v>
      </c>
      <c r="T18" s="1034">
        <v>320000</v>
      </c>
      <c r="U18" s="1041">
        <f>T18+T19+T20</f>
        <v>752980</v>
      </c>
      <c r="W18" s="1374"/>
      <c r="X18" s="1384"/>
      <c r="Y18" s="903" t="s">
        <v>586</v>
      </c>
      <c r="Z18" s="914" t="s">
        <v>583</v>
      </c>
      <c r="AA18" s="910">
        <v>1</v>
      </c>
      <c r="AB18" s="911" t="s">
        <v>578</v>
      </c>
      <c r="AC18" s="912">
        <v>589490</v>
      </c>
      <c r="AD18" s="913">
        <v>589490</v>
      </c>
      <c r="AE18" s="909"/>
      <c r="AG18" s="1375"/>
      <c r="AH18" s="1388" t="s">
        <v>264</v>
      </c>
      <c r="AI18" s="1101" t="s">
        <v>588</v>
      </c>
      <c r="AJ18" s="1102" t="s">
        <v>265</v>
      </c>
      <c r="AK18" s="1102">
        <v>5</v>
      </c>
      <c r="AL18" s="1103" t="s">
        <v>271</v>
      </c>
      <c r="AM18" s="1104">
        <v>27000</v>
      </c>
      <c r="AN18" s="1105">
        <f t="shared" si="1"/>
        <v>135000</v>
      </c>
      <c r="AO18" s="1106">
        <v>4.7</v>
      </c>
      <c r="AQ18" s="1374"/>
      <c r="AR18" s="1383" t="s">
        <v>264</v>
      </c>
      <c r="AS18" s="948" t="s">
        <v>588</v>
      </c>
      <c r="AT18" s="949" t="s">
        <v>265</v>
      </c>
      <c r="AU18" s="949">
        <v>5</v>
      </c>
      <c r="AV18" s="950" t="s">
        <v>578</v>
      </c>
      <c r="AW18" s="951">
        <v>27000</v>
      </c>
      <c r="AX18" s="952">
        <v>135000</v>
      </c>
      <c r="AY18" s="953"/>
      <c r="BA18" s="1375"/>
      <c r="BB18" s="1388"/>
      <c r="BC18" s="924" t="s">
        <v>279</v>
      </c>
      <c r="BD18" s="926" t="s">
        <v>265</v>
      </c>
      <c r="BE18" s="926">
        <v>455</v>
      </c>
      <c r="BF18" s="927" t="s">
        <v>271</v>
      </c>
      <c r="BG18" s="928">
        <v>1020</v>
      </c>
      <c r="BH18" s="929">
        <f t="shared" si="2"/>
        <v>464100</v>
      </c>
      <c r="BI18" s="925">
        <v>16.2</v>
      </c>
      <c r="BK18" s="1375"/>
      <c r="BL18" s="1388"/>
      <c r="BM18" s="1090" t="s">
        <v>279</v>
      </c>
      <c r="BN18" s="1096" t="s">
        <v>265</v>
      </c>
      <c r="BO18" s="1096">
        <v>455</v>
      </c>
      <c r="BP18" s="1097" t="s">
        <v>271</v>
      </c>
      <c r="BQ18" s="1098">
        <v>1020</v>
      </c>
      <c r="BR18" s="1099">
        <f t="shared" si="3"/>
        <v>464100</v>
      </c>
      <c r="BS18" s="1095">
        <v>16.2</v>
      </c>
    </row>
    <row r="19" spans="1:73" ht="19.5" customHeight="1" x14ac:dyDescent="0.2">
      <c r="A19" s="826"/>
      <c r="B19" s="827" t="s">
        <v>380</v>
      </c>
      <c r="C19" s="827" t="s">
        <v>381</v>
      </c>
      <c r="D19" s="827" t="s">
        <v>382</v>
      </c>
      <c r="E19" s="836"/>
      <c r="F19" s="827" t="s">
        <v>383</v>
      </c>
      <c r="G19" s="827" t="s">
        <v>384</v>
      </c>
      <c r="H19" s="827" t="s">
        <v>393</v>
      </c>
      <c r="I19" s="835"/>
      <c r="J19" s="829"/>
      <c r="K19" s="999"/>
      <c r="L19" s="994" t="s">
        <v>652</v>
      </c>
      <c r="M19" s="998">
        <v>149990</v>
      </c>
      <c r="N19" s="1000"/>
      <c r="O19" s="993" t="s">
        <v>361</v>
      </c>
      <c r="P19" s="1018">
        <v>549990</v>
      </c>
      <c r="Q19" s="1406"/>
      <c r="R19" s="1001"/>
      <c r="S19" s="1043" t="s">
        <v>361</v>
      </c>
      <c r="T19" s="1037">
        <v>359990</v>
      </c>
      <c r="U19" s="845"/>
      <c r="W19" s="1374"/>
      <c r="X19" s="1385"/>
      <c r="Y19" s="1070" t="s">
        <v>278</v>
      </c>
      <c r="Z19" s="1076" t="s">
        <v>583</v>
      </c>
      <c r="AA19" s="1071">
        <v>45</v>
      </c>
      <c r="AB19" s="1072" t="s">
        <v>587</v>
      </c>
      <c r="AC19" s="1073">
        <v>62478</v>
      </c>
      <c r="AD19" s="1074">
        <v>2811510</v>
      </c>
      <c r="AE19" s="1075">
        <v>3.1</v>
      </c>
      <c r="AG19" s="1375"/>
      <c r="AH19" s="1388"/>
      <c r="AI19" s="1101" t="s">
        <v>279</v>
      </c>
      <c r="AJ19" s="1102" t="s">
        <v>265</v>
      </c>
      <c r="AK19" s="1102">
        <v>611</v>
      </c>
      <c r="AL19" s="1103" t="s">
        <v>271</v>
      </c>
      <c r="AM19" s="1104">
        <v>1020</v>
      </c>
      <c r="AN19" s="1105">
        <f t="shared" si="1"/>
        <v>623220</v>
      </c>
      <c r="AO19" s="1106">
        <v>21.7</v>
      </c>
      <c r="AQ19" s="1374"/>
      <c r="AR19" s="1384"/>
      <c r="AS19" s="948" t="s">
        <v>279</v>
      </c>
      <c r="AT19" s="949" t="s">
        <v>265</v>
      </c>
      <c r="AU19" s="949">
        <v>611</v>
      </c>
      <c r="AV19" s="950" t="s">
        <v>578</v>
      </c>
      <c r="AW19" s="951">
        <v>1020</v>
      </c>
      <c r="AX19" s="952">
        <v>623220</v>
      </c>
      <c r="AY19" s="953"/>
      <c r="BA19" s="1375"/>
      <c r="BB19" s="1388"/>
      <c r="BC19" s="924" t="s">
        <v>280</v>
      </c>
      <c r="BD19" s="926" t="s">
        <v>265</v>
      </c>
      <c r="BE19" s="926">
        <v>15</v>
      </c>
      <c r="BF19" s="927" t="s">
        <v>618</v>
      </c>
      <c r="BG19" s="928">
        <v>12250</v>
      </c>
      <c r="BH19" s="929">
        <f t="shared" si="2"/>
        <v>183750</v>
      </c>
      <c r="BI19" s="925">
        <v>6.4</v>
      </c>
      <c r="BK19" s="1375"/>
      <c r="BL19" s="1388"/>
      <c r="BM19" s="1090" t="s">
        <v>280</v>
      </c>
      <c r="BN19" s="1096" t="s">
        <v>265</v>
      </c>
      <c r="BO19" s="1096">
        <v>15</v>
      </c>
      <c r="BP19" s="1097" t="s">
        <v>618</v>
      </c>
      <c r="BQ19" s="1098">
        <v>12250</v>
      </c>
      <c r="BR19" s="1099">
        <f t="shared" si="3"/>
        <v>183750</v>
      </c>
      <c r="BS19" s="1095">
        <v>6.4</v>
      </c>
    </row>
    <row r="20" spans="1:73" ht="19.5" customHeight="1" x14ac:dyDescent="0.2">
      <c r="A20" s="830" t="s">
        <v>388</v>
      </c>
      <c r="B20" s="831">
        <f>2*20*10*4</f>
        <v>1600</v>
      </c>
      <c r="C20" s="831"/>
      <c r="D20" s="831">
        <f>4*20*10*4</f>
        <v>3200</v>
      </c>
      <c r="E20" s="837"/>
      <c r="F20" s="831">
        <v>3</v>
      </c>
      <c r="G20" s="831">
        <v>4</v>
      </c>
      <c r="H20" s="831">
        <v>20</v>
      </c>
      <c r="I20" s="835"/>
      <c r="J20" s="829"/>
      <c r="K20" s="1372"/>
      <c r="L20" s="989" t="s">
        <v>653</v>
      </c>
      <c r="M20" s="990">
        <v>50000</v>
      </c>
      <c r="N20" s="991" t="s">
        <v>656</v>
      </c>
      <c r="O20" s="1019" t="s">
        <v>657</v>
      </c>
      <c r="P20" s="1020">
        <v>319000</v>
      </c>
      <c r="Q20" s="1407">
        <f>P20+P21</f>
        <v>569000</v>
      </c>
      <c r="R20" s="1002"/>
      <c r="S20" s="1035" t="s">
        <v>664</v>
      </c>
      <c r="T20" s="1036">
        <v>72990</v>
      </c>
      <c r="U20" s="845"/>
      <c r="W20" s="1374"/>
      <c r="X20" s="1383" t="s">
        <v>264</v>
      </c>
      <c r="Y20" s="903" t="s">
        <v>588</v>
      </c>
      <c r="Z20" s="910" t="s">
        <v>265</v>
      </c>
      <c r="AA20" s="910">
        <v>125</v>
      </c>
      <c r="AB20" s="911" t="s">
        <v>578</v>
      </c>
      <c r="AC20" s="912">
        <v>3500</v>
      </c>
      <c r="AD20" s="913">
        <v>437500</v>
      </c>
      <c r="AE20" s="909"/>
      <c r="AG20" s="1375"/>
      <c r="AH20" s="1388"/>
      <c r="AI20" s="1101" t="s">
        <v>280</v>
      </c>
      <c r="AJ20" s="1102" t="s">
        <v>265</v>
      </c>
      <c r="AK20" s="1102">
        <v>26</v>
      </c>
      <c r="AL20" s="1103" t="s">
        <v>618</v>
      </c>
      <c r="AM20" s="1104">
        <v>8300</v>
      </c>
      <c r="AN20" s="1105">
        <f t="shared" si="1"/>
        <v>215800</v>
      </c>
      <c r="AO20" s="1106">
        <v>100</v>
      </c>
      <c r="AQ20" s="1374"/>
      <c r="AR20" s="1385"/>
      <c r="AS20" s="948" t="s">
        <v>280</v>
      </c>
      <c r="AT20" s="949" t="s">
        <v>265</v>
      </c>
      <c r="AU20" s="949">
        <v>26</v>
      </c>
      <c r="AV20" s="950" t="s">
        <v>587</v>
      </c>
      <c r="AW20" s="951">
        <v>8300</v>
      </c>
      <c r="AX20" s="952">
        <v>215800</v>
      </c>
      <c r="AY20" s="953"/>
      <c r="BA20" s="1375"/>
      <c r="BB20" s="1388" t="s">
        <v>589</v>
      </c>
      <c r="BC20" s="924" t="s">
        <v>590</v>
      </c>
      <c r="BD20" s="930">
        <v>3</v>
      </c>
      <c r="BE20" s="926">
        <v>325</v>
      </c>
      <c r="BF20" s="927" t="s">
        <v>617</v>
      </c>
      <c r="BG20" s="928">
        <v>2500</v>
      </c>
      <c r="BH20" s="929">
        <f t="shared" si="2"/>
        <v>812500</v>
      </c>
      <c r="BI20" s="925"/>
      <c r="BK20" s="1375"/>
      <c r="BL20" s="1388" t="s">
        <v>589</v>
      </c>
      <c r="BM20" s="924" t="s">
        <v>590</v>
      </c>
      <c r="BN20" s="930">
        <v>3</v>
      </c>
      <c r="BO20" s="926">
        <v>325</v>
      </c>
      <c r="BP20" s="927" t="s">
        <v>617</v>
      </c>
      <c r="BQ20" s="928">
        <v>2500</v>
      </c>
      <c r="BR20" s="929">
        <f t="shared" si="3"/>
        <v>812500</v>
      </c>
      <c r="BS20" s="925"/>
    </row>
    <row r="21" spans="1:73" ht="19.5" customHeight="1" x14ac:dyDescent="0.2">
      <c r="A21" s="830">
        <v>4</v>
      </c>
      <c r="B21" s="827" t="s">
        <v>385</v>
      </c>
      <c r="C21" s="827" t="s">
        <v>385</v>
      </c>
      <c r="D21" s="827" t="s">
        <v>385</v>
      </c>
      <c r="E21" s="836"/>
      <c r="F21" s="827" t="s">
        <v>386</v>
      </c>
      <c r="G21" s="827" t="s">
        <v>386</v>
      </c>
      <c r="H21" s="827" t="s">
        <v>386</v>
      </c>
      <c r="I21" s="835"/>
      <c r="J21" s="829"/>
      <c r="K21" s="1372"/>
      <c r="L21" s="987" t="s">
        <v>654</v>
      </c>
      <c r="M21" s="1004">
        <v>180000</v>
      </c>
      <c r="N21" s="1005"/>
      <c r="O21" s="1022" t="s">
        <v>658</v>
      </c>
      <c r="P21" s="1021">
        <v>250000</v>
      </c>
      <c r="Q21" s="1407"/>
      <c r="R21" s="1044" t="s">
        <v>665</v>
      </c>
      <c r="S21" s="1038" t="s">
        <v>666</v>
      </c>
      <c r="T21" s="1039">
        <v>31960</v>
      </c>
      <c r="U21" s="1042">
        <f>T21+T22+T23+T24+T25+T26</f>
        <v>229125</v>
      </c>
      <c r="W21" s="1374"/>
      <c r="X21" s="1384"/>
      <c r="Y21" s="903" t="s">
        <v>279</v>
      </c>
      <c r="Z21" s="910" t="s">
        <v>281</v>
      </c>
      <c r="AA21" s="910">
        <v>610</v>
      </c>
      <c r="AB21" s="911" t="s">
        <v>578</v>
      </c>
      <c r="AC21" s="912">
        <v>4864</v>
      </c>
      <c r="AD21" s="913">
        <v>2967040</v>
      </c>
      <c r="AE21" s="909"/>
      <c r="AG21" s="1375"/>
      <c r="AH21" s="1388" t="s">
        <v>589</v>
      </c>
      <c r="AI21" s="924" t="s">
        <v>590</v>
      </c>
      <c r="AJ21" s="930">
        <v>3</v>
      </c>
      <c r="AK21" s="926">
        <v>1266</v>
      </c>
      <c r="AL21" s="927" t="s">
        <v>617</v>
      </c>
      <c r="AM21" s="928">
        <v>2500</v>
      </c>
      <c r="AN21" s="929">
        <f t="shared" si="1"/>
        <v>3165000</v>
      </c>
      <c r="AO21" s="925"/>
      <c r="AQ21" s="1374"/>
      <c r="AR21" s="1383" t="s">
        <v>589</v>
      </c>
      <c r="AS21" s="903" t="s">
        <v>590</v>
      </c>
      <c r="AT21" s="914" t="s">
        <v>591</v>
      </c>
      <c r="AU21" s="910">
        <v>1266</v>
      </c>
      <c r="AV21" s="911" t="s">
        <v>584</v>
      </c>
      <c r="AW21" s="912">
        <v>2500</v>
      </c>
      <c r="AX21" s="913">
        <v>3165000</v>
      </c>
      <c r="AY21" s="909"/>
      <c r="BA21" s="1375"/>
      <c r="BB21" s="1388"/>
      <c r="BC21" s="924" t="s">
        <v>592</v>
      </c>
      <c r="BD21" s="930">
        <v>3</v>
      </c>
      <c r="BE21" s="926">
        <v>150</v>
      </c>
      <c r="BF21" s="927" t="s">
        <v>617</v>
      </c>
      <c r="BG21" s="928">
        <v>2500</v>
      </c>
      <c r="BH21" s="929">
        <f t="shared" si="2"/>
        <v>375000</v>
      </c>
      <c r="BI21" s="925"/>
      <c r="BK21" s="1375"/>
      <c r="BL21" s="1388"/>
      <c r="BM21" s="924" t="s">
        <v>592</v>
      </c>
      <c r="BN21" s="930">
        <v>3</v>
      </c>
      <c r="BO21" s="926">
        <v>150</v>
      </c>
      <c r="BP21" s="927" t="s">
        <v>617</v>
      </c>
      <c r="BQ21" s="928">
        <v>2500</v>
      </c>
      <c r="BR21" s="929">
        <f t="shared" si="3"/>
        <v>375000</v>
      </c>
      <c r="BS21" s="925"/>
    </row>
    <row r="22" spans="1:73" ht="19.5" customHeight="1" x14ac:dyDescent="0.2">
      <c r="A22" s="832"/>
      <c r="B22" s="833">
        <v>50</v>
      </c>
      <c r="C22" s="833">
        <v>0</v>
      </c>
      <c r="D22" s="833">
        <v>50</v>
      </c>
      <c r="E22" s="834"/>
      <c r="F22" s="833">
        <f>14990</f>
        <v>14990</v>
      </c>
      <c r="G22" s="833">
        <f>G16</f>
        <v>6900</v>
      </c>
      <c r="H22" s="833">
        <v>2990</v>
      </c>
      <c r="I22" s="835"/>
      <c r="J22" s="829"/>
      <c r="K22" s="1372"/>
      <c r="L22" s="988" t="s">
        <v>154</v>
      </c>
      <c r="M22" s="1009">
        <f>SUM(M18:M21)</f>
        <v>500990</v>
      </c>
      <c r="N22" s="1005"/>
      <c r="O22" s="1110" t="s">
        <v>660</v>
      </c>
      <c r="P22" s="1111">
        <v>0</v>
      </c>
      <c r="Q22" s="1109" t="s">
        <v>703</v>
      </c>
      <c r="R22" s="1007"/>
      <c r="S22" s="1038" t="s">
        <v>667</v>
      </c>
      <c r="T22" s="1039">
        <v>24900</v>
      </c>
      <c r="U22" s="845"/>
      <c r="W22" s="1374"/>
      <c r="X22" s="1385"/>
      <c r="Y22" s="1070" t="s">
        <v>280</v>
      </c>
      <c r="Z22" s="1071" t="s">
        <v>281</v>
      </c>
      <c r="AA22" s="1071">
        <v>56</v>
      </c>
      <c r="AB22" s="1072" t="s">
        <v>587</v>
      </c>
      <c r="AC22" s="1073">
        <v>8500</v>
      </c>
      <c r="AD22" s="1074">
        <v>476000</v>
      </c>
      <c r="AE22" s="1075">
        <v>40</v>
      </c>
      <c r="AG22" s="1375"/>
      <c r="AH22" s="1388"/>
      <c r="AI22" s="924" t="s">
        <v>592</v>
      </c>
      <c r="AJ22" s="930">
        <v>3</v>
      </c>
      <c r="AK22" s="926">
        <v>210</v>
      </c>
      <c r="AL22" s="927" t="s">
        <v>617</v>
      </c>
      <c r="AM22" s="928">
        <v>2500</v>
      </c>
      <c r="AN22" s="929">
        <f t="shared" si="1"/>
        <v>525000</v>
      </c>
      <c r="AO22" s="925"/>
      <c r="AQ22" s="1374"/>
      <c r="AR22" s="1384"/>
      <c r="AS22" s="903" t="s">
        <v>592</v>
      </c>
      <c r="AT22" s="914" t="s">
        <v>591</v>
      </c>
      <c r="AU22" s="910">
        <v>210</v>
      </c>
      <c r="AV22" s="911" t="s">
        <v>584</v>
      </c>
      <c r="AW22" s="912">
        <v>2500</v>
      </c>
      <c r="AX22" s="913">
        <v>525000</v>
      </c>
      <c r="AY22" s="909"/>
      <c r="BA22" s="1375"/>
      <c r="BB22" s="1388"/>
      <c r="BC22" s="924" t="s">
        <v>282</v>
      </c>
      <c r="BD22" s="930">
        <v>3</v>
      </c>
      <c r="BE22" s="926">
        <v>240</v>
      </c>
      <c r="BF22" s="927" t="s">
        <v>617</v>
      </c>
      <c r="BG22" s="928">
        <v>2500</v>
      </c>
      <c r="BH22" s="929">
        <f t="shared" si="2"/>
        <v>600000</v>
      </c>
      <c r="BI22" s="925"/>
      <c r="BK22" s="1375"/>
      <c r="BL22" s="1388"/>
      <c r="BM22" s="924" t="s">
        <v>282</v>
      </c>
      <c r="BN22" s="930">
        <v>3</v>
      </c>
      <c r="BO22" s="926">
        <v>240</v>
      </c>
      <c r="BP22" s="927" t="s">
        <v>617</v>
      </c>
      <c r="BQ22" s="928">
        <v>2500</v>
      </c>
      <c r="BR22" s="929">
        <f t="shared" si="3"/>
        <v>600000</v>
      </c>
      <c r="BS22" s="925"/>
    </row>
    <row r="23" spans="1:73" ht="19.5" customHeight="1" x14ac:dyDescent="0.2">
      <c r="A23" s="828"/>
      <c r="B23" s="833">
        <f>B20*B22</f>
        <v>80000</v>
      </c>
      <c r="C23" s="833">
        <f>C20*C22</f>
        <v>0</v>
      </c>
      <c r="D23" s="833">
        <f>D20*D22</f>
        <v>160000</v>
      </c>
      <c r="E23" s="834">
        <f>SUM(B23:D23)</f>
        <v>240000</v>
      </c>
      <c r="F23" s="833">
        <f>F20*F22</f>
        <v>44970</v>
      </c>
      <c r="G23" s="833">
        <f>G20*G22</f>
        <v>27600</v>
      </c>
      <c r="H23" s="833">
        <f>H22*H20</f>
        <v>59800</v>
      </c>
      <c r="I23" s="834">
        <f>F23+G23+H23</f>
        <v>132370</v>
      </c>
      <c r="J23" s="829"/>
      <c r="K23" s="1372"/>
      <c r="L23" s="1010"/>
      <c r="M23" s="1011"/>
      <c r="N23" s="1005"/>
      <c r="O23" s="1024" t="s">
        <v>661</v>
      </c>
      <c r="P23" s="1021">
        <v>850000</v>
      </c>
      <c r="Q23" s="1006"/>
      <c r="R23" s="1007"/>
      <c r="S23" s="1038" t="s">
        <v>668</v>
      </c>
      <c r="T23" s="1039">
        <v>23350</v>
      </c>
      <c r="U23" s="845"/>
      <c r="W23" s="1374"/>
      <c r="X23" s="1383" t="s">
        <v>589</v>
      </c>
      <c r="Y23" s="903" t="s">
        <v>590</v>
      </c>
      <c r="Z23" s="914" t="s">
        <v>591</v>
      </c>
      <c r="AA23" s="910">
        <v>228</v>
      </c>
      <c r="AB23" s="911" t="s">
        <v>584</v>
      </c>
      <c r="AC23" s="912">
        <v>3900</v>
      </c>
      <c r="AD23" s="913">
        <v>889200</v>
      </c>
      <c r="AE23" s="909"/>
      <c r="AG23" s="1375"/>
      <c r="AH23" s="1388"/>
      <c r="AI23" s="924" t="s">
        <v>282</v>
      </c>
      <c r="AJ23" s="930">
        <v>3</v>
      </c>
      <c r="AK23" s="926">
        <v>288</v>
      </c>
      <c r="AL23" s="927" t="s">
        <v>617</v>
      </c>
      <c r="AM23" s="928">
        <v>2500</v>
      </c>
      <c r="AN23" s="929">
        <f t="shared" si="1"/>
        <v>720000</v>
      </c>
      <c r="AO23" s="925"/>
      <c r="AQ23" s="1374"/>
      <c r="AR23" s="1384"/>
      <c r="AS23" s="903" t="s">
        <v>282</v>
      </c>
      <c r="AT23" s="914" t="s">
        <v>591</v>
      </c>
      <c r="AU23" s="910">
        <v>288</v>
      </c>
      <c r="AV23" s="911" t="s">
        <v>584</v>
      </c>
      <c r="AW23" s="912">
        <v>2500</v>
      </c>
      <c r="AX23" s="913">
        <v>720000</v>
      </c>
      <c r="AY23" s="909"/>
      <c r="BA23" s="1375"/>
      <c r="BB23" s="1388"/>
      <c r="BC23" s="924" t="s">
        <v>283</v>
      </c>
      <c r="BD23" s="930">
        <v>3</v>
      </c>
      <c r="BE23" s="926">
        <v>55</v>
      </c>
      <c r="BF23" s="927" t="s">
        <v>617</v>
      </c>
      <c r="BG23" s="928">
        <v>2500</v>
      </c>
      <c r="BH23" s="929">
        <f t="shared" si="2"/>
        <v>137500</v>
      </c>
      <c r="BI23" s="925"/>
      <c r="BK23" s="1375"/>
      <c r="BL23" s="1388"/>
      <c r="BM23" s="924" t="s">
        <v>283</v>
      </c>
      <c r="BN23" s="930">
        <v>3</v>
      </c>
      <c r="BO23" s="926">
        <v>55</v>
      </c>
      <c r="BP23" s="927" t="s">
        <v>617</v>
      </c>
      <c r="BQ23" s="928">
        <v>2500</v>
      </c>
      <c r="BR23" s="929">
        <f t="shared" si="3"/>
        <v>137500</v>
      </c>
      <c r="BS23" s="925"/>
    </row>
    <row r="24" spans="1:73" ht="19.5" customHeight="1" thickBot="1" x14ac:dyDescent="0.25">
      <c r="A24" s="828"/>
      <c r="B24" s="828"/>
      <c r="C24" s="828"/>
      <c r="D24" s="828"/>
      <c r="E24" s="835"/>
      <c r="F24" s="828"/>
      <c r="G24" s="828"/>
      <c r="H24" s="828"/>
      <c r="I24" s="835"/>
      <c r="J24" s="829"/>
      <c r="K24" s="1372"/>
      <c r="L24" s="1010"/>
      <c r="M24" s="1011"/>
      <c r="N24" s="1005"/>
      <c r="O24" s="1025" t="s">
        <v>662</v>
      </c>
      <c r="P24" s="1021">
        <v>1000000</v>
      </c>
      <c r="Q24" s="1006"/>
      <c r="R24" s="1007"/>
      <c r="S24" s="1038" t="s">
        <v>669</v>
      </c>
      <c r="T24" s="1039">
        <v>24975</v>
      </c>
      <c r="U24" s="845"/>
      <c r="W24" s="1374"/>
      <c r="X24" s="1384"/>
      <c r="Y24" s="1070" t="s">
        <v>592</v>
      </c>
      <c r="Z24" s="1076" t="s">
        <v>591</v>
      </c>
      <c r="AA24" s="1071">
        <v>228</v>
      </c>
      <c r="AB24" s="1072" t="s">
        <v>584</v>
      </c>
      <c r="AC24" s="1073">
        <v>3900</v>
      </c>
      <c r="AD24" s="1074">
        <v>889200</v>
      </c>
      <c r="AE24" s="1075">
        <v>40</v>
      </c>
      <c r="AG24" s="1375"/>
      <c r="AH24" s="1388"/>
      <c r="AI24" s="924" t="s">
        <v>283</v>
      </c>
      <c r="AJ24" s="930">
        <v>3</v>
      </c>
      <c r="AK24" s="926">
        <v>80</v>
      </c>
      <c r="AL24" s="927" t="s">
        <v>617</v>
      </c>
      <c r="AM24" s="928">
        <v>2500</v>
      </c>
      <c r="AN24" s="929">
        <f t="shared" si="1"/>
        <v>200000</v>
      </c>
      <c r="AO24" s="925"/>
      <c r="AQ24" s="1374"/>
      <c r="AR24" s="1385"/>
      <c r="AS24" s="903" t="s">
        <v>283</v>
      </c>
      <c r="AT24" s="914" t="s">
        <v>591</v>
      </c>
      <c r="AU24" s="910">
        <v>80</v>
      </c>
      <c r="AV24" s="911" t="s">
        <v>584</v>
      </c>
      <c r="AW24" s="912">
        <v>2500</v>
      </c>
      <c r="AX24" s="913">
        <v>200000</v>
      </c>
      <c r="AY24" s="909"/>
      <c r="BA24" s="1375"/>
      <c r="BB24" s="1388" t="s">
        <v>593</v>
      </c>
      <c r="BC24" s="924" t="s">
        <v>284</v>
      </c>
      <c r="BD24" s="930">
        <v>5</v>
      </c>
      <c r="BE24" s="926">
        <v>516</v>
      </c>
      <c r="BF24" s="927" t="s">
        <v>617</v>
      </c>
      <c r="BG24" s="928">
        <v>2500</v>
      </c>
      <c r="BH24" s="929">
        <f t="shared" si="2"/>
        <v>1290000</v>
      </c>
      <c r="BI24" s="925"/>
      <c r="BK24" s="1375"/>
      <c r="BL24" s="1388" t="s">
        <v>593</v>
      </c>
      <c r="BM24" s="1090" t="s">
        <v>284</v>
      </c>
      <c r="BN24" s="1100">
        <v>5</v>
      </c>
      <c r="BO24" s="1096">
        <v>516</v>
      </c>
      <c r="BP24" s="1097" t="s">
        <v>617</v>
      </c>
      <c r="BQ24" s="1098">
        <v>2500</v>
      </c>
      <c r="BR24" s="1099">
        <f t="shared" si="3"/>
        <v>1290000</v>
      </c>
      <c r="BS24" s="1095">
        <v>0</v>
      </c>
      <c r="BT24" s="504" t="s">
        <v>702</v>
      </c>
      <c r="BU24" s="504">
        <v>308.39999999999998</v>
      </c>
    </row>
    <row r="25" spans="1:73" ht="19.5" customHeight="1" thickBot="1" x14ac:dyDescent="0.25">
      <c r="A25" s="826"/>
      <c r="B25" s="827" t="s">
        <v>380</v>
      </c>
      <c r="C25" s="827" t="s">
        <v>381</v>
      </c>
      <c r="D25" s="827" t="s">
        <v>382</v>
      </c>
      <c r="E25" s="836"/>
      <c r="F25" s="827" t="s">
        <v>383</v>
      </c>
      <c r="G25" s="827" t="s">
        <v>384</v>
      </c>
      <c r="H25" s="827" t="s">
        <v>392</v>
      </c>
      <c r="I25" s="835"/>
      <c r="J25" s="829"/>
      <c r="K25" s="1372"/>
      <c r="L25" s="1055" t="s">
        <v>694</v>
      </c>
      <c r="M25" s="1056"/>
      <c r="N25" s="1005"/>
      <c r="O25" s="1022" t="s">
        <v>154</v>
      </c>
      <c r="P25" s="1021">
        <f>SUM(P18:P24)</f>
        <v>3178990</v>
      </c>
      <c r="Q25" s="1006"/>
      <c r="R25" s="1007"/>
      <c r="S25" s="1038" t="s">
        <v>670</v>
      </c>
      <c r="T25" s="1039">
        <v>99980</v>
      </c>
      <c r="U25" s="845"/>
      <c r="W25" s="1374"/>
      <c r="X25" s="1384"/>
      <c r="Y25" s="903" t="s">
        <v>282</v>
      </c>
      <c r="Z25" s="914" t="s">
        <v>591</v>
      </c>
      <c r="AA25" s="910">
        <v>228</v>
      </c>
      <c r="AB25" s="911" t="s">
        <v>584</v>
      </c>
      <c r="AC25" s="912">
        <v>3900</v>
      </c>
      <c r="AD25" s="913">
        <v>889200</v>
      </c>
      <c r="AE25" s="909"/>
      <c r="AG25" s="1375"/>
      <c r="AH25" s="1388" t="s">
        <v>593</v>
      </c>
      <c r="AI25" s="924" t="s">
        <v>284</v>
      </c>
      <c r="AJ25" s="930">
        <v>5</v>
      </c>
      <c r="AK25" s="926">
        <v>190</v>
      </c>
      <c r="AL25" s="927" t="s">
        <v>617</v>
      </c>
      <c r="AM25" s="928">
        <v>3991</v>
      </c>
      <c r="AN25" s="929">
        <f t="shared" si="1"/>
        <v>758290</v>
      </c>
      <c r="AO25" s="925"/>
      <c r="AQ25" s="1374"/>
      <c r="AR25" s="1383" t="s">
        <v>593</v>
      </c>
      <c r="AS25" s="903" t="s">
        <v>284</v>
      </c>
      <c r="AT25" s="914" t="s">
        <v>583</v>
      </c>
      <c r="AU25" s="910">
        <v>190</v>
      </c>
      <c r="AV25" s="911" t="s">
        <v>584</v>
      </c>
      <c r="AW25" s="912">
        <v>3991</v>
      </c>
      <c r="AX25" s="913">
        <v>758290</v>
      </c>
      <c r="AY25" s="909">
        <v>29</v>
      </c>
      <c r="BA25" s="1375"/>
      <c r="BB25" s="1388"/>
      <c r="BC25" s="924" t="s">
        <v>285</v>
      </c>
      <c r="BD25" s="930">
        <v>2</v>
      </c>
      <c r="BE25" s="926">
        <v>45</v>
      </c>
      <c r="BF25" s="927" t="s">
        <v>618</v>
      </c>
      <c r="BG25" s="928">
        <v>8990</v>
      </c>
      <c r="BH25" s="929">
        <f t="shared" si="2"/>
        <v>404550</v>
      </c>
      <c r="BI25" s="925"/>
      <c r="BK25" s="1375"/>
      <c r="BL25" s="1388"/>
      <c r="BM25" s="1090" t="s">
        <v>285</v>
      </c>
      <c r="BN25" s="1100">
        <v>2</v>
      </c>
      <c r="BO25" s="1096">
        <v>45</v>
      </c>
      <c r="BP25" s="1097" t="s">
        <v>618</v>
      </c>
      <c r="BQ25" s="1098">
        <v>8990</v>
      </c>
      <c r="BR25" s="1099">
        <f t="shared" si="3"/>
        <v>404550</v>
      </c>
      <c r="BS25" s="1095">
        <v>0</v>
      </c>
      <c r="BT25" s="504" t="s">
        <v>702</v>
      </c>
      <c r="BU25" s="504">
        <v>89</v>
      </c>
    </row>
    <row r="26" spans="1:73" ht="19.5" customHeight="1" thickBot="1" x14ac:dyDescent="0.25">
      <c r="A26" s="830" t="s">
        <v>389</v>
      </c>
      <c r="B26" s="831">
        <f>2*20*12*11</f>
        <v>5280</v>
      </c>
      <c r="C26" s="831">
        <f>1*20*12*11</f>
        <v>2640</v>
      </c>
      <c r="D26" s="831">
        <f>2*20*12*11</f>
        <v>5280</v>
      </c>
      <c r="E26" s="837"/>
      <c r="F26" s="831">
        <v>6</v>
      </c>
      <c r="G26" s="831">
        <v>6</v>
      </c>
      <c r="H26" s="831">
        <v>40</v>
      </c>
      <c r="I26" s="835"/>
      <c r="J26" s="829"/>
      <c r="K26" s="1372"/>
      <c r="L26" s="1408">
        <f>300*33*20*10</f>
        <v>1980000</v>
      </c>
      <c r="M26" s="1409"/>
      <c r="N26" s="1005"/>
      <c r="O26" s="1005"/>
      <c r="P26" s="1006"/>
      <c r="Q26" s="1006"/>
      <c r="R26" s="1007"/>
      <c r="S26" s="1038" t="s">
        <v>671</v>
      </c>
      <c r="T26" s="1039">
        <v>23960</v>
      </c>
      <c r="U26" s="845"/>
      <c r="W26" s="1374"/>
      <c r="X26" s="1385"/>
      <c r="Y26" s="903" t="s">
        <v>283</v>
      </c>
      <c r="Z26" s="914" t="s">
        <v>591</v>
      </c>
      <c r="AA26" s="910">
        <v>228</v>
      </c>
      <c r="AB26" s="911" t="s">
        <v>584</v>
      </c>
      <c r="AC26" s="912">
        <v>3900</v>
      </c>
      <c r="AD26" s="913">
        <v>889200</v>
      </c>
      <c r="AE26" s="909"/>
      <c r="AG26" s="1375"/>
      <c r="AH26" s="1388"/>
      <c r="AI26" s="924" t="s">
        <v>285</v>
      </c>
      <c r="AJ26" s="930">
        <v>2</v>
      </c>
      <c r="AK26" s="926">
        <v>13</v>
      </c>
      <c r="AL26" s="927" t="s">
        <v>618</v>
      </c>
      <c r="AM26" s="928">
        <v>8990</v>
      </c>
      <c r="AN26" s="929">
        <f t="shared" si="1"/>
        <v>116870</v>
      </c>
      <c r="AO26" s="925"/>
      <c r="AQ26" s="1374"/>
      <c r="AR26" s="1385"/>
      <c r="AS26" s="903" t="s">
        <v>285</v>
      </c>
      <c r="AT26" s="914" t="s">
        <v>281</v>
      </c>
      <c r="AU26" s="910">
        <v>13</v>
      </c>
      <c r="AV26" s="911" t="s">
        <v>587</v>
      </c>
      <c r="AW26" s="912">
        <v>8990</v>
      </c>
      <c r="AX26" s="913">
        <v>116870</v>
      </c>
      <c r="AY26" s="909"/>
      <c r="BA26" s="1375"/>
      <c r="BB26" s="1388" t="s">
        <v>267</v>
      </c>
      <c r="BC26" s="924" t="s">
        <v>595</v>
      </c>
      <c r="BD26" s="930" t="s">
        <v>591</v>
      </c>
      <c r="BE26" s="926">
        <v>14</v>
      </c>
      <c r="BF26" s="927" t="s">
        <v>271</v>
      </c>
      <c r="BG26" s="928">
        <v>5000</v>
      </c>
      <c r="BH26" s="929">
        <f t="shared" si="2"/>
        <v>70000</v>
      </c>
      <c r="BI26" s="925"/>
      <c r="BK26" s="1375"/>
      <c r="BL26" s="1388" t="s">
        <v>267</v>
      </c>
      <c r="BM26" s="924" t="s">
        <v>595</v>
      </c>
      <c r="BN26" s="930" t="s">
        <v>591</v>
      </c>
      <c r="BO26" s="926">
        <v>14</v>
      </c>
      <c r="BP26" s="927" t="s">
        <v>271</v>
      </c>
      <c r="BQ26" s="928">
        <v>5000</v>
      </c>
      <c r="BR26" s="929">
        <f t="shared" si="3"/>
        <v>70000</v>
      </c>
      <c r="BS26" s="925"/>
    </row>
    <row r="27" spans="1:73" ht="24.95" customHeight="1" x14ac:dyDescent="0.2">
      <c r="A27" s="830">
        <f>T11</f>
        <v>11</v>
      </c>
      <c r="B27" s="827" t="s">
        <v>385</v>
      </c>
      <c r="C27" s="827" t="s">
        <v>385</v>
      </c>
      <c r="D27" s="827" t="s">
        <v>385</v>
      </c>
      <c r="E27" s="836"/>
      <c r="F27" s="827" t="s">
        <v>386</v>
      </c>
      <c r="G27" s="827" t="s">
        <v>386</v>
      </c>
      <c r="H27" s="827" t="s">
        <v>386</v>
      </c>
      <c r="I27" s="835"/>
      <c r="J27" s="829"/>
      <c r="K27" s="1372"/>
      <c r="L27" s="1381"/>
      <c r="M27" s="1045" t="s">
        <v>483</v>
      </c>
      <c r="N27" s="1013"/>
      <c r="O27" s="1005"/>
      <c r="P27" s="1057" t="s">
        <v>388</v>
      </c>
      <c r="Q27" s="1006"/>
      <c r="R27" s="1007"/>
      <c r="S27" s="1008"/>
      <c r="T27" s="1003"/>
      <c r="U27" s="845"/>
      <c r="W27" s="1374"/>
      <c r="X27" s="1383" t="s">
        <v>593</v>
      </c>
      <c r="Y27" s="903" t="s">
        <v>284</v>
      </c>
      <c r="Z27" s="914" t="s">
        <v>583</v>
      </c>
      <c r="AA27" s="910">
        <v>362</v>
      </c>
      <c r="AB27" s="911" t="s">
        <v>584</v>
      </c>
      <c r="AC27" s="912">
        <v>3900</v>
      </c>
      <c r="AD27" s="913">
        <v>1411800</v>
      </c>
      <c r="AE27" s="909"/>
      <c r="AG27" s="1375"/>
      <c r="AH27" s="1388" t="s">
        <v>267</v>
      </c>
      <c r="AI27" s="924" t="s">
        <v>595</v>
      </c>
      <c r="AJ27" s="930" t="s">
        <v>591</v>
      </c>
      <c r="AK27" s="926">
        <v>32</v>
      </c>
      <c r="AL27" s="927" t="s">
        <v>271</v>
      </c>
      <c r="AM27" s="928">
        <v>5000</v>
      </c>
      <c r="AN27" s="929">
        <f t="shared" si="1"/>
        <v>160000</v>
      </c>
      <c r="AO27" s="925"/>
      <c r="AQ27" s="1374"/>
      <c r="AR27" s="1383" t="s">
        <v>267</v>
      </c>
      <c r="AS27" s="903" t="s">
        <v>595</v>
      </c>
      <c r="AT27" s="914" t="s">
        <v>591</v>
      </c>
      <c r="AU27" s="910">
        <v>32</v>
      </c>
      <c r="AV27" s="911" t="s">
        <v>578</v>
      </c>
      <c r="AW27" s="912">
        <v>5000</v>
      </c>
      <c r="AX27" s="913">
        <v>160000</v>
      </c>
      <c r="AY27" s="909"/>
      <c r="BA27" s="1375"/>
      <c r="BB27" s="1388"/>
      <c r="BC27" s="924" t="s">
        <v>287</v>
      </c>
      <c r="BD27" s="930">
        <v>5</v>
      </c>
      <c r="BE27" s="926">
        <v>10</v>
      </c>
      <c r="BF27" s="927" t="s">
        <v>271</v>
      </c>
      <c r="BG27" s="928">
        <v>26000</v>
      </c>
      <c r="BH27" s="929">
        <f t="shared" si="2"/>
        <v>260000</v>
      </c>
      <c r="BI27" s="925"/>
      <c r="BK27" s="1375"/>
      <c r="BL27" s="1388"/>
      <c r="BM27" s="924" t="s">
        <v>287</v>
      </c>
      <c r="BN27" s="930">
        <v>5</v>
      </c>
      <c r="BO27" s="926">
        <v>10</v>
      </c>
      <c r="BP27" s="927" t="s">
        <v>271</v>
      </c>
      <c r="BQ27" s="928">
        <v>26000</v>
      </c>
      <c r="BR27" s="929">
        <f t="shared" si="3"/>
        <v>260000</v>
      </c>
      <c r="BS27" s="925"/>
    </row>
    <row r="28" spans="1:73" ht="19.5" customHeight="1" x14ac:dyDescent="0.2">
      <c r="A28" s="832"/>
      <c r="B28" s="833">
        <v>50</v>
      </c>
      <c r="C28" s="833">
        <v>90</v>
      </c>
      <c r="D28" s="833">
        <v>50</v>
      </c>
      <c r="E28" s="834"/>
      <c r="F28" s="833">
        <f>F22</f>
        <v>14990</v>
      </c>
      <c r="G28" s="833">
        <f>G22</f>
        <v>6900</v>
      </c>
      <c r="H28" s="833">
        <v>2990</v>
      </c>
      <c r="I28" s="835"/>
      <c r="J28" s="829"/>
      <c r="K28" s="1372"/>
      <c r="L28" s="1381"/>
      <c r="M28" s="1053" t="s">
        <v>659</v>
      </c>
      <c r="N28" s="1046" t="s">
        <v>672</v>
      </c>
      <c r="O28" s="1047">
        <v>239940</v>
      </c>
      <c r="P28" s="1057" t="s">
        <v>695</v>
      </c>
      <c r="Q28" s="1021" t="s">
        <v>696</v>
      </c>
      <c r="R28" s="1059">
        <v>109990</v>
      </c>
      <c r="S28" s="1008"/>
      <c r="T28" s="1003"/>
      <c r="U28" s="845"/>
      <c r="W28" s="1374"/>
      <c r="X28" s="1384"/>
      <c r="Y28" s="903" t="s">
        <v>286</v>
      </c>
      <c r="Z28" s="914" t="s">
        <v>583</v>
      </c>
      <c r="AA28" s="910">
        <v>10</v>
      </c>
      <c r="AB28" s="911" t="s">
        <v>594</v>
      </c>
      <c r="AC28" s="912">
        <v>3900</v>
      </c>
      <c r="AD28" s="913">
        <v>39000</v>
      </c>
      <c r="AE28" s="909"/>
      <c r="AG28" s="1375"/>
      <c r="AH28" s="1388"/>
      <c r="AI28" s="924" t="s">
        <v>287</v>
      </c>
      <c r="AJ28" s="930">
        <v>5</v>
      </c>
      <c r="AK28" s="926">
        <v>14</v>
      </c>
      <c r="AL28" s="927" t="s">
        <v>271</v>
      </c>
      <c r="AM28" s="928">
        <v>26000</v>
      </c>
      <c r="AN28" s="929">
        <f t="shared" si="1"/>
        <v>364000</v>
      </c>
      <c r="AO28" s="925"/>
      <c r="AQ28" s="1374"/>
      <c r="AR28" s="1385"/>
      <c r="AS28" s="903" t="s">
        <v>287</v>
      </c>
      <c r="AT28" s="914" t="s">
        <v>583</v>
      </c>
      <c r="AU28" s="910">
        <v>14</v>
      </c>
      <c r="AV28" s="911" t="s">
        <v>578</v>
      </c>
      <c r="AW28" s="912">
        <v>26000</v>
      </c>
      <c r="AX28" s="913">
        <v>364000</v>
      </c>
      <c r="AY28" s="909"/>
      <c r="BA28" s="1375"/>
      <c r="BB28" s="1388" t="s">
        <v>288</v>
      </c>
      <c r="BC28" s="924" t="s">
        <v>596</v>
      </c>
      <c r="BD28" s="930">
        <v>3</v>
      </c>
      <c r="BE28" s="926">
        <v>1</v>
      </c>
      <c r="BF28" s="927" t="s">
        <v>271</v>
      </c>
      <c r="BG28" s="928">
        <v>180000</v>
      </c>
      <c r="BH28" s="929">
        <f t="shared" si="2"/>
        <v>180000</v>
      </c>
      <c r="BI28" s="925">
        <v>31</v>
      </c>
      <c r="BK28" s="1375"/>
      <c r="BL28" s="1388" t="s">
        <v>288</v>
      </c>
      <c r="BM28" s="924" t="s">
        <v>596</v>
      </c>
      <c r="BN28" s="930">
        <v>3</v>
      </c>
      <c r="BO28" s="926">
        <v>1</v>
      </c>
      <c r="BP28" s="927" t="s">
        <v>271</v>
      </c>
      <c r="BQ28" s="928">
        <v>180000</v>
      </c>
      <c r="BR28" s="929">
        <f t="shared" si="3"/>
        <v>180000</v>
      </c>
      <c r="BS28" s="925"/>
    </row>
    <row r="29" spans="1:73" ht="19.5" customHeight="1" x14ac:dyDescent="0.2">
      <c r="A29" s="828"/>
      <c r="B29" s="833">
        <f>B26*B28</f>
        <v>264000</v>
      </c>
      <c r="C29" s="833">
        <f>C26*C28</f>
        <v>237600</v>
      </c>
      <c r="D29" s="833">
        <f>D26*D28</f>
        <v>264000</v>
      </c>
      <c r="E29" s="834">
        <f>SUM(B29:D29)</f>
        <v>765600</v>
      </c>
      <c r="F29" s="833">
        <f>F26*F28</f>
        <v>89940</v>
      </c>
      <c r="G29" s="833">
        <f>G26*G28</f>
        <v>41400</v>
      </c>
      <c r="H29" s="833">
        <f>H28*H26</f>
        <v>119600</v>
      </c>
      <c r="I29" s="834">
        <f>F29+G29+H29</f>
        <v>250940</v>
      </c>
      <c r="J29" s="829"/>
      <c r="K29" s="1372"/>
      <c r="L29" s="1381"/>
      <c r="M29" s="1012"/>
      <c r="N29" s="1046" t="s">
        <v>361</v>
      </c>
      <c r="O29" s="1047"/>
      <c r="P29" s="1006"/>
      <c r="Q29" s="1021" t="s">
        <v>697</v>
      </c>
      <c r="R29" s="1059">
        <f>29990*2</f>
        <v>59980</v>
      </c>
      <c r="S29" s="1008"/>
      <c r="T29" s="1003"/>
      <c r="U29" s="845"/>
      <c r="W29" s="1374"/>
      <c r="X29" s="1385"/>
      <c r="Y29" s="1070" t="s">
        <v>285</v>
      </c>
      <c r="Z29" s="1076" t="s">
        <v>281</v>
      </c>
      <c r="AA29" s="1071">
        <v>45</v>
      </c>
      <c r="AB29" s="1072" t="s">
        <v>587</v>
      </c>
      <c r="AC29" s="1073">
        <v>8900</v>
      </c>
      <c r="AD29" s="1074">
        <v>400500</v>
      </c>
      <c r="AE29" s="1075">
        <v>31.1</v>
      </c>
      <c r="AG29" s="1375"/>
      <c r="AH29" s="1388" t="s">
        <v>288</v>
      </c>
      <c r="AI29" s="934" t="s">
        <v>596</v>
      </c>
      <c r="AJ29" s="940">
        <v>3</v>
      </c>
      <c r="AK29" s="935">
        <v>1</v>
      </c>
      <c r="AL29" s="936" t="s">
        <v>271</v>
      </c>
      <c r="AM29" s="937">
        <v>45000</v>
      </c>
      <c r="AN29" s="938">
        <f t="shared" si="1"/>
        <v>45000</v>
      </c>
      <c r="AO29" s="939"/>
      <c r="AQ29" s="1374"/>
      <c r="AR29" s="1383" t="s">
        <v>288</v>
      </c>
      <c r="AS29" s="948" t="s">
        <v>596</v>
      </c>
      <c r="AT29" s="954" t="s">
        <v>591</v>
      </c>
      <c r="AU29" s="949">
        <v>1</v>
      </c>
      <c r="AV29" s="950" t="s">
        <v>578</v>
      </c>
      <c r="AW29" s="951">
        <v>45000</v>
      </c>
      <c r="AX29" s="952">
        <v>45000</v>
      </c>
      <c r="AY29" s="953"/>
      <c r="BA29" s="1375"/>
      <c r="BB29" s="1388"/>
      <c r="BC29" s="924" t="s">
        <v>270</v>
      </c>
      <c r="BD29" s="930" t="s">
        <v>281</v>
      </c>
      <c r="BE29" s="926">
        <v>1</v>
      </c>
      <c r="BF29" s="927" t="s">
        <v>271</v>
      </c>
      <c r="BG29" s="928">
        <v>35000</v>
      </c>
      <c r="BH29" s="929">
        <f t="shared" si="2"/>
        <v>35000</v>
      </c>
      <c r="BI29" s="925"/>
      <c r="BK29" s="1375"/>
      <c r="BL29" s="1388"/>
      <c r="BM29" s="924" t="s">
        <v>270</v>
      </c>
      <c r="BN29" s="930" t="s">
        <v>281</v>
      </c>
      <c r="BO29" s="926">
        <v>1</v>
      </c>
      <c r="BP29" s="927" t="s">
        <v>271</v>
      </c>
      <c r="BQ29" s="928">
        <v>35000</v>
      </c>
      <c r="BR29" s="929">
        <f t="shared" si="3"/>
        <v>35000</v>
      </c>
      <c r="BS29" s="925"/>
    </row>
    <row r="30" spans="1:73" ht="19.5" customHeight="1" x14ac:dyDescent="0.2">
      <c r="A30" s="828"/>
      <c r="B30" s="828"/>
      <c r="C30" s="828"/>
      <c r="D30" s="828"/>
      <c r="E30" s="835"/>
      <c r="F30" s="828"/>
      <c r="G30" s="828"/>
      <c r="H30" s="828"/>
      <c r="I30" s="835"/>
      <c r="J30" s="829"/>
      <c r="K30" s="1372"/>
      <c r="L30" s="1381"/>
      <c r="M30" s="1012"/>
      <c r="N30" s="1046" t="s">
        <v>651</v>
      </c>
      <c r="O30" s="1047"/>
      <c r="P30" s="1006"/>
      <c r="Q30" s="1021" t="s">
        <v>685</v>
      </c>
      <c r="R30" s="1059">
        <v>400000</v>
      </c>
      <c r="S30" s="1008"/>
      <c r="T30" s="1003"/>
      <c r="U30" s="845"/>
      <c r="W30" s="1374"/>
      <c r="X30" s="1383" t="s">
        <v>267</v>
      </c>
      <c r="Y30" s="903" t="s">
        <v>595</v>
      </c>
      <c r="Z30" s="914" t="s">
        <v>591</v>
      </c>
      <c r="AA30" s="910">
        <v>31</v>
      </c>
      <c r="AB30" s="911" t="s">
        <v>578</v>
      </c>
      <c r="AC30" s="912">
        <v>4500</v>
      </c>
      <c r="AD30" s="913">
        <v>139500</v>
      </c>
      <c r="AE30" s="909"/>
      <c r="AG30" s="1375"/>
      <c r="AH30" s="1388"/>
      <c r="AI30" s="941" t="s">
        <v>270</v>
      </c>
      <c r="AJ30" s="942" t="s">
        <v>281</v>
      </c>
      <c r="AK30" s="943">
        <v>1</v>
      </c>
      <c r="AL30" s="944" t="s">
        <v>271</v>
      </c>
      <c r="AM30" s="945">
        <v>35000</v>
      </c>
      <c r="AN30" s="946">
        <f t="shared" si="1"/>
        <v>35000</v>
      </c>
      <c r="AO30" s="947"/>
      <c r="AQ30" s="1374"/>
      <c r="AR30" s="1385"/>
      <c r="AS30" s="955" t="s">
        <v>270</v>
      </c>
      <c r="AT30" s="956" t="s">
        <v>281</v>
      </c>
      <c r="AU30" s="957">
        <v>1</v>
      </c>
      <c r="AV30" s="958" t="s">
        <v>578</v>
      </c>
      <c r="AW30" s="959">
        <v>35000</v>
      </c>
      <c r="AX30" s="960">
        <v>35000</v>
      </c>
      <c r="AY30" s="961"/>
      <c r="BA30" s="1375"/>
      <c r="BB30" s="923" t="s">
        <v>289</v>
      </c>
      <c r="BC30" s="924" t="s">
        <v>290</v>
      </c>
      <c r="BD30" s="930">
        <v>10</v>
      </c>
      <c r="BE30" s="926">
        <v>385</v>
      </c>
      <c r="BF30" s="927" t="s">
        <v>271</v>
      </c>
      <c r="BG30" s="928">
        <v>9500</v>
      </c>
      <c r="BH30" s="929">
        <f t="shared" si="2"/>
        <v>3657500</v>
      </c>
      <c r="BI30" s="925"/>
      <c r="BK30" s="1375"/>
      <c r="BL30" s="923" t="s">
        <v>289</v>
      </c>
      <c r="BM30" s="924" t="s">
        <v>290</v>
      </c>
      <c r="BN30" s="930">
        <v>10</v>
      </c>
      <c r="BO30" s="926">
        <v>385</v>
      </c>
      <c r="BP30" s="927" t="s">
        <v>271</v>
      </c>
      <c r="BQ30" s="928">
        <v>9500</v>
      </c>
      <c r="BR30" s="929">
        <f t="shared" si="3"/>
        <v>3657500</v>
      </c>
      <c r="BS30" s="925"/>
    </row>
    <row r="31" spans="1:73" ht="19.5" customHeight="1" x14ac:dyDescent="0.2">
      <c r="A31" s="826"/>
      <c r="B31" s="827" t="s">
        <v>380</v>
      </c>
      <c r="C31" s="827" t="s">
        <v>381</v>
      </c>
      <c r="D31" s="827" t="s">
        <v>382</v>
      </c>
      <c r="E31" s="836"/>
      <c r="F31" s="827" t="s">
        <v>383</v>
      </c>
      <c r="G31" s="827" t="s">
        <v>384</v>
      </c>
      <c r="H31" s="827" t="s">
        <v>393</v>
      </c>
      <c r="I31" s="835"/>
      <c r="J31" s="829"/>
      <c r="K31" s="1372"/>
      <c r="L31" s="1381"/>
      <c r="M31" s="872"/>
      <c r="N31" s="1046" t="s">
        <v>673</v>
      </c>
      <c r="O31" s="1047">
        <v>3999900</v>
      </c>
      <c r="P31" s="1006"/>
      <c r="Q31" s="1021" t="s">
        <v>699</v>
      </c>
      <c r="R31" s="1059">
        <v>395387</v>
      </c>
      <c r="S31" s="1008"/>
      <c r="T31" s="1003"/>
      <c r="U31" s="845"/>
      <c r="W31" s="1374"/>
      <c r="X31" s="1385"/>
      <c r="Y31" s="903" t="s">
        <v>287</v>
      </c>
      <c r="Z31" s="914" t="s">
        <v>583</v>
      </c>
      <c r="AA31" s="910">
        <v>31</v>
      </c>
      <c r="AB31" s="911" t="s">
        <v>578</v>
      </c>
      <c r="AC31" s="912">
        <v>26000</v>
      </c>
      <c r="AD31" s="913">
        <v>806000</v>
      </c>
      <c r="AE31" s="909"/>
      <c r="AG31" s="1375"/>
      <c r="AH31" s="923" t="s">
        <v>289</v>
      </c>
      <c r="AI31" s="1101" t="s">
        <v>290</v>
      </c>
      <c r="AJ31" s="1107">
        <v>10</v>
      </c>
      <c r="AK31" s="1102">
        <v>450</v>
      </c>
      <c r="AL31" s="1103" t="s">
        <v>271</v>
      </c>
      <c r="AM31" s="1104">
        <v>9500</v>
      </c>
      <c r="AN31" s="1105">
        <f t="shared" si="1"/>
        <v>4275000</v>
      </c>
      <c r="AO31" s="1106">
        <v>45.8</v>
      </c>
      <c r="AQ31" s="1374"/>
      <c r="AR31" s="902" t="s">
        <v>289</v>
      </c>
      <c r="AS31" s="948" t="s">
        <v>290</v>
      </c>
      <c r="AT31" s="954" t="s">
        <v>299</v>
      </c>
      <c r="AU31" s="949">
        <v>450</v>
      </c>
      <c r="AV31" s="950" t="s">
        <v>578</v>
      </c>
      <c r="AW31" s="951">
        <v>9500</v>
      </c>
      <c r="AX31" s="952">
        <v>4275000</v>
      </c>
      <c r="AY31" s="953"/>
      <c r="BA31" s="1375"/>
      <c r="BB31" s="1388" t="s">
        <v>291</v>
      </c>
      <c r="BC31" s="924" t="s">
        <v>598</v>
      </c>
      <c r="BD31" s="930">
        <v>5</v>
      </c>
      <c r="BE31" s="926">
        <v>1</v>
      </c>
      <c r="BF31" s="927" t="s">
        <v>271</v>
      </c>
      <c r="BG31" s="928">
        <v>150000</v>
      </c>
      <c r="BH31" s="929">
        <f t="shared" si="2"/>
        <v>150000</v>
      </c>
      <c r="BI31" s="925"/>
      <c r="BK31" s="1375"/>
      <c r="BL31" s="1388" t="s">
        <v>291</v>
      </c>
      <c r="BM31" s="924" t="s">
        <v>598</v>
      </c>
      <c r="BN31" s="930">
        <v>5</v>
      </c>
      <c r="BO31" s="926">
        <v>1</v>
      </c>
      <c r="BP31" s="927" t="s">
        <v>271</v>
      </c>
      <c r="BQ31" s="928">
        <v>150000</v>
      </c>
      <c r="BR31" s="929">
        <f t="shared" si="3"/>
        <v>150000</v>
      </c>
      <c r="BS31" s="925"/>
    </row>
    <row r="32" spans="1:73" ht="19.5" customHeight="1" x14ac:dyDescent="0.2">
      <c r="A32" s="830" t="s">
        <v>390</v>
      </c>
      <c r="B32" s="831">
        <f>2*20*11*28</f>
        <v>12320</v>
      </c>
      <c r="C32" s="831">
        <f>1*20*11*28</f>
        <v>6160</v>
      </c>
      <c r="D32" s="831">
        <f>2*20*11*28</f>
        <v>12320</v>
      </c>
      <c r="E32" s="837"/>
      <c r="F32" s="831">
        <v>10</v>
      </c>
      <c r="G32" s="831">
        <v>10</v>
      </c>
      <c r="H32" s="831">
        <v>80</v>
      </c>
      <c r="I32" s="835"/>
      <c r="J32" s="829"/>
      <c r="K32" s="1372"/>
      <c r="L32" s="1381"/>
      <c r="M32" s="872"/>
      <c r="N32" s="1022" t="s">
        <v>674</v>
      </c>
      <c r="O32" s="1047">
        <v>344550</v>
      </c>
      <c r="P32" s="1006"/>
      <c r="Q32" s="1006"/>
      <c r="R32" s="1007"/>
      <c r="S32" s="1008"/>
      <c r="T32" s="1003"/>
      <c r="U32" s="845"/>
      <c r="W32" s="1374"/>
      <c r="X32" s="1383" t="s">
        <v>288</v>
      </c>
      <c r="Y32" s="903" t="s">
        <v>596</v>
      </c>
      <c r="Z32" s="914" t="s">
        <v>591</v>
      </c>
      <c r="AA32" s="910">
        <v>1</v>
      </c>
      <c r="AB32" s="911" t="s">
        <v>578</v>
      </c>
      <c r="AC32" s="912">
        <v>180000</v>
      </c>
      <c r="AD32" s="913">
        <v>180000</v>
      </c>
      <c r="AE32" s="909"/>
      <c r="AG32" s="1375"/>
      <c r="AH32" s="1388" t="s">
        <v>291</v>
      </c>
      <c r="AI32" s="934" t="s">
        <v>598</v>
      </c>
      <c r="AJ32" s="940">
        <v>5</v>
      </c>
      <c r="AK32" s="935">
        <v>1</v>
      </c>
      <c r="AL32" s="936" t="s">
        <v>271</v>
      </c>
      <c r="AM32" s="937">
        <v>150000</v>
      </c>
      <c r="AN32" s="938">
        <f t="shared" si="1"/>
        <v>150000</v>
      </c>
      <c r="AO32" s="939"/>
      <c r="AQ32" s="1374"/>
      <c r="AR32" s="1383" t="s">
        <v>291</v>
      </c>
      <c r="AS32" s="948" t="s">
        <v>598</v>
      </c>
      <c r="AT32" s="954" t="s">
        <v>583</v>
      </c>
      <c r="AU32" s="949">
        <v>1</v>
      </c>
      <c r="AV32" s="950" t="s">
        <v>578</v>
      </c>
      <c r="AW32" s="951">
        <v>150000</v>
      </c>
      <c r="AX32" s="952">
        <v>150000</v>
      </c>
      <c r="AY32" s="953">
        <v>3.1</v>
      </c>
      <c r="BA32" s="1375"/>
      <c r="BB32" s="1388"/>
      <c r="BC32" s="924" t="s">
        <v>599</v>
      </c>
      <c r="BD32" s="930">
        <v>5</v>
      </c>
      <c r="BE32" s="926">
        <v>1</v>
      </c>
      <c r="BF32" s="927" t="s">
        <v>271</v>
      </c>
      <c r="BG32" s="928">
        <v>150000</v>
      </c>
      <c r="BH32" s="929">
        <f t="shared" si="2"/>
        <v>150000</v>
      </c>
      <c r="BI32" s="925"/>
      <c r="BK32" s="1375"/>
      <c r="BL32" s="1388"/>
      <c r="BM32" s="924" t="s">
        <v>599</v>
      </c>
      <c r="BN32" s="930">
        <v>5</v>
      </c>
      <c r="BO32" s="926">
        <v>1</v>
      </c>
      <c r="BP32" s="927" t="s">
        <v>271</v>
      </c>
      <c r="BQ32" s="928">
        <v>150000</v>
      </c>
      <c r="BR32" s="929">
        <f t="shared" si="3"/>
        <v>150000</v>
      </c>
      <c r="BS32" s="925"/>
    </row>
    <row r="33" spans="1:71" ht="19.5" customHeight="1" x14ac:dyDescent="0.2">
      <c r="A33" s="830">
        <f>T13+T12</f>
        <v>28</v>
      </c>
      <c r="B33" s="827" t="s">
        <v>385</v>
      </c>
      <c r="C33" s="827" t="s">
        <v>385</v>
      </c>
      <c r="D33" s="827" t="s">
        <v>385</v>
      </c>
      <c r="E33" s="836"/>
      <c r="F33" s="827" t="s">
        <v>386</v>
      </c>
      <c r="G33" s="827" t="s">
        <v>386</v>
      </c>
      <c r="H33" s="827" t="s">
        <v>386</v>
      </c>
      <c r="I33" s="835"/>
      <c r="J33" s="829"/>
      <c r="K33" s="1372"/>
      <c r="L33" s="1381"/>
      <c r="M33" s="872"/>
      <c r="N33" s="1022" t="s">
        <v>675</v>
      </c>
      <c r="O33" s="1047">
        <v>25988</v>
      </c>
      <c r="P33" s="1006"/>
      <c r="Q33" s="1006"/>
      <c r="R33" s="1007"/>
      <c r="S33" s="1008"/>
      <c r="T33" s="1003"/>
      <c r="U33" s="845"/>
      <c r="W33" s="1374"/>
      <c r="X33" s="1385"/>
      <c r="Y33" s="903" t="s">
        <v>270</v>
      </c>
      <c r="Z33" s="914" t="s">
        <v>281</v>
      </c>
      <c r="AA33" s="910">
        <v>1</v>
      </c>
      <c r="AB33" s="911" t="s">
        <v>578</v>
      </c>
      <c r="AC33" s="912">
        <v>15000</v>
      </c>
      <c r="AD33" s="913">
        <v>15000</v>
      </c>
      <c r="AE33" s="909"/>
      <c r="AG33" s="1375"/>
      <c r="AH33" s="1388"/>
      <c r="AI33" s="924" t="s">
        <v>599</v>
      </c>
      <c r="AJ33" s="930">
        <v>5</v>
      </c>
      <c r="AK33" s="926">
        <v>1</v>
      </c>
      <c r="AL33" s="927" t="s">
        <v>271</v>
      </c>
      <c r="AM33" s="928">
        <v>150000</v>
      </c>
      <c r="AN33" s="929">
        <f t="shared" si="1"/>
        <v>150000</v>
      </c>
      <c r="AO33" s="925"/>
      <c r="AQ33" s="1374"/>
      <c r="AR33" s="1385"/>
      <c r="AS33" s="903" t="s">
        <v>599</v>
      </c>
      <c r="AT33" s="914" t="s">
        <v>583</v>
      </c>
      <c r="AU33" s="910">
        <v>1</v>
      </c>
      <c r="AV33" s="911" t="s">
        <v>578</v>
      </c>
      <c r="AW33" s="912">
        <v>150000</v>
      </c>
      <c r="AX33" s="913">
        <v>150000</v>
      </c>
      <c r="AY33" s="909"/>
      <c r="BA33" s="1375"/>
      <c r="BB33" s="923" t="s">
        <v>273</v>
      </c>
      <c r="BC33" s="924" t="s">
        <v>600</v>
      </c>
      <c r="BD33" s="930">
        <v>3</v>
      </c>
      <c r="BE33" s="926">
        <v>1</v>
      </c>
      <c r="BF33" s="927" t="s">
        <v>271</v>
      </c>
      <c r="BG33" s="928">
        <v>180000</v>
      </c>
      <c r="BH33" s="929">
        <f t="shared" si="2"/>
        <v>180000</v>
      </c>
      <c r="BI33" s="925"/>
      <c r="BK33" s="1375"/>
      <c r="BL33" s="923" t="s">
        <v>273</v>
      </c>
      <c r="BM33" s="924" t="s">
        <v>600</v>
      </c>
      <c r="BN33" s="930">
        <v>3</v>
      </c>
      <c r="BO33" s="926">
        <v>1</v>
      </c>
      <c r="BP33" s="927" t="s">
        <v>271</v>
      </c>
      <c r="BQ33" s="928">
        <v>180000</v>
      </c>
      <c r="BR33" s="929">
        <f t="shared" si="3"/>
        <v>180000</v>
      </c>
      <c r="BS33" s="925"/>
    </row>
    <row r="34" spans="1:71" ht="19.5" customHeight="1" x14ac:dyDescent="0.2">
      <c r="A34" s="832"/>
      <c r="B34" s="833">
        <f>B28</f>
        <v>50</v>
      </c>
      <c r="C34" s="833">
        <f>C28</f>
        <v>90</v>
      </c>
      <c r="D34" s="833">
        <f>D28</f>
        <v>50</v>
      </c>
      <c r="E34" s="834"/>
      <c r="F34" s="833">
        <f>F28</f>
        <v>14990</v>
      </c>
      <c r="G34" s="833">
        <f>G22</f>
        <v>6900</v>
      </c>
      <c r="H34" s="833">
        <v>2990</v>
      </c>
      <c r="I34" s="835"/>
      <c r="J34" s="829"/>
      <c r="K34" s="1372"/>
      <c r="L34" s="1381"/>
      <c r="M34" s="872"/>
      <c r="N34" s="1005"/>
      <c r="O34" s="1058">
        <f>SUM(O28:O33)</f>
        <v>4610378</v>
      </c>
      <c r="P34" s="1006"/>
      <c r="Q34" s="1006"/>
      <c r="R34" s="1007"/>
      <c r="S34" s="1008"/>
      <c r="T34" s="1003"/>
      <c r="U34" s="845"/>
      <c r="W34" s="1374"/>
      <c r="X34" s="1383" t="s">
        <v>289</v>
      </c>
      <c r="Y34" s="903" t="s">
        <v>290</v>
      </c>
      <c r="Z34" s="914" t="s">
        <v>299</v>
      </c>
      <c r="AA34" s="910">
        <v>458</v>
      </c>
      <c r="AB34" s="911" t="s">
        <v>578</v>
      </c>
      <c r="AC34" s="912">
        <v>16620</v>
      </c>
      <c r="AD34" s="913">
        <v>7611960</v>
      </c>
      <c r="AE34" s="909"/>
      <c r="AG34" s="1375"/>
      <c r="AH34" s="923" t="s">
        <v>273</v>
      </c>
      <c r="AI34" s="924" t="s">
        <v>600</v>
      </c>
      <c r="AJ34" s="930">
        <v>3</v>
      </c>
      <c r="AK34" s="926">
        <v>1</v>
      </c>
      <c r="AL34" s="927" t="s">
        <v>271</v>
      </c>
      <c r="AM34" s="928">
        <v>180000</v>
      </c>
      <c r="AN34" s="929">
        <f t="shared" si="1"/>
        <v>180000</v>
      </c>
      <c r="AO34" s="925"/>
      <c r="AQ34" s="1374"/>
      <c r="AR34" s="902" t="s">
        <v>273</v>
      </c>
      <c r="AS34" s="903" t="s">
        <v>600</v>
      </c>
      <c r="AT34" s="914" t="s">
        <v>591</v>
      </c>
      <c r="AU34" s="910">
        <v>1</v>
      </c>
      <c r="AV34" s="911" t="s">
        <v>578</v>
      </c>
      <c r="AW34" s="912">
        <v>180000</v>
      </c>
      <c r="AX34" s="913">
        <v>180000</v>
      </c>
      <c r="AY34" s="909"/>
      <c r="BA34" s="1375"/>
      <c r="BB34" s="1388" t="s">
        <v>292</v>
      </c>
      <c r="BC34" s="924" t="s">
        <v>293</v>
      </c>
      <c r="BD34" s="930">
        <v>2</v>
      </c>
      <c r="BE34" s="926">
        <v>1</v>
      </c>
      <c r="BF34" s="927" t="s">
        <v>271</v>
      </c>
      <c r="BG34" s="928">
        <v>225000</v>
      </c>
      <c r="BH34" s="929">
        <f t="shared" si="2"/>
        <v>225000</v>
      </c>
      <c r="BI34" s="925"/>
      <c r="BK34" s="1375"/>
      <c r="BL34" s="1388" t="s">
        <v>292</v>
      </c>
      <c r="BM34" s="924" t="s">
        <v>293</v>
      </c>
      <c r="BN34" s="930">
        <v>2</v>
      </c>
      <c r="BO34" s="926">
        <v>1</v>
      </c>
      <c r="BP34" s="927" t="s">
        <v>271</v>
      </c>
      <c r="BQ34" s="928">
        <v>225000</v>
      </c>
      <c r="BR34" s="929">
        <f t="shared" si="3"/>
        <v>225000</v>
      </c>
      <c r="BS34" s="925"/>
    </row>
    <row r="35" spans="1:71" ht="19.5" customHeight="1" x14ac:dyDescent="0.2">
      <c r="A35" s="828"/>
      <c r="B35" s="833">
        <f>B32*B34</f>
        <v>616000</v>
      </c>
      <c r="C35" s="833">
        <f>C32*C34</f>
        <v>554400</v>
      </c>
      <c r="D35" s="833">
        <f>D32*D34</f>
        <v>616000</v>
      </c>
      <c r="E35" s="834">
        <f>SUM(B35:D35)</f>
        <v>1786400</v>
      </c>
      <c r="F35" s="833">
        <f>F32*F34</f>
        <v>149900</v>
      </c>
      <c r="G35" s="833">
        <f>G32*G34</f>
        <v>69000</v>
      </c>
      <c r="H35" s="833">
        <f>H34*H32</f>
        <v>239200</v>
      </c>
      <c r="I35" s="834">
        <f>F35+G35+H35</f>
        <v>458100</v>
      </c>
      <c r="J35" s="829"/>
      <c r="K35" s="1372"/>
      <c r="L35" s="1381"/>
      <c r="M35" s="1052" t="s">
        <v>656</v>
      </c>
      <c r="N35" s="1046" t="s">
        <v>676</v>
      </c>
      <c r="O35" s="1049">
        <v>195800</v>
      </c>
      <c r="P35" s="1006"/>
      <c r="Q35" s="1006"/>
      <c r="R35" s="1007"/>
      <c r="S35" s="1008"/>
      <c r="T35" s="1003"/>
      <c r="U35" s="845"/>
      <c r="W35" s="1374"/>
      <c r="X35" s="1385"/>
      <c r="Y35" s="903" t="s">
        <v>597</v>
      </c>
      <c r="Z35" s="914" t="s">
        <v>583</v>
      </c>
      <c r="AA35" s="910">
        <v>15</v>
      </c>
      <c r="AB35" s="911" t="s">
        <v>578</v>
      </c>
      <c r="AC35" s="912">
        <v>13090</v>
      </c>
      <c r="AD35" s="913">
        <v>196350</v>
      </c>
      <c r="AE35" s="909"/>
      <c r="AG35" s="1375"/>
      <c r="AH35" s="1388" t="s">
        <v>292</v>
      </c>
      <c r="AI35" s="924" t="s">
        <v>293</v>
      </c>
      <c r="AJ35" s="930">
        <v>2</v>
      </c>
      <c r="AK35" s="926">
        <v>1</v>
      </c>
      <c r="AL35" s="927" t="s">
        <v>271</v>
      </c>
      <c r="AM35" s="928">
        <v>225000</v>
      </c>
      <c r="AN35" s="929">
        <v>150000</v>
      </c>
      <c r="AO35" s="925"/>
      <c r="AQ35" s="1374"/>
      <c r="AR35" s="1383" t="s">
        <v>292</v>
      </c>
      <c r="AS35" s="903" t="s">
        <v>293</v>
      </c>
      <c r="AT35" s="914" t="s">
        <v>281</v>
      </c>
      <c r="AU35" s="910">
        <v>1</v>
      </c>
      <c r="AV35" s="911" t="s">
        <v>578</v>
      </c>
      <c r="AW35" s="912">
        <v>225000</v>
      </c>
      <c r="AX35" s="913">
        <v>150000</v>
      </c>
      <c r="AY35" s="909"/>
      <c r="BA35" s="1375"/>
      <c r="BB35" s="1388"/>
      <c r="BC35" s="924" t="s">
        <v>294</v>
      </c>
      <c r="BD35" s="930">
        <v>5</v>
      </c>
      <c r="BE35" s="926">
        <v>1</v>
      </c>
      <c r="BF35" s="927" t="s">
        <v>271</v>
      </c>
      <c r="BG35" s="928">
        <v>225000</v>
      </c>
      <c r="BH35" s="929">
        <f t="shared" si="2"/>
        <v>225000</v>
      </c>
      <c r="BI35" s="925">
        <v>1.6</v>
      </c>
      <c r="BK35" s="1375"/>
      <c r="BL35" s="1388"/>
      <c r="BM35" s="924" t="s">
        <v>294</v>
      </c>
      <c r="BN35" s="930">
        <v>5</v>
      </c>
      <c r="BO35" s="926">
        <v>1</v>
      </c>
      <c r="BP35" s="927" t="s">
        <v>271</v>
      </c>
      <c r="BQ35" s="928">
        <v>225000</v>
      </c>
      <c r="BR35" s="929">
        <f t="shared" si="3"/>
        <v>225000</v>
      </c>
      <c r="BS35" s="925"/>
    </row>
    <row r="36" spans="1:71" ht="19.5" customHeight="1" x14ac:dyDescent="0.2">
      <c r="A36" s="828"/>
      <c r="B36" s="828"/>
      <c r="C36" s="828"/>
      <c r="D36" s="828"/>
      <c r="E36" s="828"/>
      <c r="F36" s="828"/>
      <c r="G36" s="828"/>
      <c r="H36" s="828"/>
      <c r="I36" s="838"/>
      <c r="J36" s="829"/>
      <c r="K36" s="1372"/>
      <c r="L36" s="1381"/>
      <c r="M36" s="872"/>
      <c r="N36" s="1046" t="s">
        <v>677</v>
      </c>
      <c r="O36" s="1049"/>
      <c r="P36" s="1006"/>
      <c r="Q36" s="1006"/>
      <c r="R36" s="1007"/>
      <c r="S36" s="1008"/>
      <c r="T36" s="1003"/>
      <c r="U36" s="845"/>
      <c r="W36" s="1374"/>
      <c r="X36" s="1383" t="s">
        <v>291</v>
      </c>
      <c r="Y36" s="903" t="s">
        <v>598</v>
      </c>
      <c r="Z36" s="914" t="s">
        <v>583</v>
      </c>
      <c r="AA36" s="910">
        <v>1</v>
      </c>
      <c r="AB36" s="911" t="s">
        <v>578</v>
      </c>
      <c r="AC36" s="912">
        <v>150000</v>
      </c>
      <c r="AD36" s="913">
        <v>150000</v>
      </c>
      <c r="AE36" s="909"/>
      <c r="AG36" s="1375"/>
      <c r="AH36" s="1388"/>
      <c r="AI36" s="1090" t="s">
        <v>294</v>
      </c>
      <c r="AJ36" s="1100">
        <v>5</v>
      </c>
      <c r="AK36" s="1096">
        <v>1</v>
      </c>
      <c r="AL36" s="1097" t="s">
        <v>271</v>
      </c>
      <c r="AM36" s="1098">
        <v>225000</v>
      </c>
      <c r="AN36" s="1099">
        <v>150000</v>
      </c>
      <c r="AO36" s="1095">
        <v>37</v>
      </c>
      <c r="AQ36" s="1374"/>
      <c r="AR36" s="1385"/>
      <c r="AS36" s="903" t="s">
        <v>294</v>
      </c>
      <c r="AT36" s="914" t="s">
        <v>583</v>
      </c>
      <c r="AU36" s="910">
        <v>1</v>
      </c>
      <c r="AV36" s="911" t="s">
        <v>578</v>
      </c>
      <c r="AW36" s="912">
        <v>225000</v>
      </c>
      <c r="AX36" s="913">
        <v>150000</v>
      </c>
      <c r="AY36" s="909">
        <v>3</v>
      </c>
      <c r="BA36" s="1375"/>
      <c r="BB36" s="1388" t="s">
        <v>601</v>
      </c>
      <c r="BC36" s="924" t="s">
        <v>602</v>
      </c>
      <c r="BD36" s="930" t="s">
        <v>265</v>
      </c>
      <c r="BE36" s="926">
        <v>1</v>
      </c>
      <c r="BF36" s="927" t="s">
        <v>271</v>
      </c>
      <c r="BG36" s="928">
        <v>120000</v>
      </c>
      <c r="BH36" s="929">
        <f t="shared" si="2"/>
        <v>120000</v>
      </c>
      <c r="BI36" s="925">
        <v>4.2</v>
      </c>
      <c r="BK36" s="1375"/>
      <c r="BL36" s="1388" t="s">
        <v>601</v>
      </c>
      <c r="BM36" s="1090" t="s">
        <v>602</v>
      </c>
      <c r="BN36" s="1100" t="s">
        <v>265</v>
      </c>
      <c r="BO36" s="1096">
        <v>1</v>
      </c>
      <c r="BP36" s="1097" t="s">
        <v>271</v>
      </c>
      <c r="BQ36" s="1098">
        <v>120000</v>
      </c>
      <c r="BR36" s="1099">
        <f t="shared" si="3"/>
        <v>120000</v>
      </c>
      <c r="BS36" s="1095">
        <v>4.2</v>
      </c>
    </row>
    <row r="37" spans="1:71" ht="19.5" customHeight="1" x14ac:dyDescent="0.2">
      <c r="A37" s="883"/>
      <c r="B37" s="845"/>
      <c r="C37" s="845"/>
      <c r="D37" s="845"/>
      <c r="E37" s="845"/>
      <c r="I37" s="507"/>
      <c r="J37" s="822"/>
      <c r="K37" s="1372"/>
      <c r="L37" s="1381"/>
      <c r="M37" s="872"/>
      <c r="N37" s="1046" t="s">
        <v>678</v>
      </c>
      <c r="O37" s="1049"/>
      <c r="P37" s="1006"/>
      <c r="Q37" s="1006"/>
      <c r="R37" s="1007"/>
      <c r="S37" s="1008"/>
      <c r="T37" s="1003"/>
      <c r="U37" s="845"/>
      <c r="W37" s="1374"/>
      <c r="X37" s="1385"/>
      <c r="Y37" s="903" t="s">
        <v>599</v>
      </c>
      <c r="Z37" s="914" t="s">
        <v>583</v>
      </c>
      <c r="AA37" s="910">
        <v>1</v>
      </c>
      <c r="AB37" s="911" t="s">
        <v>578</v>
      </c>
      <c r="AC37" s="912">
        <v>150000</v>
      </c>
      <c r="AD37" s="913">
        <v>150000</v>
      </c>
      <c r="AE37" s="909"/>
      <c r="AG37" s="1375"/>
      <c r="AH37" s="1388" t="s">
        <v>601</v>
      </c>
      <c r="AI37" s="1090" t="s">
        <v>602</v>
      </c>
      <c r="AJ37" s="1100" t="s">
        <v>265</v>
      </c>
      <c r="AK37" s="1096">
        <v>1</v>
      </c>
      <c r="AL37" s="1097" t="s">
        <v>271</v>
      </c>
      <c r="AM37" s="1098">
        <v>175000</v>
      </c>
      <c r="AN37" s="1099">
        <f t="shared" ref="AN37:AN48" si="5">+AM37*AK37</f>
        <v>175000</v>
      </c>
      <c r="AO37" s="1095">
        <v>6.1</v>
      </c>
      <c r="AQ37" s="1374"/>
      <c r="AR37" s="1383" t="s">
        <v>601</v>
      </c>
      <c r="AS37" s="903" t="s">
        <v>602</v>
      </c>
      <c r="AT37" s="914" t="s">
        <v>265</v>
      </c>
      <c r="AU37" s="910">
        <v>1</v>
      </c>
      <c r="AV37" s="911" t="s">
        <v>578</v>
      </c>
      <c r="AW37" s="912">
        <v>175000</v>
      </c>
      <c r="AX37" s="913">
        <v>175000</v>
      </c>
      <c r="AY37" s="909">
        <v>0.12</v>
      </c>
      <c r="BA37" s="1375"/>
      <c r="BB37" s="1388"/>
      <c r="BC37" s="924" t="s">
        <v>295</v>
      </c>
      <c r="BD37" s="930" t="s">
        <v>281</v>
      </c>
      <c r="BE37" s="926">
        <v>1</v>
      </c>
      <c r="BF37" s="927" t="s">
        <v>619</v>
      </c>
      <c r="BG37" s="928">
        <v>45000</v>
      </c>
      <c r="BH37" s="929">
        <f t="shared" si="2"/>
        <v>45000</v>
      </c>
      <c r="BI37" s="925">
        <v>1.6</v>
      </c>
      <c r="BK37" s="1375"/>
      <c r="BL37" s="1388"/>
      <c r="BM37" s="924" t="s">
        <v>295</v>
      </c>
      <c r="BN37" s="930" t="s">
        <v>281</v>
      </c>
      <c r="BO37" s="926">
        <v>1</v>
      </c>
      <c r="BP37" s="927" t="s">
        <v>619</v>
      </c>
      <c r="BQ37" s="928">
        <v>45000</v>
      </c>
      <c r="BR37" s="929">
        <f t="shared" si="3"/>
        <v>45000</v>
      </c>
      <c r="BS37" s="925"/>
    </row>
    <row r="38" spans="1:71" ht="19.5" customHeight="1" thickBot="1" x14ac:dyDescent="0.3">
      <c r="A38" s="884"/>
      <c r="B38" s="986" t="s">
        <v>643</v>
      </c>
      <c r="G38" s="895" t="s">
        <v>649</v>
      </c>
      <c r="H38" s="895"/>
      <c r="I38" s="507"/>
      <c r="J38" s="822"/>
      <c r="K38" s="1372"/>
      <c r="L38" s="1381"/>
      <c r="M38" s="872"/>
      <c r="N38" s="1046" t="s">
        <v>679</v>
      </c>
      <c r="O38" s="1049">
        <v>1749750</v>
      </c>
      <c r="P38" s="1006"/>
      <c r="Q38" s="1006"/>
      <c r="R38" s="1007"/>
      <c r="S38" s="1008"/>
      <c r="T38" s="1003"/>
      <c r="U38" s="845"/>
      <c r="W38" s="1374"/>
      <c r="X38" s="902" t="s">
        <v>273</v>
      </c>
      <c r="Y38" s="903" t="s">
        <v>600</v>
      </c>
      <c r="Z38" s="914" t="s">
        <v>591</v>
      </c>
      <c r="AA38" s="910">
        <v>1</v>
      </c>
      <c r="AB38" s="911" t="s">
        <v>578</v>
      </c>
      <c r="AC38" s="912">
        <v>180000</v>
      </c>
      <c r="AD38" s="913">
        <v>180000</v>
      </c>
      <c r="AE38" s="909"/>
      <c r="AG38" s="1375"/>
      <c r="AH38" s="1388"/>
      <c r="AI38" s="1090" t="s">
        <v>295</v>
      </c>
      <c r="AJ38" s="1100" t="s">
        <v>281</v>
      </c>
      <c r="AK38" s="1096">
        <v>1</v>
      </c>
      <c r="AL38" s="1097" t="s">
        <v>619</v>
      </c>
      <c r="AM38" s="1098">
        <v>25000</v>
      </c>
      <c r="AN38" s="1099">
        <f t="shared" si="5"/>
        <v>25000</v>
      </c>
      <c r="AO38" s="1095">
        <v>0.9</v>
      </c>
      <c r="AQ38" s="1374"/>
      <c r="AR38" s="1385"/>
      <c r="AS38" s="903" t="s">
        <v>295</v>
      </c>
      <c r="AT38" s="914" t="s">
        <v>281</v>
      </c>
      <c r="AU38" s="910">
        <v>1</v>
      </c>
      <c r="AV38" s="911" t="s">
        <v>581</v>
      </c>
      <c r="AW38" s="912">
        <v>25000</v>
      </c>
      <c r="AX38" s="913">
        <v>25000</v>
      </c>
      <c r="AY38" s="909">
        <v>0.9</v>
      </c>
      <c r="BA38" s="1375"/>
      <c r="BB38" s="1388" t="s">
        <v>603</v>
      </c>
      <c r="BC38" s="924" t="s">
        <v>296</v>
      </c>
      <c r="BD38" s="926" t="s">
        <v>281</v>
      </c>
      <c r="BE38" s="926">
        <v>1</v>
      </c>
      <c r="BF38" s="927" t="s">
        <v>271</v>
      </c>
      <c r="BG38" s="928">
        <v>120000</v>
      </c>
      <c r="BH38" s="929">
        <f t="shared" si="2"/>
        <v>120000</v>
      </c>
      <c r="BI38" s="925">
        <v>4.2</v>
      </c>
      <c r="BK38" s="1375"/>
      <c r="BL38" s="1388" t="s">
        <v>603</v>
      </c>
      <c r="BM38" s="1090" t="s">
        <v>296</v>
      </c>
      <c r="BN38" s="1096" t="s">
        <v>281</v>
      </c>
      <c r="BO38" s="1096">
        <v>1</v>
      </c>
      <c r="BP38" s="1097" t="s">
        <v>271</v>
      </c>
      <c r="BQ38" s="1098">
        <v>120000</v>
      </c>
      <c r="BR38" s="1099">
        <f t="shared" si="3"/>
        <v>120000</v>
      </c>
      <c r="BS38" s="1095">
        <v>4.2</v>
      </c>
    </row>
    <row r="39" spans="1:71" ht="19.5" customHeight="1" thickBot="1" x14ac:dyDescent="0.25">
      <c r="A39" s="885"/>
      <c r="B39" s="969"/>
      <c r="C39" s="1392" t="s">
        <v>623</v>
      </c>
      <c r="D39" s="1392"/>
      <c r="E39" s="1392"/>
      <c r="F39" s="1392"/>
      <c r="G39" s="1396" t="s">
        <v>650</v>
      </c>
      <c r="H39" s="1397"/>
      <c r="I39" s="1398"/>
      <c r="J39" s="822"/>
      <c r="K39" s="1372"/>
      <c r="L39" s="1381"/>
      <c r="M39" s="872"/>
      <c r="N39" s="1046" t="s">
        <v>680</v>
      </c>
      <c r="O39" s="1049">
        <v>289990</v>
      </c>
      <c r="P39" s="1006"/>
      <c r="Q39" s="1006"/>
      <c r="R39" s="1007"/>
      <c r="S39" s="1008"/>
      <c r="T39" s="1003"/>
      <c r="U39" s="845"/>
      <c r="W39" s="1374"/>
      <c r="X39" s="1383" t="s">
        <v>292</v>
      </c>
      <c r="Y39" s="903" t="s">
        <v>293</v>
      </c>
      <c r="Z39" s="914" t="s">
        <v>281</v>
      </c>
      <c r="AA39" s="910">
        <v>1</v>
      </c>
      <c r="AB39" s="911" t="s">
        <v>578</v>
      </c>
      <c r="AC39" s="912">
        <v>225000</v>
      </c>
      <c r="AD39" s="913">
        <v>225000</v>
      </c>
      <c r="AE39" s="909"/>
      <c r="AG39" s="1375"/>
      <c r="AH39" s="923" t="s">
        <v>603</v>
      </c>
      <c r="AI39" s="1090" t="s">
        <v>296</v>
      </c>
      <c r="AJ39" s="1096" t="s">
        <v>281</v>
      </c>
      <c r="AK39" s="1096">
        <v>1</v>
      </c>
      <c r="AL39" s="1097" t="s">
        <v>271</v>
      </c>
      <c r="AM39" s="1098">
        <v>120000</v>
      </c>
      <c r="AN39" s="1099">
        <f t="shared" si="5"/>
        <v>120000</v>
      </c>
      <c r="AO39" s="1095">
        <v>4.2</v>
      </c>
      <c r="AQ39" s="1374"/>
      <c r="AR39" s="902" t="s">
        <v>603</v>
      </c>
      <c r="AS39" s="903" t="s">
        <v>296</v>
      </c>
      <c r="AT39" s="910" t="s">
        <v>281</v>
      </c>
      <c r="AU39" s="910">
        <v>1</v>
      </c>
      <c r="AV39" s="911" t="s">
        <v>578</v>
      </c>
      <c r="AW39" s="912">
        <v>120000</v>
      </c>
      <c r="AX39" s="913">
        <v>120000</v>
      </c>
      <c r="AY39" s="909">
        <v>4.2</v>
      </c>
      <c r="BA39" s="1375"/>
      <c r="BB39" s="1388"/>
      <c r="BC39" s="924" t="s">
        <v>604</v>
      </c>
      <c r="BD39" s="926" t="s">
        <v>281</v>
      </c>
      <c r="BE39" s="926">
        <v>1</v>
      </c>
      <c r="BF39" s="927" t="s">
        <v>271</v>
      </c>
      <c r="BG39" s="928">
        <v>65000</v>
      </c>
      <c r="BH39" s="929">
        <f t="shared" si="2"/>
        <v>65000</v>
      </c>
      <c r="BI39" s="925">
        <v>2.2999999999999998</v>
      </c>
      <c r="BK39" s="1375"/>
      <c r="BL39" s="1388"/>
      <c r="BM39" s="1090" t="s">
        <v>604</v>
      </c>
      <c r="BN39" s="1096" t="s">
        <v>281</v>
      </c>
      <c r="BO39" s="1096">
        <v>1</v>
      </c>
      <c r="BP39" s="1097" t="s">
        <v>271</v>
      </c>
      <c r="BQ39" s="1098">
        <v>65000</v>
      </c>
      <c r="BR39" s="1099">
        <f t="shared" si="3"/>
        <v>65000</v>
      </c>
      <c r="BS39" s="1095">
        <v>2.2999999999999998</v>
      </c>
    </row>
    <row r="40" spans="1:71" ht="19.5" customHeight="1" thickBot="1" x14ac:dyDescent="0.25">
      <c r="A40" s="885"/>
      <c r="B40" s="970"/>
      <c r="C40" s="1392"/>
      <c r="D40" s="1392"/>
      <c r="E40" s="1392"/>
      <c r="F40" s="1392"/>
      <c r="G40" s="1399"/>
      <c r="H40" s="1400"/>
      <c r="I40" s="1401"/>
      <c r="J40" s="822"/>
      <c r="K40" s="1372"/>
      <c r="L40" s="1014"/>
      <c r="M40" s="872"/>
      <c r="N40" s="1046" t="s">
        <v>681</v>
      </c>
      <c r="O40" s="1049">
        <v>3079548</v>
      </c>
      <c r="P40" s="1006"/>
      <c r="Q40" s="1006"/>
      <c r="R40" s="1007"/>
      <c r="S40" s="1008"/>
      <c r="T40" s="1003"/>
      <c r="U40" s="845"/>
      <c r="W40" s="1374"/>
      <c r="X40" s="1385"/>
      <c r="Y40" s="903" t="s">
        <v>294</v>
      </c>
      <c r="Z40" s="914" t="s">
        <v>583</v>
      </c>
      <c r="AA40" s="910">
        <v>1</v>
      </c>
      <c r="AB40" s="911" t="s">
        <v>578</v>
      </c>
      <c r="AC40" s="912">
        <v>225000</v>
      </c>
      <c r="AD40" s="913">
        <v>225000</v>
      </c>
      <c r="AE40" s="909"/>
      <c r="AG40" s="1375"/>
      <c r="AH40" s="923" t="s">
        <v>607</v>
      </c>
      <c r="AI40" s="1101" t="s">
        <v>297</v>
      </c>
      <c r="AJ40" s="1102" t="s">
        <v>281</v>
      </c>
      <c r="AK40" s="1102">
        <v>1</v>
      </c>
      <c r="AL40" s="1103" t="s">
        <v>271</v>
      </c>
      <c r="AM40" s="1104">
        <v>450000</v>
      </c>
      <c r="AN40" s="1105">
        <f t="shared" si="5"/>
        <v>450000</v>
      </c>
      <c r="AO40" s="1106">
        <v>15.7</v>
      </c>
      <c r="AQ40" s="1375"/>
      <c r="AR40" s="902" t="s">
        <v>607</v>
      </c>
      <c r="AS40" s="948" t="s">
        <v>297</v>
      </c>
      <c r="AT40" s="949" t="s">
        <v>281</v>
      </c>
      <c r="AU40" s="949">
        <v>1</v>
      </c>
      <c r="AV40" s="950" t="s">
        <v>578</v>
      </c>
      <c r="AW40" s="951">
        <v>450000</v>
      </c>
      <c r="AX40" s="952">
        <v>450000</v>
      </c>
      <c r="AY40" s="953">
        <v>15.7</v>
      </c>
      <c r="BA40" s="1375"/>
      <c r="BB40" s="1388"/>
      <c r="BC40" s="924" t="s">
        <v>606</v>
      </c>
      <c r="BD40" s="926" t="s">
        <v>281</v>
      </c>
      <c r="BE40" s="926">
        <v>1</v>
      </c>
      <c r="BF40" s="927" t="s">
        <v>271</v>
      </c>
      <c r="BG40" s="928">
        <v>70000</v>
      </c>
      <c r="BH40" s="929">
        <f t="shared" si="2"/>
        <v>70000</v>
      </c>
      <c r="BI40" s="925">
        <v>2.4</v>
      </c>
      <c r="BK40" s="1375"/>
      <c r="BL40" s="1388"/>
      <c r="BM40" s="1090" t="s">
        <v>606</v>
      </c>
      <c r="BN40" s="1096" t="s">
        <v>281</v>
      </c>
      <c r="BO40" s="1096">
        <v>1</v>
      </c>
      <c r="BP40" s="1097" t="s">
        <v>271</v>
      </c>
      <c r="BQ40" s="1098">
        <v>70000</v>
      </c>
      <c r="BR40" s="1099">
        <f t="shared" si="3"/>
        <v>70000</v>
      </c>
      <c r="BS40" s="1095">
        <v>2.4</v>
      </c>
    </row>
    <row r="41" spans="1:71" ht="33" customHeight="1" thickBot="1" x14ac:dyDescent="0.25">
      <c r="A41" s="886"/>
      <c r="B41" s="971" t="s">
        <v>624</v>
      </c>
      <c r="C41" s="1392"/>
      <c r="D41" s="1392"/>
      <c r="E41" s="1392"/>
      <c r="F41" s="1392"/>
      <c r="G41" s="1402"/>
      <c r="H41" s="1403"/>
      <c r="I41" s="1404"/>
      <c r="J41" s="822"/>
      <c r="K41" s="1372"/>
      <c r="L41" s="1381"/>
      <c r="M41" s="872"/>
      <c r="N41" s="1050" t="s">
        <v>682</v>
      </c>
      <c r="O41" s="1048">
        <v>1559980</v>
      </c>
      <c r="P41" s="1006"/>
      <c r="Q41" s="1006"/>
      <c r="R41" s="1007"/>
      <c r="S41" s="1008"/>
      <c r="T41" s="1003"/>
      <c r="U41" s="845"/>
      <c r="W41" s="1374"/>
      <c r="X41" s="1383" t="s">
        <v>601</v>
      </c>
      <c r="Y41" s="1070" t="s">
        <v>602</v>
      </c>
      <c r="Z41" s="1076" t="s">
        <v>265</v>
      </c>
      <c r="AA41" s="1071">
        <v>1</v>
      </c>
      <c r="AB41" s="1072" t="s">
        <v>578</v>
      </c>
      <c r="AC41" s="1073">
        <v>120000</v>
      </c>
      <c r="AD41" s="1074">
        <v>120000</v>
      </c>
      <c r="AE41" s="1075">
        <v>4.2</v>
      </c>
      <c r="AG41" s="1386" t="s">
        <v>608</v>
      </c>
      <c r="AH41" s="1388" t="s">
        <v>620</v>
      </c>
      <c r="AI41" s="924" t="s">
        <v>298</v>
      </c>
      <c r="AJ41" s="926" t="s">
        <v>299</v>
      </c>
      <c r="AK41" s="926">
        <v>611</v>
      </c>
      <c r="AL41" s="927" t="s">
        <v>617</v>
      </c>
      <c r="AM41" s="928">
        <v>16000</v>
      </c>
      <c r="AN41" s="929">
        <f t="shared" si="5"/>
        <v>9776000</v>
      </c>
      <c r="AO41" s="925"/>
      <c r="AQ41" s="1373" t="s">
        <v>608</v>
      </c>
      <c r="AR41" s="1383" t="s">
        <v>620</v>
      </c>
      <c r="AS41" s="903" t="s">
        <v>298</v>
      </c>
      <c r="AT41" s="910" t="s">
        <v>299</v>
      </c>
      <c r="AU41" s="910">
        <v>611</v>
      </c>
      <c r="AV41" s="911" t="s">
        <v>584</v>
      </c>
      <c r="AW41" s="912">
        <v>16000</v>
      </c>
      <c r="AX41" s="913">
        <v>9776000</v>
      </c>
      <c r="AY41" s="909"/>
      <c r="BA41" s="1375"/>
      <c r="BB41" s="923" t="s">
        <v>607</v>
      </c>
      <c r="BC41" s="924" t="s">
        <v>297</v>
      </c>
      <c r="BD41" s="926" t="s">
        <v>281</v>
      </c>
      <c r="BE41" s="926">
        <v>1</v>
      </c>
      <c r="BF41" s="927" t="s">
        <v>271</v>
      </c>
      <c r="BG41" s="928">
        <v>450000</v>
      </c>
      <c r="BH41" s="929">
        <f t="shared" si="2"/>
        <v>450000</v>
      </c>
      <c r="BI41" s="925">
        <v>15.7</v>
      </c>
      <c r="BK41" s="1375"/>
      <c r="BL41" s="923" t="s">
        <v>607</v>
      </c>
      <c r="BM41" s="924" t="s">
        <v>297</v>
      </c>
      <c r="BN41" s="926" t="s">
        <v>281</v>
      </c>
      <c r="BO41" s="926">
        <v>1</v>
      </c>
      <c r="BP41" s="927" t="s">
        <v>271</v>
      </c>
      <c r="BQ41" s="928">
        <v>450000</v>
      </c>
      <c r="BR41" s="929">
        <f t="shared" si="3"/>
        <v>450000</v>
      </c>
      <c r="BS41" s="925"/>
    </row>
    <row r="42" spans="1:71" ht="32.1" customHeight="1" thickBot="1" x14ac:dyDescent="0.25">
      <c r="A42" s="886"/>
      <c r="B42" s="972" t="s">
        <v>625</v>
      </c>
      <c r="C42" s="1393" t="s">
        <v>626</v>
      </c>
      <c r="D42" s="973" t="s">
        <v>627</v>
      </c>
      <c r="E42" s="1393" t="s">
        <v>628</v>
      </c>
      <c r="F42" s="1393" t="s">
        <v>629</v>
      </c>
      <c r="I42" s="507"/>
      <c r="J42" s="822"/>
      <c r="K42" s="1372"/>
      <c r="L42" s="1381"/>
      <c r="M42" s="1052" t="s">
        <v>482</v>
      </c>
      <c r="N42" s="1046" t="s">
        <v>670</v>
      </c>
      <c r="O42" s="1039">
        <v>230068</v>
      </c>
      <c r="P42" s="1006"/>
      <c r="Q42" s="1006"/>
      <c r="R42" s="1007"/>
      <c r="S42" s="1008"/>
      <c r="T42" s="1003"/>
      <c r="U42" s="845"/>
      <c r="W42" s="1374"/>
      <c r="X42" s="1385"/>
      <c r="Y42" s="1070" t="s">
        <v>295</v>
      </c>
      <c r="Z42" s="1076" t="s">
        <v>281</v>
      </c>
      <c r="AA42" s="1071">
        <v>1</v>
      </c>
      <c r="AB42" s="1072" t="s">
        <v>581</v>
      </c>
      <c r="AC42" s="1073">
        <v>45000</v>
      </c>
      <c r="AD42" s="1074">
        <v>45000</v>
      </c>
      <c r="AE42" s="1075">
        <v>1.6</v>
      </c>
      <c r="AG42" s="1386"/>
      <c r="AH42" s="1388"/>
      <c r="AI42" s="924" t="s">
        <v>609</v>
      </c>
      <c r="AJ42" s="926" t="s">
        <v>299</v>
      </c>
      <c r="AK42" s="926">
        <v>68</v>
      </c>
      <c r="AL42" s="927" t="s">
        <v>617</v>
      </c>
      <c r="AM42" s="928">
        <v>26435</v>
      </c>
      <c r="AN42" s="929">
        <f t="shared" si="5"/>
        <v>1797580</v>
      </c>
      <c r="AO42" s="925"/>
      <c r="AQ42" s="1374"/>
      <c r="AR42" s="1384"/>
      <c r="AS42" s="903" t="s">
        <v>609</v>
      </c>
      <c r="AT42" s="910" t="s">
        <v>299</v>
      </c>
      <c r="AU42" s="910">
        <v>68</v>
      </c>
      <c r="AV42" s="911" t="s">
        <v>584</v>
      </c>
      <c r="AW42" s="912">
        <v>26435</v>
      </c>
      <c r="AX42" s="913">
        <v>1797580</v>
      </c>
      <c r="AY42" s="909"/>
      <c r="BA42" s="1386" t="s">
        <v>608</v>
      </c>
      <c r="BB42" s="923"/>
      <c r="BC42" s="924" t="s">
        <v>298</v>
      </c>
      <c r="BD42" s="926" t="s">
        <v>299</v>
      </c>
      <c r="BE42" s="926">
        <v>455</v>
      </c>
      <c r="BF42" s="927" t="s">
        <v>617</v>
      </c>
      <c r="BG42" s="928">
        <f>+BG18*4</f>
        <v>4080</v>
      </c>
      <c r="BH42" s="929">
        <f t="shared" si="2"/>
        <v>1856400</v>
      </c>
      <c r="BI42" s="925"/>
      <c r="BK42" s="1386" t="s">
        <v>608</v>
      </c>
      <c r="BL42" s="923"/>
      <c r="BM42" s="924" t="s">
        <v>298</v>
      </c>
      <c r="BN42" s="926" t="s">
        <v>299</v>
      </c>
      <c r="BO42" s="926">
        <v>455</v>
      </c>
      <c r="BP42" s="927" t="s">
        <v>617</v>
      </c>
      <c r="BQ42" s="928">
        <f>+BQ18*4</f>
        <v>4080</v>
      </c>
      <c r="BR42" s="929">
        <f t="shared" si="3"/>
        <v>1856400</v>
      </c>
      <c r="BS42" s="925"/>
    </row>
    <row r="43" spans="1:71" ht="48.95" customHeight="1" thickBot="1" x14ac:dyDescent="0.25">
      <c r="A43" s="1380"/>
      <c r="B43" s="974" t="s">
        <v>630</v>
      </c>
      <c r="C43" s="1393"/>
      <c r="D43" s="975" t="s">
        <v>631</v>
      </c>
      <c r="E43" s="1393"/>
      <c r="F43" s="1393"/>
      <c r="I43" s="507"/>
      <c r="J43" s="822"/>
      <c r="K43" s="1372"/>
      <c r="L43" s="1014"/>
      <c r="M43" s="872"/>
      <c r="N43" s="1046" t="s">
        <v>683</v>
      </c>
      <c r="O43" s="1039">
        <v>74700</v>
      </c>
      <c r="P43" s="1006"/>
      <c r="Q43" s="1006"/>
      <c r="R43" s="1007"/>
      <c r="S43" s="1008"/>
      <c r="T43" s="1003"/>
      <c r="U43" s="845"/>
      <c r="W43" s="1374"/>
      <c r="X43" s="1383" t="s">
        <v>603</v>
      </c>
      <c r="Y43" s="1070" t="s">
        <v>296</v>
      </c>
      <c r="Z43" s="1071" t="s">
        <v>281</v>
      </c>
      <c r="AA43" s="1071">
        <v>1</v>
      </c>
      <c r="AB43" s="1072" t="s">
        <v>578</v>
      </c>
      <c r="AC43" s="1073">
        <v>120000</v>
      </c>
      <c r="AD43" s="1074">
        <v>120000</v>
      </c>
      <c r="AE43" s="1075">
        <v>4.2</v>
      </c>
      <c r="AG43" s="1386"/>
      <c r="AH43" s="1388"/>
      <c r="AI43" s="924" t="s">
        <v>300</v>
      </c>
      <c r="AJ43" s="926" t="s">
        <v>299</v>
      </c>
      <c r="AK43" s="926">
        <v>28</v>
      </c>
      <c r="AL43" s="927" t="s">
        <v>621</v>
      </c>
      <c r="AM43" s="928">
        <v>95000</v>
      </c>
      <c r="AN43" s="929">
        <f t="shared" si="5"/>
        <v>2660000</v>
      </c>
      <c r="AO43" s="925"/>
      <c r="AQ43" s="1374"/>
      <c r="AR43" s="1384"/>
      <c r="AS43" s="903" t="s">
        <v>300</v>
      </c>
      <c r="AT43" s="910" t="s">
        <v>299</v>
      </c>
      <c r="AU43" s="910">
        <v>28</v>
      </c>
      <c r="AV43" s="911" t="s">
        <v>610</v>
      </c>
      <c r="AW43" s="912">
        <v>95000</v>
      </c>
      <c r="AX43" s="913">
        <v>2660000</v>
      </c>
      <c r="AY43" s="909"/>
      <c r="BA43" s="1386"/>
      <c r="BB43" s="923"/>
      <c r="BC43" s="924" t="s">
        <v>609</v>
      </c>
      <c r="BD43" s="926" t="s">
        <v>299</v>
      </c>
      <c r="BE43" s="926">
        <v>1</v>
      </c>
      <c r="BF43" s="927" t="s">
        <v>617</v>
      </c>
      <c r="BG43" s="928">
        <v>26435</v>
      </c>
      <c r="BH43" s="929">
        <f t="shared" si="2"/>
        <v>26435</v>
      </c>
      <c r="BI43" s="925"/>
      <c r="BK43" s="1386"/>
      <c r="BL43" s="923"/>
      <c r="BM43" s="924" t="s">
        <v>609</v>
      </c>
      <c r="BN43" s="926" t="s">
        <v>299</v>
      </c>
      <c r="BO43" s="926">
        <v>1</v>
      </c>
      <c r="BP43" s="927" t="s">
        <v>617</v>
      </c>
      <c r="BQ43" s="928">
        <v>26435</v>
      </c>
      <c r="BR43" s="929">
        <f t="shared" si="3"/>
        <v>26435</v>
      </c>
      <c r="BS43" s="925"/>
    </row>
    <row r="44" spans="1:71" ht="27.95" customHeight="1" thickBot="1" x14ac:dyDescent="0.25">
      <c r="A44" s="1380"/>
      <c r="B44" s="1394" t="s">
        <v>632</v>
      </c>
      <c r="C44" s="1395" t="s">
        <v>633</v>
      </c>
      <c r="D44" s="1395" t="s">
        <v>644</v>
      </c>
      <c r="E44" s="976" t="s">
        <v>640</v>
      </c>
      <c r="F44" s="1395" t="s">
        <v>634</v>
      </c>
      <c r="I44" s="507"/>
      <c r="J44" s="822"/>
      <c r="K44" s="1372"/>
      <c r="L44" s="1381"/>
      <c r="M44" s="872"/>
      <c r="N44" s="1051" t="s">
        <v>684</v>
      </c>
      <c r="O44" s="1061">
        <v>41940</v>
      </c>
      <c r="P44" s="1006"/>
      <c r="Q44" s="1006"/>
      <c r="R44" s="1007"/>
      <c r="S44" s="1008"/>
      <c r="T44" s="1003"/>
      <c r="U44" s="845"/>
      <c r="W44" s="1374"/>
      <c r="X44" s="1384"/>
      <c r="Y44" s="1070" t="s">
        <v>604</v>
      </c>
      <c r="Z44" s="1071" t="s">
        <v>281</v>
      </c>
      <c r="AA44" s="1071">
        <v>1</v>
      </c>
      <c r="AB44" s="1072" t="s">
        <v>578</v>
      </c>
      <c r="AC44" s="1073">
        <v>65000</v>
      </c>
      <c r="AD44" s="1074">
        <v>65000</v>
      </c>
      <c r="AE44" s="1075">
        <v>2.2999999999999998</v>
      </c>
      <c r="AG44" s="1386"/>
      <c r="AH44" s="1388"/>
      <c r="AI44" s="924" t="s">
        <v>611</v>
      </c>
      <c r="AJ44" s="926" t="s">
        <v>301</v>
      </c>
      <c r="AK44" s="926">
        <v>7</v>
      </c>
      <c r="AL44" s="927" t="s">
        <v>619</v>
      </c>
      <c r="AM44" s="928">
        <v>85114</v>
      </c>
      <c r="AN44" s="929">
        <f t="shared" si="5"/>
        <v>595798</v>
      </c>
      <c r="AO44" s="925"/>
      <c r="AQ44" s="1374"/>
      <c r="AR44" s="1384"/>
      <c r="AS44" s="903" t="s">
        <v>611</v>
      </c>
      <c r="AT44" s="910" t="s">
        <v>301</v>
      </c>
      <c r="AU44" s="910">
        <v>7</v>
      </c>
      <c r="AV44" s="911" t="s">
        <v>581</v>
      </c>
      <c r="AW44" s="912">
        <v>85114</v>
      </c>
      <c r="AX44" s="913">
        <v>595798</v>
      </c>
      <c r="AY44" s="909"/>
      <c r="BA44" s="1386"/>
      <c r="BB44" s="923"/>
      <c r="BC44" s="924" t="s">
        <v>300</v>
      </c>
      <c r="BD44" s="926" t="s">
        <v>299</v>
      </c>
      <c r="BE44" s="926">
        <v>22</v>
      </c>
      <c r="BF44" s="927" t="s">
        <v>621</v>
      </c>
      <c r="BG44" s="928">
        <v>95000</v>
      </c>
      <c r="BH44" s="929">
        <f t="shared" si="2"/>
        <v>2090000</v>
      </c>
      <c r="BI44" s="925"/>
      <c r="BK44" s="1386"/>
      <c r="BL44" s="923"/>
      <c r="BM44" s="924" t="s">
        <v>300</v>
      </c>
      <c r="BN44" s="926" t="s">
        <v>299</v>
      </c>
      <c r="BO44" s="926">
        <v>22</v>
      </c>
      <c r="BP44" s="927" t="s">
        <v>621</v>
      </c>
      <c r="BQ44" s="928">
        <v>95000</v>
      </c>
      <c r="BR44" s="929">
        <f t="shared" si="3"/>
        <v>2090000</v>
      </c>
      <c r="BS44" s="925"/>
    </row>
    <row r="45" spans="1:71" ht="45" customHeight="1" thickBot="1" x14ac:dyDescent="0.25">
      <c r="A45" s="1380"/>
      <c r="B45" s="1394"/>
      <c r="C45" s="1395"/>
      <c r="D45" s="1395"/>
      <c r="E45" s="977" t="s">
        <v>646</v>
      </c>
      <c r="F45" s="1395"/>
      <c r="I45" s="507"/>
      <c r="J45" s="822"/>
      <c r="K45" s="1372"/>
      <c r="L45" s="1381"/>
      <c r="M45" s="1052" t="s">
        <v>685</v>
      </c>
      <c r="N45" s="1046"/>
      <c r="O45" s="1054"/>
      <c r="P45" s="1006"/>
      <c r="Q45" s="1006"/>
      <c r="R45" s="1007"/>
      <c r="S45" s="1008"/>
      <c r="T45" s="1003"/>
      <c r="U45" s="845"/>
      <c r="W45" s="1374"/>
      <c r="X45" s="1384"/>
      <c r="Y45" s="1070" t="s">
        <v>605</v>
      </c>
      <c r="Z45" s="1071" t="s">
        <v>281</v>
      </c>
      <c r="AA45" s="1071">
        <v>1</v>
      </c>
      <c r="AB45" s="1072" t="s">
        <v>578</v>
      </c>
      <c r="AC45" s="1073">
        <v>90000</v>
      </c>
      <c r="AD45" s="1074">
        <v>90000</v>
      </c>
      <c r="AE45" s="1075">
        <v>3.1</v>
      </c>
      <c r="AG45" s="1386"/>
      <c r="AH45" s="1388"/>
      <c r="AI45" s="924" t="s">
        <v>302</v>
      </c>
      <c r="AJ45" s="926" t="s">
        <v>299</v>
      </c>
      <c r="AK45" s="926">
        <v>18</v>
      </c>
      <c r="AL45" s="927" t="s">
        <v>619</v>
      </c>
      <c r="AM45" s="928">
        <v>65000</v>
      </c>
      <c r="AN45" s="929">
        <f t="shared" si="5"/>
        <v>1170000</v>
      </c>
      <c r="AO45" s="925"/>
      <c r="AQ45" s="1374"/>
      <c r="AR45" s="1384"/>
      <c r="AS45" s="903" t="s">
        <v>302</v>
      </c>
      <c r="AT45" s="910" t="s">
        <v>299</v>
      </c>
      <c r="AU45" s="910">
        <v>18</v>
      </c>
      <c r="AV45" s="911" t="s">
        <v>581</v>
      </c>
      <c r="AW45" s="912">
        <v>65000</v>
      </c>
      <c r="AX45" s="913">
        <v>1170000</v>
      </c>
      <c r="AY45" s="909"/>
      <c r="BA45" s="1386"/>
      <c r="BB45" s="923"/>
      <c r="BC45" s="924" t="s">
        <v>611</v>
      </c>
      <c r="BD45" s="926" t="s">
        <v>301</v>
      </c>
      <c r="BE45" s="926">
        <v>1</v>
      </c>
      <c r="BF45" s="927" t="s">
        <v>619</v>
      </c>
      <c r="BG45" s="928">
        <v>85114</v>
      </c>
      <c r="BH45" s="929">
        <f t="shared" si="2"/>
        <v>85114</v>
      </c>
      <c r="BI45" s="925"/>
      <c r="BK45" s="1386"/>
      <c r="BL45" s="923"/>
      <c r="BM45" s="924" t="s">
        <v>611</v>
      </c>
      <c r="BN45" s="926" t="s">
        <v>301</v>
      </c>
      <c r="BO45" s="926">
        <v>1</v>
      </c>
      <c r="BP45" s="927" t="s">
        <v>619</v>
      </c>
      <c r="BQ45" s="928">
        <v>85114</v>
      </c>
      <c r="BR45" s="929">
        <f t="shared" si="3"/>
        <v>85114</v>
      </c>
      <c r="BS45" s="925"/>
    </row>
    <row r="46" spans="1:71" ht="27" customHeight="1" thickBot="1" x14ac:dyDescent="0.25">
      <c r="A46" s="1380"/>
      <c r="B46" s="1394" t="s">
        <v>635</v>
      </c>
      <c r="C46" s="1395" t="s">
        <v>633</v>
      </c>
      <c r="D46" s="1395" t="s">
        <v>645</v>
      </c>
      <c r="E46" s="976" t="s">
        <v>636</v>
      </c>
      <c r="F46" s="1395" t="s">
        <v>634</v>
      </c>
      <c r="I46" s="507"/>
      <c r="J46" s="822"/>
      <c r="K46" s="1372"/>
      <c r="L46" s="1014"/>
      <c r="M46" s="872"/>
      <c r="N46" s="1046" t="s">
        <v>686</v>
      </c>
      <c r="O46" s="1054">
        <v>2023120</v>
      </c>
      <c r="P46" s="1006"/>
      <c r="Q46" s="1006"/>
      <c r="R46" s="1007"/>
      <c r="S46" s="1008"/>
      <c r="T46" s="1003"/>
      <c r="U46" s="845"/>
      <c r="W46" s="1374"/>
      <c r="X46" s="1385"/>
      <c r="Y46" s="1070" t="s">
        <v>606</v>
      </c>
      <c r="Z46" s="1071" t="s">
        <v>281</v>
      </c>
      <c r="AA46" s="1071">
        <v>1</v>
      </c>
      <c r="AB46" s="1072" t="s">
        <v>578</v>
      </c>
      <c r="AC46" s="1073">
        <v>70000</v>
      </c>
      <c r="AD46" s="1074">
        <v>70000</v>
      </c>
      <c r="AE46" s="1075">
        <v>2.4</v>
      </c>
      <c r="AG46" s="1386"/>
      <c r="AH46" s="1388"/>
      <c r="AI46" s="924" t="s">
        <v>303</v>
      </c>
      <c r="AJ46" s="926" t="s">
        <v>299</v>
      </c>
      <c r="AK46" s="926">
        <v>1</v>
      </c>
      <c r="AL46" s="927" t="s">
        <v>619</v>
      </c>
      <c r="AM46" s="928">
        <v>710450</v>
      </c>
      <c r="AN46" s="929">
        <f t="shared" si="5"/>
        <v>710450</v>
      </c>
      <c r="AO46" s="925"/>
      <c r="AQ46" s="1374"/>
      <c r="AR46" s="1384"/>
      <c r="AS46" s="903" t="s">
        <v>303</v>
      </c>
      <c r="AT46" s="910" t="s">
        <v>299</v>
      </c>
      <c r="AU46" s="910">
        <v>1</v>
      </c>
      <c r="AV46" s="911" t="s">
        <v>581</v>
      </c>
      <c r="AW46" s="912">
        <v>710450</v>
      </c>
      <c r="AX46" s="913">
        <v>710450</v>
      </c>
      <c r="AY46" s="909"/>
      <c r="BA46" s="1386"/>
      <c r="BB46" s="923"/>
      <c r="BC46" s="924" t="s">
        <v>302</v>
      </c>
      <c r="BD46" s="926" t="s">
        <v>299</v>
      </c>
      <c r="BE46" s="926">
        <v>14</v>
      </c>
      <c r="BF46" s="927" t="s">
        <v>619</v>
      </c>
      <c r="BG46" s="928">
        <v>65000</v>
      </c>
      <c r="BH46" s="929">
        <f t="shared" si="2"/>
        <v>910000</v>
      </c>
      <c r="BI46" s="925"/>
      <c r="BK46" s="1386"/>
      <c r="BL46" s="923"/>
      <c r="BM46" s="924" t="s">
        <v>302</v>
      </c>
      <c r="BN46" s="926" t="s">
        <v>299</v>
      </c>
      <c r="BO46" s="926">
        <v>14</v>
      </c>
      <c r="BP46" s="927" t="s">
        <v>619</v>
      </c>
      <c r="BQ46" s="928">
        <v>65000</v>
      </c>
      <c r="BR46" s="929">
        <f t="shared" si="3"/>
        <v>910000</v>
      </c>
      <c r="BS46" s="925"/>
    </row>
    <row r="47" spans="1:71" ht="42.95" customHeight="1" thickBot="1" x14ac:dyDescent="0.25">
      <c r="A47" s="887"/>
      <c r="B47" s="1394"/>
      <c r="C47" s="1395"/>
      <c r="D47" s="1395"/>
      <c r="E47" s="977" t="s">
        <v>647</v>
      </c>
      <c r="F47" s="1395"/>
      <c r="I47" s="507"/>
      <c r="J47" s="822"/>
      <c r="K47" s="1372"/>
      <c r="L47" s="1381"/>
      <c r="M47" s="872"/>
      <c r="N47" s="1013"/>
      <c r="O47" s="1005"/>
      <c r="P47" s="1006"/>
      <c r="Q47" s="1006"/>
      <c r="R47" s="1007"/>
      <c r="S47" s="1008"/>
      <c r="T47" s="1003"/>
      <c r="U47" s="845"/>
      <c r="W47" s="1375"/>
      <c r="X47" s="902" t="s">
        <v>607</v>
      </c>
      <c r="Y47" s="1070" t="s">
        <v>297</v>
      </c>
      <c r="Z47" s="1071" t="s">
        <v>281</v>
      </c>
      <c r="AA47" s="1071">
        <v>1</v>
      </c>
      <c r="AB47" s="1072" t="s">
        <v>578</v>
      </c>
      <c r="AC47" s="1073">
        <v>250000</v>
      </c>
      <c r="AD47" s="1074">
        <v>250000</v>
      </c>
      <c r="AE47" s="1075">
        <v>8.6999999999999993</v>
      </c>
      <c r="AG47" s="1386"/>
      <c r="AH47" s="1388"/>
      <c r="AI47" s="924" t="s">
        <v>304</v>
      </c>
      <c r="AJ47" s="926" t="s">
        <v>299</v>
      </c>
      <c r="AK47" s="926">
        <v>1</v>
      </c>
      <c r="AL47" s="927" t="s">
        <v>619</v>
      </c>
      <c r="AM47" s="928">
        <v>458700</v>
      </c>
      <c r="AN47" s="929">
        <f t="shared" si="5"/>
        <v>458700</v>
      </c>
      <c r="AO47" s="925"/>
      <c r="AQ47" s="1374"/>
      <c r="AR47" s="1384"/>
      <c r="AS47" s="903" t="s">
        <v>304</v>
      </c>
      <c r="AT47" s="910" t="s">
        <v>299</v>
      </c>
      <c r="AU47" s="910">
        <v>1</v>
      </c>
      <c r="AV47" s="911" t="s">
        <v>581</v>
      </c>
      <c r="AW47" s="912">
        <v>458700</v>
      </c>
      <c r="AX47" s="913">
        <v>458700</v>
      </c>
      <c r="AY47" s="909"/>
      <c r="BA47" s="1386"/>
      <c r="BB47" s="923"/>
      <c r="BC47" s="924" t="s">
        <v>303</v>
      </c>
      <c r="BD47" s="926" t="s">
        <v>299</v>
      </c>
      <c r="BE47" s="926">
        <v>1</v>
      </c>
      <c r="BF47" s="927" t="s">
        <v>619</v>
      </c>
      <c r="BG47" s="928">
        <v>710450</v>
      </c>
      <c r="BH47" s="929">
        <f t="shared" si="2"/>
        <v>710450</v>
      </c>
      <c r="BI47" s="925"/>
      <c r="BK47" s="1386"/>
      <c r="BL47" s="923"/>
      <c r="BM47" s="924" t="s">
        <v>303</v>
      </c>
      <c r="BN47" s="926" t="s">
        <v>299</v>
      </c>
      <c r="BO47" s="926">
        <v>1</v>
      </c>
      <c r="BP47" s="927" t="s">
        <v>619</v>
      </c>
      <c r="BQ47" s="928">
        <v>710450</v>
      </c>
      <c r="BR47" s="929">
        <f t="shared" si="3"/>
        <v>710450</v>
      </c>
      <c r="BS47" s="925"/>
    </row>
    <row r="48" spans="1:71" ht="19.5" customHeight="1" x14ac:dyDescent="0.2">
      <c r="A48" s="887"/>
      <c r="B48" s="978"/>
      <c r="I48" s="507"/>
      <c r="J48" s="822"/>
      <c r="K48" s="1372"/>
      <c r="L48" s="1381"/>
      <c r="M48" s="872"/>
      <c r="N48" s="1013"/>
      <c r="O48" s="1005"/>
      <c r="P48" s="1006"/>
      <c r="Q48" s="1006"/>
      <c r="R48" s="1007"/>
      <c r="S48" s="1008"/>
      <c r="T48" s="1003"/>
      <c r="U48" s="845"/>
      <c r="W48" s="1373" t="s">
        <v>608</v>
      </c>
      <c r="X48" s="902"/>
      <c r="Y48" s="903" t="s">
        <v>298</v>
      </c>
      <c r="Z48" s="910" t="s">
        <v>299</v>
      </c>
      <c r="AA48" s="910">
        <v>610</v>
      </c>
      <c r="AB48" s="911" t="s">
        <v>584</v>
      </c>
      <c r="AC48" s="912">
        <v>19456</v>
      </c>
      <c r="AD48" s="913">
        <v>11868160</v>
      </c>
      <c r="AE48" s="1075">
        <v>0</v>
      </c>
      <c r="AG48" s="1386"/>
      <c r="AH48" s="1388"/>
      <c r="AI48" s="924" t="s">
        <v>612</v>
      </c>
      <c r="AJ48" s="926" t="s">
        <v>299</v>
      </c>
      <c r="AK48" s="926">
        <v>1</v>
      </c>
      <c r="AL48" s="927" t="s">
        <v>619</v>
      </c>
      <c r="AM48" s="928">
        <v>124500</v>
      </c>
      <c r="AN48" s="929">
        <f t="shared" si="5"/>
        <v>124500</v>
      </c>
      <c r="AO48" s="925"/>
      <c r="AQ48" s="1375"/>
      <c r="AR48" s="1385"/>
      <c r="AS48" s="903" t="s">
        <v>612</v>
      </c>
      <c r="AT48" s="910" t="s">
        <v>299</v>
      </c>
      <c r="AU48" s="910">
        <v>1</v>
      </c>
      <c r="AV48" s="911" t="s">
        <v>581</v>
      </c>
      <c r="AW48" s="912">
        <v>124500</v>
      </c>
      <c r="AX48" s="913">
        <v>124500</v>
      </c>
      <c r="AY48" s="909"/>
      <c r="BA48" s="1386"/>
      <c r="BB48" s="923"/>
      <c r="BC48" s="924" t="s">
        <v>304</v>
      </c>
      <c r="BD48" s="926" t="s">
        <v>299</v>
      </c>
      <c r="BE48" s="926">
        <v>1</v>
      </c>
      <c r="BF48" s="927" t="s">
        <v>619</v>
      </c>
      <c r="BG48" s="928">
        <v>458700</v>
      </c>
      <c r="BH48" s="929">
        <f t="shared" si="2"/>
        <v>458700</v>
      </c>
      <c r="BI48" s="925"/>
      <c r="BK48" s="1386"/>
      <c r="BL48" s="923"/>
      <c r="BM48" s="924" t="s">
        <v>304</v>
      </c>
      <c r="BN48" s="926" t="s">
        <v>299</v>
      </c>
      <c r="BO48" s="926">
        <v>1</v>
      </c>
      <c r="BP48" s="927" t="s">
        <v>619</v>
      </c>
      <c r="BQ48" s="928">
        <v>458700</v>
      </c>
      <c r="BR48" s="929">
        <f t="shared" si="3"/>
        <v>458700</v>
      </c>
      <c r="BS48" s="925"/>
    </row>
    <row r="49" spans="1:71" ht="19.5" customHeight="1" thickBot="1" x14ac:dyDescent="0.25">
      <c r="A49" s="880"/>
      <c r="B49" s="978"/>
      <c r="I49" s="507"/>
      <c r="J49" s="822"/>
      <c r="K49" s="1372"/>
      <c r="L49" s="1015"/>
      <c r="M49" s="1016"/>
      <c r="N49" s="1013"/>
      <c r="O49" s="1005"/>
      <c r="P49" s="1006"/>
      <c r="Q49" s="1006"/>
      <c r="R49" s="1007"/>
      <c r="S49" s="1008"/>
      <c r="T49" s="1003"/>
      <c r="U49" s="845"/>
      <c r="W49" s="1374"/>
      <c r="X49" s="902"/>
      <c r="Y49" s="903" t="s">
        <v>609</v>
      </c>
      <c r="Z49" s="910" t="s">
        <v>299</v>
      </c>
      <c r="AA49" s="910">
        <v>1</v>
      </c>
      <c r="AB49" s="911" t="s">
        <v>584</v>
      </c>
      <c r="AC49" s="912">
        <v>26435</v>
      </c>
      <c r="AD49" s="913">
        <v>26435</v>
      </c>
      <c r="AE49" s="1075">
        <v>0</v>
      </c>
      <c r="AN49" s="926" t="s">
        <v>615</v>
      </c>
      <c r="AO49" s="931">
        <f>SUM(AO8:AO48)</f>
        <v>248.29999999999995</v>
      </c>
      <c r="AX49" s="915" t="s">
        <v>615</v>
      </c>
      <c r="AY49" s="916">
        <f>SUM(AY8:AY14)</f>
        <v>13.1</v>
      </c>
      <c r="BA49" s="1386"/>
      <c r="BB49" s="923"/>
      <c r="BC49" s="924" t="s">
        <v>612</v>
      </c>
      <c r="BD49" s="926" t="s">
        <v>299</v>
      </c>
      <c r="BE49" s="926">
        <v>1</v>
      </c>
      <c r="BF49" s="927" t="s">
        <v>619</v>
      </c>
      <c r="BG49" s="928">
        <v>124500</v>
      </c>
      <c r="BH49" s="929">
        <f t="shared" si="2"/>
        <v>124500</v>
      </c>
      <c r="BI49" s="925"/>
      <c r="BK49" s="1386"/>
      <c r="BL49" s="923"/>
      <c r="BM49" s="924" t="s">
        <v>612</v>
      </c>
      <c r="BN49" s="926" t="s">
        <v>299</v>
      </c>
      <c r="BO49" s="926">
        <v>1</v>
      </c>
      <c r="BP49" s="927" t="s">
        <v>619</v>
      </c>
      <c r="BQ49" s="928">
        <v>124500</v>
      </c>
      <c r="BR49" s="929">
        <f t="shared" si="3"/>
        <v>124500</v>
      </c>
      <c r="BS49" s="925"/>
    </row>
    <row r="50" spans="1:71" ht="19.5" customHeight="1" thickBot="1" x14ac:dyDescent="0.25">
      <c r="A50" s="881"/>
      <c r="B50" s="979"/>
      <c r="C50" s="1392" t="s">
        <v>691</v>
      </c>
      <c r="D50" s="1392"/>
      <c r="E50" s="1392"/>
      <c r="F50" s="1392"/>
      <c r="I50" s="507"/>
      <c r="J50" s="822"/>
      <c r="K50" s="1372"/>
      <c r="L50" s="1015"/>
      <c r="M50" s="1016"/>
      <c r="N50" s="1013"/>
      <c r="O50" s="1005"/>
      <c r="P50" s="1006"/>
      <c r="Q50" s="1006"/>
      <c r="R50" s="1007"/>
      <c r="S50" s="1008"/>
      <c r="T50" s="1003"/>
      <c r="U50" s="845"/>
      <c r="W50" s="1374"/>
      <c r="X50" s="902"/>
      <c r="Y50" s="903" t="s">
        <v>300</v>
      </c>
      <c r="Z50" s="910" t="s">
        <v>299</v>
      </c>
      <c r="AA50" s="910">
        <v>1</v>
      </c>
      <c r="AB50" s="911" t="s">
        <v>610</v>
      </c>
      <c r="AC50" s="912">
        <v>120000</v>
      </c>
      <c r="AD50" s="913">
        <v>120000</v>
      </c>
      <c r="AE50" s="1075">
        <v>0</v>
      </c>
      <c r="AN50" s="932">
        <f>AD59</f>
        <v>33851</v>
      </c>
      <c r="AO50" s="933">
        <f>AO49*AN50</f>
        <v>8405203.2999999989</v>
      </c>
      <c r="AX50" s="917">
        <v>33851</v>
      </c>
      <c r="AY50" s="1113">
        <f>AY49*AX50</f>
        <v>443448.1</v>
      </c>
      <c r="BA50" s="1386"/>
      <c r="BB50" s="923"/>
      <c r="BC50" s="924"/>
      <c r="BD50" s="926"/>
      <c r="BE50" s="926"/>
      <c r="BF50" s="927"/>
      <c r="BG50" s="928"/>
      <c r="BH50" s="929"/>
      <c r="BI50" s="925"/>
      <c r="BK50" s="1386"/>
      <c r="BL50" s="923"/>
      <c r="BM50" s="924"/>
      <c r="BN50" s="926"/>
      <c r="BO50" s="926"/>
      <c r="BP50" s="927"/>
      <c r="BQ50" s="928"/>
      <c r="BR50" s="929"/>
      <c r="BS50" s="925"/>
    </row>
    <row r="51" spans="1:71" ht="19.5" customHeight="1" thickBot="1" x14ac:dyDescent="0.25">
      <c r="A51" s="881"/>
      <c r="B51" s="980"/>
      <c r="C51" s="1392"/>
      <c r="D51" s="1392"/>
      <c r="E51" s="1392"/>
      <c r="F51" s="1392"/>
      <c r="I51" s="507"/>
      <c r="J51" s="822"/>
      <c r="K51" s="1372"/>
      <c r="L51" s="1015"/>
      <c r="M51" s="1016"/>
      <c r="N51" s="1013"/>
      <c r="O51" s="1005"/>
      <c r="P51" s="1006"/>
      <c r="Q51" s="1006"/>
      <c r="R51" s="1007"/>
      <c r="S51" s="1008"/>
      <c r="T51" s="1003"/>
      <c r="U51" s="845"/>
      <c r="W51" s="1374"/>
      <c r="X51" s="902"/>
      <c r="Y51" s="903" t="s">
        <v>611</v>
      </c>
      <c r="Z51" s="910" t="s">
        <v>301</v>
      </c>
      <c r="AA51" s="910">
        <v>25</v>
      </c>
      <c r="AB51" s="911" t="s">
        <v>581</v>
      </c>
      <c r="AC51" s="912">
        <v>85114</v>
      </c>
      <c r="AD51" s="913">
        <v>2127850</v>
      </c>
      <c r="AE51" s="1075">
        <v>0</v>
      </c>
      <c r="BH51" s="926" t="s">
        <v>615</v>
      </c>
      <c r="BI51" s="962">
        <f>SUM(BI8:BI50)</f>
        <v>95</v>
      </c>
      <c r="BR51" s="926" t="s">
        <v>615</v>
      </c>
      <c r="BS51" s="962">
        <f>SUM(BS8:BS50)</f>
        <v>42.800000000000004</v>
      </c>
    </row>
    <row r="52" spans="1:71" ht="35.1" customHeight="1" thickBot="1" x14ac:dyDescent="0.3">
      <c r="A52" s="882"/>
      <c r="B52" s="981" t="s">
        <v>637</v>
      </c>
      <c r="C52" s="1392"/>
      <c r="D52" s="1392"/>
      <c r="E52" s="1392"/>
      <c r="F52" s="1392"/>
      <c r="I52" s="507"/>
      <c r="J52" s="822"/>
      <c r="K52" s="1382"/>
      <c r="L52" s="874"/>
      <c r="M52" s="873"/>
      <c r="N52" s="865"/>
      <c r="O52" s="861"/>
      <c r="P52" s="862"/>
      <c r="Q52" s="862"/>
      <c r="R52" s="863"/>
      <c r="S52" s="864"/>
      <c r="T52" s="860"/>
      <c r="U52" s="845"/>
      <c r="W52" s="1374"/>
      <c r="X52" s="902"/>
      <c r="Y52" s="1070" t="s">
        <v>700</v>
      </c>
      <c r="Z52" s="1071" t="s">
        <v>299</v>
      </c>
      <c r="AA52" s="1071">
        <v>1</v>
      </c>
      <c r="AB52" s="1072" t="s">
        <v>581</v>
      </c>
      <c r="AC52" s="1073">
        <v>65000</v>
      </c>
      <c r="AD52" s="1074">
        <v>65000</v>
      </c>
      <c r="AE52" s="1075">
        <v>0</v>
      </c>
      <c r="AF52" s="1060"/>
      <c r="BH52" s="932">
        <f>AX50</f>
        <v>33851</v>
      </c>
      <c r="BI52" s="1112">
        <f>BI51*BH52</f>
        <v>3215845</v>
      </c>
      <c r="BR52" s="932">
        <v>33851</v>
      </c>
      <c r="BS52" s="1112">
        <f>BR52*BS51</f>
        <v>1448822.8</v>
      </c>
    </row>
    <row r="53" spans="1:71" ht="30" customHeight="1" thickBot="1" x14ac:dyDescent="0.3">
      <c r="A53" s="882"/>
      <c r="B53" s="982" t="s">
        <v>638</v>
      </c>
      <c r="C53" s="1379" t="s">
        <v>626</v>
      </c>
      <c r="D53" s="983" t="s">
        <v>627</v>
      </c>
      <c r="E53" s="1379" t="s">
        <v>628</v>
      </c>
      <c r="F53" s="1379" t="s">
        <v>629</v>
      </c>
      <c r="I53" s="507"/>
      <c r="J53" s="822"/>
      <c r="K53" s="1382"/>
      <c r="L53" s="874"/>
      <c r="M53" s="873"/>
      <c r="N53" s="865"/>
      <c r="O53" s="861"/>
      <c r="P53" s="862"/>
      <c r="Q53" s="862"/>
      <c r="R53" s="863"/>
      <c r="S53" s="864"/>
      <c r="T53" s="860"/>
      <c r="U53" s="845"/>
      <c r="W53" s="1374"/>
      <c r="X53" s="902"/>
      <c r="Y53" s="903" t="s">
        <v>303</v>
      </c>
      <c r="Z53" s="910" t="s">
        <v>299</v>
      </c>
      <c r="AA53" s="910">
        <v>1</v>
      </c>
      <c r="AB53" s="911" t="s">
        <v>581</v>
      </c>
      <c r="AC53" s="912">
        <v>710450</v>
      </c>
      <c r="AD53" s="913">
        <v>710450</v>
      </c>
      <c r="AE53" s="1075">
        <v>0</v>
      </c>
    </row>
    <row r="54" spans="1:71" ht="47.1" customHeight="1" thickBot="1" x14ac:dyDescent="0.3">
      <c r="A54" s="1378"/>
      <c r="B54" s="984" t="s">
        <v>639</v>
      </c>
      <c r="C54" s="1379"/>
      <c r="D54" s="985" t="s">
        <v>631</v>
      </c>
      <c r="E54" s="1379"/>
      <c r="F54" s="1379"/>
      <c r="I54" s="507"/>
      <c r="J54" s="822"/>
      <c r="K54" s="1382"/>
      <c r="L54" s="874"/>
      <c r="M54" s="873"/>
      <c r="N54" s="865"/>
      <c r="O54" s="861"/>
      <c r="P54" s="862"/>
      <c r="Q54" s="862"/>
      <c r="R54" s="863"/>
      <c r="S54" s="864"/>
      <c r="T54" s="860"/>
      <c r="U54" s="845"/>
      <c r="W54" s="1374"/>
      <c r="X54" s="902"/>
      <c r="Y54" s="903" t="s">
        <v>304</v>
      </c>
      <c r="Z54" s="910" t="s">
        <v>299</v>
      </c>
      <c r="AA54" s="910">
        <v>1</v>
      </c>
      <c r="AB54" s="911" t="s">
        <v>581</v>
      </c>
      <c r="AC54" s="912">
        <v>458700</v>
      </c>
      <c r="AD54" s="913">
        <v>458700</v>
      </c>
      <c r="AE54" s="1075">
        <v>0</v>
      </c>
    </row>
    <row r="55" spans="1:71" ht="19.5" customHeight="1" thickBot="1" x14ac:dyDescent="0.3">
      <c r="A55" s="1378"/>
      <c r="B55" s="1395" t="s">
        <v>687</v>
      </c>
      <c r="C55" s="1395" t="s">
        <v>688</v>
      </c>
      <c r="D55" s="1395" t="s">
        <v>642</v>
      </c>
      <c r="E55" s="976" t="s">
        <v>640</v>
      </c>
      <c r="F55" s="1395" t="s">
        <v>692</v>
      </c>
      <c r="I55" s="507"/>
      <c r="J55" s="822"/>
      <c r="K55" s="1382"/>
      <c r="L55" s="874"/>
      <c r="M55" s="873"/>
      <c r="N55" s="861"/>
      <c r="O55" s="861"/>
      <c r="P55" s="862"/>
      <c r="Q55" s="862"/>
      <c r="R55" s="863"/>
      <c r="S55" s="864"/>
      <c r="T55" s="860"/>
      <c r="U55" s="845"/>
      <c r="W55" s="1374"/>
      <c r="X55" s="902"/>
      <c r="Y55" s="903" t="s">
        <v>612</v>
      </c>
      <c r="Z55" s="910" t="s">
        <v>299</v>
      </c>
      <c r="AA55" s="910">
        <v>1</v>
      </c>
      <c r="AB55" s="911" t="s">
        <v>581</v>
      </c>
      <c r="AC55" s="912">
        <v>124500</v>
      </c>
      <c r="AD55" s="913">
        <v>124500</v>
      </c>
      <c r="AE55" s="1075">
        <v>0</v>
      </c>
    </row>
    <row r="56" spans="1:71" ht="35.1" customHeight="1" thickBot="1" x14ac:dyDescent="0.3">
      <c r="A56" s="1378"/>
      <c r="B56" s="1395"/>
      <c r="C56" s="1395"/>
      <c r="D56" s="1395"/>
      <c r="E56" s="977" t="s">
        <v>648</v>
      </c>
      <c r="F56" s="1395"/>
      <c r="I56" s="507"/>
      <c r="J56" s="822"/>
      <c r="K56" s="1382"/>
      <c r="L56" s="874"/>
      <c r="M56" s="873"/>
      <c r="N56" s="861"/>
      <c r="O56" s="861"/>
      <c r="P56" s="862"/>
      <c r="Q56" s="862"/>
      <c r="R56" s="863"/>
      <c r="S56" s="864"/>
      <c r="T56" s="860"/>
      <c r="U56" s="845"/>
      <c r="W56" s="1374"/>
      <c r="X56" s="902"/>
      <c r="Y56" s="903" t="s">
        <v>613</v>
      </c>
      <c r="Z56" s="910" t="s">
        <v>299</v>
      </c>
      <c r="AA56" s="910">
        <v>140</v>
      </c>
      <c r="AB56" s="911" t="s">
        <v>614</v>
      </c>
      <c r="AC56" s="912">
        <v>26642</v>
      </c>
      <c r="AD56" s="913">
        <v>3729880</v>
      </c>
      <c r="AE56" s="909">
        <v>8.7603298142868091</v>
      </c>
    </row>
    <row r="57" spans="1:71" ht="30" customHeight="1" thickBot="1" x14ac:dyDescent="0.3">
      <c r="A57" s="1378"/>
      <c r="B57" s="1395" t="s">
        <v>689</v>
      </c>
      <c r="C57" s="1395" t="s">
        <v>688</v>
      </c>
      <c r="D57" s="1395" t="s">
        <v>642</v>
      </c>
      <c r="E57" s="976" t="s">
        <v>641</v>
      </c>
      <c r="F57" s="1395" t="s">
        <v>693</v>
      </c>
      <c r="I57" s="507"/>
      <c r="J57" s="822"/>
      <c r="K57" s="1382"/>
      <c r="L57" s="874"/>
      <c r="M57" s="873"/>
      <c r="N57" s="861"/>
      <c r="O57" s="861"/>
      <c r="P57" s="862"/>
      <c r="Q57" s="862"/>
      <c r="R57" s="863"/>
      <c r="S57" s="864"/>
      <c r="T57" s="860"/>
      <c r="U57" s="845"/>
      <c r="W57" s="1375"/>
      <c r="X57" s="902"/>
      <c r="Y57" s="903"/>
      <c r="Z57" s="910"/>
      <c r="AA57" s="910"/>
      <c r="AB57" s="911"/>
      <c r="AC57" s="912"/>
      <c r="AD57" s="913"/>
      <c r="AE57" s="909">
        <v>8.7758495800262004</v>
      </c>
    </row>
    <row r="58" spans="1:71" ht="48" customHeight="1" thickBot="1" x14ac:dyDescent="0.3">
      <c r="A58" s="845"/>
      <c r="B58" s="1395"/>
      <c r="C58" s="1395"/>
      <c r="D58" s="1395"/>
      <c r="E58" s="977" t="s">
        <v>690</v>
      </c>
      <c r="F58" s="1395"/>
      <c r="I58" s="507"/>
      <c r="J58" s="822"/>
      <c r="K58" s="1382"/>
      <c r="L58" s="875"/>
      <c r="M58" s="846"/>
      <c r="N58" s="861"/>
      <c r="O58" s="861"/>
      <c r="P58" s="862"/>
      <c r="Q58" s="862"/>
      <c r="R58" s="863"/>
      <c r="S58" s="864"/>
      <c r="T58" s="860"/>
      <c r="U58" s="845"/>
      <c r="W58" s="906"/>
      <c r="X58" s="906"/>
      <c r="Y58" s="906"/>
      <c r="Z58" s="906"/>
      <c r="AA58" s="906"/>
      <c r="AB58" s="906"/>
      <c r="AC58" s="906"/>
      <c r="AD58" s="915" t="s">
        <v>615</v>
      </c>
      <c r="AE58" s="916">
        <f>SUM(AE8:AE57)</f>
        <v>175.13617939431299</v>
      </c>
    </row>
    <row r="59" spans="1:71" ht="19.5" customHeight="1" x14ac:dyDescent="0.2">
      <c r="A59" s="845"/>
      <c r="B59" s="845"/>
      <c r="C59" s="845"/>
      <c r="D59" s="845"/>
      <c r="E59" s="845"/>
      <c r="I59" s="507"/>
      <c r="J59" s="822"/>
      <c r="K59" s="870"/>
      <c r="L59" s="856"/>
      <c r="M59" s="857"/>
      <c r="N59" s="861"/>
      <c r="O59" s="861"/>
      <c r="P59" s="862"/>
      <c r="Q59" s="862"/>
      <c r="R59" s="863"/>
      <c r="S59" s="864"/>
      <c r="T59" s="860"/>
      <c r="U59" s="845"/>
      <c r="W59" s="906"/>
      <c r="X59" s="906"/>
      <c r="Y59" s="906"/>
      <c r="Z59" s="906"/>
      <c r="AA59" s="906"/>
      <c r="AB59" s="906"/>
      <c r="AC59" s="906"/>
      <c r="AD59" s="917">
        <v>33851</v>
      </c>
      <c r="AE59" s="918">
        <f>AE58*AD59</f>
        <v>5928534.8086768892</v>
      </c>
    </row>
    <row r="60" spans="1:71" ht="19.5" customHeight="1" x14ac:dyDescent="0.2">
      <c r="A60" s="845"/>
      <c r="B60" s="845"/>
      <c r="C60" s="845"/>
      <c r="D60" s="845"/>
      <c r="E60" s="845"/>
      <c r="I60" s="507"/>
      <c r="J60" s="822"/>
      <c r="K60" s="1376"/>
      <c r="L60" s="856"/>
      <c r="M60" s="857"/>
      <c r="N60" s="861"/>
      <c r="O60" s="861"/>
      <c r="P60" s="862"/>
      <c r="Q60" s="862"/>
      <c r="R60" s="863"/>
      <c r="S60" s="864"/>
      <c r="T60" s="860"/>
      <c r="U60" s="845"/>
    </row>
    <row r="61" spans="1:71" ht="19.5" customHeight="1" x14ac:dyDescent="0.2">
      <c r="A61" s="845"/>
      <c r="B61" s="845"/>
      <c r="C61" s="845"/>
      <c r="D61" s="845"/>
      <c r="E61" s="845"/>
      <c r="I61" s="507"/>
      <c r="J61" s="822"/>
      <c r="K61" s="1376"/>
      <c r="L61" s="856"/>
      <c r="M61" s="857"/>
      <c r="N61" s="861"/>
      <c r="O61" s="861"/>
      <c r="P61" s="862"/>
      <c r="Q61" s="862"/>
      <c r="R61" s="863"/>
      <c r="S61" s="864"/>
      <c r="T61" s="860"/>
      <c r="U61" s="845"/>
    </row>
    <row r="62" spans="1:71" ht="19.5" customHeight="1" x14ac:dyDescent="0.2">
      <c r="I62" s="507"/>
      <c r="J62" s="822"/>
      <c r="K62" s="1376"/>
      <c r="L62" s="856"/>
      <c r="M62" s="857"/>
      <c r="N62" s="861"/>
      <c r="O62" s="861"/>
      <c r="P62" s="862"/>
      <c r="Q62" s="862"/>
      <c r="R62" s="863"/>
      <c r="S62" s="864"/>
      <c r="T62" s="860"/>
      <c r="U62" s="845"/>
    </row>
    <row r="63" spans="1:71" ht="19.5" customHeight="1" x14ac:dyDescent="0.2">
      <c r="I63" s="507"/>
      <c r="J63" s="822"/>
      <c r="K63" s="1376"/>
      <c r="L63" s="856"/>
      <c r="M63" s="857"/>
      <c r="N63" s="861"/>
      <c r="O63" s="861"/>
      <c r="P63" s="862"/>
      <c r="Q63" s="862"/>
      <c r="R63" s="863"/>
      <c r="S63" s="864"/>
      <c r="T63" s="860"/>
      <c r="U63" s="845"/>
    </row>
    <row r="64" spans="1:71" ht="19.5" customHeight="1" x14ac:dyDescent="0.2">
      <c r="I64" s="507"/>
      <c r="J64" s="822"/>
      <c r="K64" s="1376"/>
      <c r="L64" s="856"/>
      <c r="M64" s="857"/>
      <c r="N64" s="861"/>
      <c r="O64" s="861"/>
      <c r="P64" s="862"/>
      <c r="Q64" s="862"/>
      <c r="R64" s="863"/>
      <c r="S64" s="864"/>
      <c r="T64" s="860"/>
      <c r="U64" s="845"/>
    </row>
    <row r="65" spans="10:21" x14ac:dyDescent="0.2">
      <c r="J65" s="823"/>
      <c r="K65" s="1376"/>
      <c r="L65" s="856"/>
      <c r="M65" s="857"/>
      <c r="N65" s="861"/>
      <c r="O65" s="861"/>
      <c r="P65" s="862"/>
      <c r="Q65" s="862"/>
      <c r="R65" s="863"/>
      <c r="S65" s="864"/>
      <c r="T65" s="860"/>
      <c r="U65" s="845"/>
    </row>
    <row r="66" spans="10:21" x14ac:dyDescent="0.2">
      <c r="J66" s="823"/>
      <c r="K66" s="1376"/>
      <c r="L66" s="856"/>
      <c r="M66" s="857"/>
      <c r="N66" s="861"/>
      <c r="O66" s="861"/>
      <c r="P66" s="862"/>
      <c r="Q66" s="862"/>
      <c r="R66" s="863"/>
      <c r="S66" s="864"/>
      <c r="T66" s="860"/>
      <c r="U66" s="845"/>
    </row>
    <row r="67" spans="10:21" x14ac:dyDescent="0.2">
      <c r="J67" s="823"/>
      <c r="K67" s="1376"/>
      <c r="L67" s="856"/>
      <c r="M67" s="857"/>
      <c r="N67" s="861"/>
      <c r="O67" s="861"/>
      <c r="P67" s="862"/>
      <c r="Q67" s="862"/>
      <c r="R67" s="863"/>
      <c r="S67" s="864"/>
      <c r="T67" s="860"/>
      <c r="U67" s="845"/>
    </row>
    <row r="68" spans="10:21" x14ac:dyDescent="0.2">
      <c r="K68" s="1376"/>
      <c r="L68" s="856"/>
      <c r="M68" s="857"/>
      <c r="N68" s="861"/>
      <c r="O68" s="861"/>
      <c r="P68" s="862"/>
      <c r="Q68" s="862"/>
      <c r="R68" s="863"/>
      <c r="S68" s="864"/>
      <c r="T68" s="860"/>
      <c r="U68" s="845"/>
    </row>
    <row r="69" spans="10:21" x14ac:dyDescent="0.2">
      <c r="K69" s="1376"/>
      <c r="L69" s="856"/>
      <c r="M69" s="857"/>
      <c r="N69" s="861"/>
      <c r="O69" s="861"/>
      <c r="P69" s="862"/>
      <c r="Q69" s="862"/>
      <c r="R69" s="863"/>
      <c r="S69" s="864"/>
      <c r="T69" s="860"/>
      <c r="U69" s="845"/>
    </row>
    <row r="70" spans="10:21" x14ac:dyDescent="0.2">
      <c r="K70" s="866"/>
      <c r="L70" s="866"/>
      <c r="M70" s="866"/>
      <c r="N70" s="866"/>
      <c r="O70" s="866"/>
      <c r="P70" s="866"/>
      <c r="Q70" s="866"/>
      <c r="R70" s="866"/>
      <c r="S70" s="861"/>
      <c r="T70" s="867"/>
      <c r="U70" s="845"/>
    </row>
    <row r="71" spans="10:21" x14ac:dyDescent="0.2">
      <c r="K71" s="866"/>
      <c r="L71" s="866"/>
      <c r="M71" s="866"/>
      <c r="N71" s="866"/>
      <c r="O71" s="866"/>
      <c r="P71" s="866"/>
      <c r="Q71" s="866"/>
      <c r="R71" s="866"/>
      <c r="S71" s="868"/>
      <c r="T71" s="869"/>
      <c r="U71" s="845"/>
    </row>
    <row r="72" spans="10:21" x14ac:dyDescent="0.2">
      <c r="K72" s="845"/>
      <c r="L72" s="845"/>
      <c r="M72" s="845"/>
      <c r="N72" s="845"/>
      <c r="O72" s="845"/>
      <c r="P72" s="845"/>
      <c r="Q72" s="845"/>
      <c r="R72" s="845"/>
      <c r="S72" s="845"/>
      <c r="T72" s="845"/>
      <c r="U72" s="845"/>
    </row>
    <row r="73" spans="10:21" x14ac:dyDescent="0.2">
      <c r="K73" s="845"/>
      <c r="L73" s="845"/>
      <c r="M73" s="845"/>
      <c r="N73" s="845"/>
      <c r="O73" s="845"/>
      <c r="P73" s="845"/>
      <c r="Q73" s="845"/>
      <c r="R73" s="845"/>
      <c r="S73" s="845"/>
      <c r="T73" s="845"/>
      <c r="U73" s="845"/>
    </row>
    <row r="74" spans="10:21" x14ac:dyDescent="0.2">
      <c r="K74" s="845"/>
      <c r="L74" s="845"/>
      <c r="M74" s="845"/>
      <c r="N74" s="845"/>
      <c r="O74" s="845"/>
      <c r="P74" s="845"/>
      <c r="Q74" s="845"/>
      <c r="R74" s="845"/>
      <c r="S74" s="845"/>
      <c r="T74" s="845"/>
      <c r="U74" s="845"/>
    </row>
    <row r="75" spans="10:21" x14ac:dyDescent="0.2">
      <c r="K75" s="845"/>
      <c r="L75" s="845"/>
      <c r="M75" s="845"/>
      <c r="N75" s="845"/>
      <c r="O75" s="845"/>
      <c r="P75" s="845"/>
      <c r="Q75" s="845"/>
      <c r="R75" s="845"/>
      <c r="S75" s="845"/>
      <c r="T75" s="845"/>
      <c r="U75" s="845"/>
    </row>
    <row r="76" spans="10:21" x14ac:dyDescent="0.2">
      <c r="K76" s="845"/>
      <c r="L76" s="845"/>
      <c r="M76" s="845"/>
      <c r="N76" s="845"/>
      <c r="O76" s="845"/>
      <c r="P76" s="845"/>
      <c r="Q76" s="845"/>
      <c r="R76" s="845"/>
      <c r="S76" s="845"/>
      <c r="T76" s="845"/>
      <c r="U76" s="845"/>
    </row>
    <row r="77" spans="10:21" x14ac:dyDescent="0.2">
      <c r="K77" s="845"/>
      <c r="L77" s="845"/>
      <c r="M77" s="845"/>
      <c r="N77" s="845"/>
      <c r="O77" s="845"/>
      <c r="P77" s="845"/>
      <c r="Q77" s="845"/>
      <c r="R77" s="845"/>
      <c r="S77" s="845"/>
      <c r="T77" s="845"/>
      <c r="U77" s="845"/>
    </row>
    <row r="78" spans="10:21" x14ac:dyDescent="0.2">
      <c r="K78" s="845"/>
      <c r="L78" s="845"/>
      <c r="M78" s="845"/>
      <c r="N78" s="845"/>
      <c r="O78" s="845"/>
      <c r="P78" s="845"/>
      <c r="Q78" s="845"/>
      <c r="R78" s="845"/>
      <c r="S78" s="845"/>
      <c r="T78" s="845"/>
      <c r="U78" s="845"/>
    </row>
    <row r="79" spans="10:21" x14ac:dyDescent="0.2">
      <c r="K79" s="845"/>
      <c r="L79" s="845"/>
      <c r="M79" s="845"/>
      <c r="N79" s="845"/>
      <c r="O79" s="845"/>
      <c r="P79" s="845"/>
      <c r="Q79" s="845"/>
      <c r="R79" s="845"/>
      <c r="S79" s="845"/>
      <c r="T79" s="845"/>
      <c r="U79" s="845"/>
    </row>
    <row r="80" spans="10:21" x14ac:dyDescent="0.2">
      <c r="K80" s="845"/>
      <c r="L80" s="845"/>
      <c r="M80" s="845"/>
      <c r="N80" s="845"/>
      <c r="O80" s="845"/>
      <c r="P80" s="845"/>
      <c r="Q80" s="845"/>
      <c r="R80" s="845"/>
      <c r="S80" s="845"/>
      <c r="T80" s="845"/>
      <c r="U80" s="845"/>
    </row>
    <row r="81" spans="11:21" x14ac:dyDescent="0.2">
      <c r="K81" s="845"/>
      <c r="L81" s="845"/>
      <c r="M81" s="845"/>
      <c r="N81" s="845"/>
      <c r="O81" s="845"/>
      <c r="P81" s="845"/>
      <c r="Q81" s="845"/>
      <c r="R81" s="845"/>
      <c r="S81" s="845"/>
      <c r="T81" s="845"/>
      <c r="U81" s="845"/>
    </row>
    <row r="82" spans="11:21" x14ac:dyDescent="0.2">
      <c r="K82" s="845"/>
      <c r="L82" s="845"/>
      <c r="M82" s="845"/>
      <c r="N82" s="845"/>
      <c r="O82" s="845"/>
      <c r="P82" s="845"/>
      <c r="Q82" s="845"/>
      <c r="R82" s="845"/>
      <c r="S82" s="845"/>
      <c r="T82" s="845"/>
      <c r="U82" s="845"/>
    </row>
    <row r="83" spans="11:21" x14ac:dyDescent="0.2">
      <c r="K83" s="845"/>
      <c r="L83" s="845"/>
      <c r="M83" s="845"/>
      <c r="N83" s="845"/>
      <c r="O83" s="845"/>
      <c r="P83" s="845"/>
      <c r="Q83" s="845"/>
      <c r="R83" s="845"/>
      <c r="S83" s="845"/>
      <c r="T83" s="845"/>
      <c r="U83" s="845"/>
    </row>
    <row r="84" spans="11:21" x14ac:dyDescent="0.2">
      <c r="K84" s="845"/>
      <c r="L84" s="845"/>
      <c r="M84" s="845"/>
      <c r="N84" s="845"/>
      <c r="O84" s="845"/>
      <c r="P84" s="845"/>
      <c r="Q84" s="845"/>
      <c r="R84" s="845"/>
      <c r="S84" s="845"/>
      <c r="T84" s="845"/>
      <c r="U84" s="845"/>
    </row>
    <row r="85" spans="11:21" x14ac:dyDescent="0.2">
      <c r="K85" s="845"/>
      <c r="L85" s="845"/>
      <c r="M85" s="845"/>
      <c r="N85" s="845"/>
      <c r="O85" s="845"/>
      <c r="P85" s="845"/>
      <c r="Q85" s="845"/>
      <c r="R85" s="845"/>
      <c r="S85" s="845"/>
      <c r="T85" s="845"/>
      <c r="U85" s="845"/>
    </row>
    <row r="86" spans="11:21" x14ac:dyDescent="0.2">
      <c r="K86" s="845"/>
      <c r="L86" s="845"/>
      <c r="M86" s="845"/>
      <c r="N86" s="845"/>
      <c r="O86" s="845"/>
      <c r="P86" s="845"/>
      <c r="Q86" s="845"/>
      <c r="R86" s="845"/>
      <c r="S86" s="845"/>
      <c r="T86" s="845"/>
      <c r="U86" s="845"/>
    </row>
    <row r="87" spans="11:21" x14ac:dyDescent="0.2">
      <c r="K87" s="845"/>
      <c r="L87" s="845"/>
      <c r="M87" s="845"/>
      <c r="N87" s="845"/>
      <c r="O87" s="845"/>
      <c r="P87" s="845"/>
      <c r="Q87" s="845"/>
      <c r="R87" s="845"/>
      <c r="S87" s="845"/>
      <c r="T87" s="845"/>
      <c r="U87" s="845"/>
    </row>
    <row r="88" spans="11:21" x14ac:dyDescent="0.2">
      <c r="K88" s="845"/>
      <c r="L88" s="845"/>
      <c r="M88" s="845"/>
      <c r="N88" s="845"/>
      <c r="O88" s="845"/>
      <c r="P88" s="845"/>
      <c r="Q88" s="845"/>
      <c r="R88" s="845"/>
      <c r="S88" s="845"/>
      <c r="T88" s="845"/>
      <c r="U88" s="845"/>
    </row>
    <row r="89" spans="11:21" x14ac:dyDescent="0.2">
      <c r="K89" s="845"/>
      <c r="L89" s="845"/>
      <c r="M89" s="845"/>
      <c r="N89" s="845"/>
      <c r="O89" s="845"/>
      <c r="P89" s="845"/>
      <c r="Q89" s="845"/>
      <c r="R89" s="845"/>
      <c r="S89" s="845"/>
      <c r="T89" s="845"/>
      <c r="U89" s="845"/>
    </row>
    <row r="90" spans="11:21" x14ac:dyDescent="0.2">
      <c r="K90" s="845"/>
      <c r="L90" s="845"/>
      <c r="M90" s="845"/>
      <c r="N90" s="845"/>
      <c r="O90" s="845"/>
      <c r="P90" s="845"/>
      <c r="Q90" s="845"/>
      <c r="R90" s="845"/>
      <c r="S90" s="845"/>
      <c r="T90" s="845"/>
      <c r="U90" s="845"/>
    </row>
    <row r="91" spans="11:21" x14ac:dyDescent="0.2">
      <c r="K91" s="845"/>
      <c r="L91" s="845"/>
      <c r="M91" s="845"/>
      <c r="N91" s="845"/>
      <c r="O91" s="845"/>
      <c r="P91" s="845"/>
      <c r="Q91" s="845"/>
      <c r="R91" s="845"/>
      <c r="S91" s="845"/>
      <c r="T91" s="845"/>
      <c r="U91" s="845"/>
    </row>
    <row r="92" spans="11:21" x14ac:dyDescent="0.2">
      <c r="K92" s="845"/>
      <c r="L92" s="845"/>
      <c r="M92" s="845"/>
      <c r="N92" s="845"/>
      <c r="O92" s="845"/>
      <c r="P92" s="845"/>
      <c r="Q92" s="845"/>
      <c r="R92" s="845"/>
      <c r="S92" s="845"/>
      <c r="T92" s="845"/>
      <c r="U92" s="845"/>
    </row>
    <row r="93" spans="11:21" x14ac:dyDescent="0.2">
      <c r="K93" s="845"/>
      <c r="L93" s="845"/>
      <c r="M93" s="845"/>
      <c r="S93" s="855"/>
      <c r="T93" s="855"/>
    </row>
    <row r="94" spans="11:21" x14ac:dyDescent="0.2">
      <c r="K94" s="845"/>
      <c r="L94" s="845"/>
      <c r="M94" s="845"/>
      <c r="S94" s="858"/>
      <c r="T94" s="859"/>
    </row>
    <row r="95" spans="11:21" x14ac:dyDescent="0.2">
      <c r="K95" s="845"/>
      <c r="L95" s="845"/>
      <c r="M95" s="845"/>
      <c r="S95" s="863"/>
      <c r="T95" s="864"/>
    </row>
    <row r="96" spans="11:21" x14ac:dyDescent="0.2">
      <c r="K96" s="845"/>
      <c r="L96" s="845"/>
      <c r="M96" s="845"/>
      <c r="S96" s="863"/>
      <c r="T96" s="864"/>
    </row>
    <row r="97" spans="1:42" ht="12.75" customHeight="1" x14ac:dyDescent="0.2">
      <c r="A97" s="730"/>
      <c r="B97" s="730"/>
      <c r="C97" s="730"/>
      <c r="D97" s="730"/>
      <c r="E97" s="730"/>
      <c r="F97" s="730"/>
      <c r="G97" s="730"/>
      <c r="H97" s="730"/>
      <c r="I97" s="730"/>
      <c r="J97" s="730"/>
      <c r="K97" s="876"/>
      <c r="L97" s="876"/>
      <c r="M97" s="876"/>
      <c r="N97" s="730"/>
      <c r="O97" s="730"/>
      <c r="P97" s="730"/>
      <c r="Q97" s="528"/>
      <c r="R97" s="528"/>
      <c r="S97" s="863"/>
      <c r="T97" s="864"/>
      <c r="U97" s="528"/>
      <c r="V97" s="528"/>
      <c r="W97" s="528"/>
      <c r="X97" s="528"/>
      <c r="Y97" s="528"/>
      <c r="Z97" s="528"/>
      <c r="AA97" s="528"/>
    </row>
    <row r="98" spans="1:42" x14ac:dyDescent="0.2">
      <c r="A98" s="730"/>
      <c r="B98" s="730"/>
      <c r="C98" s="730"/>
      <c r="D98" s="730"/>
      <c r="E98" s="730"/>
      <c r="F98" s="730"/>
      <c r="G98" s="730"/>
      <c r="H98" s="730"/>
      <c r="I98" s="730"/>
      <c r="J98" s="730"/>
      <c r="K98" s="876"/>
      <c r="L98" s="876"/>
      <c r="M98" s="876"/>
      <c r="N98" s="730"/>
      <c r="O98" s="730"/>
      <c r="P98" s="730"/>
      <c r="Q98" s="528"/>
      <c r="R98" s="528"/>
      <c r="S98" s="863"/>
      <c r="T98" s="864"/>
      <c r="U98" s="528"/>
      <c r="V98" s="528"/>
      <c r="W98" s="528"/>
      <c r="X98" s="528"/>
      <c r="Y98" s="528"/>
      <c r="Z98" s="528"/>
      <c r="AA98" s="528"/>
    </row>
    <row r="99" spans="1:42" x14ac:dyDescent="0.2">
      <c r="A99" s="730"/>
      <c r="B99" s="730"/>
      <c r="C99" s="730"/>
      <c r="D99" s="730"/>
      <c r="E99" s="730"/>
      <c r="F99" s="730"/>
      <c r="G99" s="730"/>
      <c r="H99" s="730"/>
      <c r="I99" s="730"/>
      <c r="J99" s="730"/>
      <c r="K99" s="876"/>
      <c r="L99" s="876"/>
      <c r="M99" s="876"/>
      <c r="N99" s="730"/>
      <c r="O99" s="730"/>
      <c r="P99" s="730"/>
      <c r="Q99" s="528"/>
      <c r="R99" s="528"/>
      <c r="S99" s="863"/>
      <c r="T99" s="864"/>
      <c r="U99" s="528"/>
      <c r="V99" s="528"/>
      <c r="W99" s="528"/>
      <c r="X99" s="528"/>
      <c r="Y99" s="528"/>
      <c r="Z99" s="528"/>
      <c r="AA99" s="528"/>
    </row>
    <row r="100" spans="1:42" ht="15.75" x14ac:dyDescent="0.25">
      <c r="A100" s="528"/>
      <c r="B100" s="528"/>
      <c r="C100" s="1368"/>
      <c r="D100" s="1368"/>
      <c r="E100" s="1368"/>
      <c r="F100" s="1368"/>
      <c r="G100" s="1368"/>
      <c r="H100" s="1368"/>
      <c r="I100" s="1368"/>
      <c r="J100" s="1368"/>
      <c r="K100" s="845"/>
      <c r="L100" s="845"/>
      <c r="M100" s="845"/>
      <c r="N100" s="528"/>
      <c r="O100" s="528"/>
      <c r="P100" s="528"/>
      <c r="Q100" s="528"/>
      <c r="R100" s="528"/>
      <c r="S100" s="528"/>
      <c r="T100" s="528"/>
      <c r="U100" s="528"/>
      <c r="V100" s="528"/>
      <c r="W100" s="528"/>
      <c r="X100" s="528"/>
      <c r="Y100" s="528"/>
      <c r="Z100" s="528"/>
      <c r="AA100" s="528"/>
    </row>
    <row r="101" spans="1:42" ht="15.75" x14ac:dyDescent="0.25">
      <c r="A101" s="731"/>
      <c r="B101" s="731"/>
      <c r="C101" s="528"/>
      <c r="D101" s="528"/>
      <c r="E101" s="528"/>
      <c r="F101" s="528"/>
      <c r="G101" s="528"/>
      <c r="H101" s="528"/>
      <c r="I101" s="528"/>
      <c r="J101" s="528"/>
      <c r="K101" s="845"/>
      <c r="L101" s="877"/>
      <c r="M101" s="877"/>
      <c r="N101" s="528"/>
      <c r="O101" s="528"/>
      <c r="P101" s="528"/>
      <c r="Q101" s="528"/>
      <c r="R101" s="528"/>
      <c r="S101" s="528"/>
      <c r="T101" s="528"/>
      <c r="U101" s="528"/>
      <c r="V101" s="528"/>
      <c r="W101" s="528"/>
      <c r="X101" s="528"/>
      <c r="Y101" s="528"/>
      <c r="Z101" s="528"/>
      <c r="AA101" s="528"/>
    </row>
    <row r="102" spans="1:42" x14ac:dyDescent="0.2">
      <c r="A102" s="528"/>
      <c r="B102" s="528"/>
      <c r="C102" s="528"/>
      <c r="D102" s="528"/>
      <c r="E102" s="528"/>
      <c r="F102" s="528"/>
      <c r="G102" s="528"/>
      <c r="H102" s="528"/>
      <c r="I102" s="528"/>
      <c r="J102" s="528"/>
      <c r="K102" s="845"/>
      <c r="L102" s="845"/>
      <c r="M102" s="845"/>
      <c r="N102" s="528"/>
      <c r="O102" s="528"/>
      <c r="P102" s="528"/>
      <c r="Q102" s="528"/>
      <c r="R102" s="528"/>
      <c r="S102" s="528"/>
      <c r="T102" s="528"/>
      <c r="U102" s="528"/>
      <c r="V102" s="528"/>
      <c r="W102" s="528"/>
      <c r="X102" s="528"/>
      <c r="Y102" s="528"/>
      <c r="Z102" s="528"/>
      <c r="AA102" s="528"/>
      <c r="AB102" s="508"/>
      <c r="AC102" s="1026"/>
      <c r="AD102" s="1026"/>
      <c r="AE102" s="1026"/>
      <c r="AF102" s="508"/>
      <c r="AG102" s="508"/>
      <c r="AH102" s="508"/>
      <c r="AI102" s="508"/>
      <c r="AJ102" s="508"/>
      <c r="AK102" s="508"/>
      <c r="AL102" s="508"/>
      <c r="AM102" s="508"/>
      <c r="AN102" s="508"/>
      <c r="AO102" s="508"/>
      <c r="AP102" s="508"/>
    </row>
    <row r="103" spans="1:42" x14ac:dyDescent="0.2">
      <c r="A103" s="528"/>
      <c r="B103" s="529"/>
      <c r="C103" s="529"/>
      <c r="D103" s="529"/>
      <c r="E103" s="531"/>
      <c r="F103" s="531"/>
      <c r="G103" s="532"/>
      <c r="H103" s="532"/>
      <c r="I103" s="532"/>
      <c r="J103" s="531"/>
      <c r="K103" s="845"/>
      <c r="L103" s="878"/>
      <c r="M103" s="879"/>
      <c r="N103" s="529"/>
      <c r="O103" s="529"/>
      <c r="P103" s="531"/>
      <c r="Q103" s="531"/>
      <c r="R103" s="532"/>
      <c r="S103" s="532"/>
      <c r="T103" s="531"/>
      <c r="U103" s="528"/>
      <c r="V103" s="528"/>
      <c r="W103" s="732"/>
      <c r="X103" s="528"/>
      <c r="Y103" s="528"/>
      <c r="Z103" s="528"/>
      <c r="AA103" s="528"/>
      <c r="AB103" s="508"/>
      <c r="AC103" s="508"/>
      <c r="AD103" s="508"/>
      <c r="AE103" s="508"/>
      <c r="AF103" s="508"/>
      <c r="AG103" s="508"/>
      <c r="AH103" s="508"/>
      <c r="AI103" s="508"/>
      <c r="AJ103" s="508"/>
      <c r="AK103" s="508"/>
      <c r="AL103" s="508"/>
      <c r="AM103" s="508"/>
      <c r="AN103" s="508"/>
      <c r="AO103" s="508"/>
      <c r="AP103" s="508"/>
    </row>
    <row r="104" spans="1:42" ht="30" customHeight="1" x14ac:dyDescent="0.2">
      <c r="A104" s="528"/>
      <c r="B104" s="1365"/>
      <c r="C104" s="820"/>
      <c r="D104" s="733"/>
      <c r="E104" s="733"/>
      <c r="F104" s="734"/>
      <c r="G104" s="735"/>
      <c r="H104" s="735"/>
      <c r="I104" s="736"/>
      <c r="J104" s="537"/>
      <c r="K104" s="845"/>
      <c r="L104" s="1376"/>
      <c r="M104" s="856"/>
      <c r="N104" s="533"/>
      <c r="O104" s="733"/>
      <c r="P104" s="733"/>
      <c r="Q104" s="734"/>
      <c r="R104" s="735"/>
      <c r="S104" s="822"/>
      <c r="T104" s="845"/>
      <c r="U104" s="845"/>
      <c r="V104" s="845"/>
      <c r="W104" s="845"/>
      <c r="X104" s="1370"/>
      <c r="Y104" s="1370"/>
      <c r="Z104" s="1370"/>
      <c r="AA104" s="1370"/>
      <c r="AB104" s="508"/>
      <c r="AC104" s="508"/>
      <c r="AD104" s="508"/>
      <c r="AE104" s="508"/>
      <c r="AF104" s="508"/>
      <c r="AG104" s="508"/>
      <c r="AH104" s="508"/>
      <c r="AI104" s="508"/>
      <c r="AJ104" s="508"/>
      <c r="AK104" s="508"/>
      <c r="AL104" s="508"/>
      <c r="AM104" s="508"/>
      <c r="AN104" s="508"/>
      <c r="AO104" s="508"/>
      <c r="AP104" s="508"/>
    </row>
    <row r="105" spans="1:42" ht="9.6" customHeight="1" x14ac:dyDescent="0.2">
      <c r="A105" s="528"/>
      <c r="B105" s="1365"/>
      <c r="C105" s="533"/>
      <c r="D105" s="534"/>
      <c r="E105" s="534"/>
      <c r="F105" s="535"/>
      <c r="G105" s="536"/>
      <c r="H105" s="536"/>
      <c r="I105" s="539"/>
      <c r="J105" s="537"/>
      <c r="K105" s="845"/>
      <c r="L105" s="1376"/>
      <c r="M105" s="1377"/>
      <c r="N105" s="533"/>
      <c r="O105" s="534"/>
      <c r="P105" s="534"/>
      <c r="Q105" s="535"/>
      <c r="R105" s="536"/>
      <c r="S105" s="964"/>
      <c r="T105" s="965"/>
      <c r="U105" s="966"/>
      <c r="V105" s="965"/>
      <c r="W105" s="845"/>
      <c r="X105" s="1370"/>
      <c r="Y105" s="1370"/>
      <c r="Z105" s="1370"/>
      <c r="AA105" s="1370"/>
      <c r="AB105" s="508"/>
      <c r="AC105" s="508"/>
      <c r="AD105" s="508"/>
      <c r="AE105" s="508"/>
      <c r="AF105" s="508"/>
      <c r="AG105" s="508"/>
      <c r="AH105" s="508"/>
      <c r="AI105" s="508"/>
      <c r="AJ105" s="508"/>
      <c r="AK105" s="508"/>
      <c r="AL105" s="508"/>
      <c r="AM105" s="508"/>
      <c r="AN105" s="508"/>
      <c r="AO105" s="508"/>
      <c r="AP105" s="508"/>
    </row>
    <row r="106" spans="1:42" ht="18.75" x14ac:dyDescent="0.2">
      <c r="A106" s="528"/>
      <c r="B106" s="1365"/>
      <c r="C106" s="533"/>
      <c r="D106" s="534"/>
      <c r="E106" s="821"/>
      <c r="F106" s="535"/>
      <c r="G106" s="536"/>
      <c r="H106" s="536"/>
      <c r="I106" s="539"/>
      <c r="J106" s="537"/>
      <c r="K106" s="845"/>
      <c r="L106" s="1376"/>
      <c r="M106" s="1377"/>
      <c r="N106" s="533"/>
      <c r="O106" s="534"/>
      <c r="P106" s="534"/>
      <c r="Q106" s="535"/>
      <c r="R106" s="536"/>
      <c r="S106" s="967"/>
      <c r="T106" s="968"/>
      <c r="U106" s="871"/>
      <c r="V106" s="853"/>
      <c r="W106" s="854"/>
      <c r="X106" s="1370"/>
      <c r="Y106" s="1370"/>
      <c r="Z106" s="1370"/>
      <c r="AA106" s="1370"/>
      <c r="AB106" s="508"/>
      <c r="AC106" s="508"/>
      <c r="AD106" s="508"/>
      <c r="AE106" s="508"/>
      <c r="AF106" s="508"/>
      <c r="AG106" s="508"/>
      <c r="AH106" s="508"/>
      <c r="AI106" s="508"/>
      <c r="AJ106" s="508"/>
      <c r="AK106" s="508"/>
      <c r="AL106" s="508"/>
      <c r="AM106" s="508"/>
      <c r="AN106" s="508"/>
      <c r="AO106" s="508"/>
      <c r="AP106" s="508"/>
    </row>
    <row r="107" spans="1:42" ht="15" x14ac:dyDescent="0.2">
      <c r="A107" s="528"/>
      <c r="B107" s="1365"/>
      <c r="C107" s="533"/>
      <c r="D107" s="534"/>
      <c r="E107" s="821"/>
      <c r="F107" s="535"/>
      <c r="G107" s="536"/>
      <c r="H107" s="536"/>
      <c r="I107" s="539"/>
      <c r="J107" s="537"/>
      <c r="K107" s="845"/>
      <c r="L107" s="1376"/>
      <c r="M107" s="1377"/>
      <c r="N107" s="533"/>
      <c r="O107" s="534"/>
      <c r="P107" s="534"/>
      <c r="Q107" s="535"/>
      <c r="R107" s="536"/>
      <c r="S107" s="539"/>
      <c r="T107" s="537"/>
      <c r="U107" s="528"/>
      <c r="V107" s="528"/>
      <c r="W107" s="738"/>
      <c r="X107" s="894"/>
      <c r="Y107" s="894"/>
      <c r="Z107" s="894"/>
      <c r="AA107" s="894"/>
      <c r="AB107" s="508"/>
      <c r="AC107" s="508"/>
      <c r="AD107" s="508"/>
      <c r="AE107" s="508"/>
      <c r="AF107" s="508"/>
      <c r="AG107" s="508"/>
      <c r="AH107" s="508"/>
      <c r="AI107" s="508"/>
      <c r="AJ107" s="508"/>
      <c r="AK107" s="508"/>
      <c r="AL107" s="508"/>
      <c r="AM107" s="508"/>
      <c r="AN107" s="508"/>
      <c r="AO107" s="508"/>
      <c r="AP107" s="508"/>
    </row>
    <row r="108" spans="1:42" ht="30" customHeight="1" x14ac:dyDescent="0.2">
      <c r="A108" s="528"/>
      <c r="B108" s="1365"/>
      <c r="C108" s="533"/>
      <c r="D108" s="534"/>
      <c r="E108" s="534"/>
      <c r="F108" s="535"/>
      <c r="G108" s="536"/>
      <c r="H108" s="536"/>
      <c r="I108" s="539"/>
      <c r="J108" s="537"/>
      <c r="K108" s="845"/>
      <c r="L108" s="1376"/>
      <c r="M108" s="1377"/>
      <c r="N108" s="533"/>
      <c r="O108" s="534"/>
      <c r="P108" s="534"/>
      <c r="Q108" s="535"/>
      <c r="R108" s="536"/>
      <c r="T108" s="537"/>
      <c r="U108" s="528"/>
      <c r="V108" s="528"/>
      <c r="W108" s="739"/>
      <c r="X108" s="1371"/>
      <c r="Y108" s="739"/>
      <c r="Z108" s="1371"/>
      <c r="AA108" s="1371"/>
      <c r="AB108" s="508"/>
      <c r="AC108" s="508"/>
      <c r="AD108" s="508"/>
      <c r="AE108" s="508"/>
      <c r="AF108" s="508"/>
      <c r="AG108" s="508"/>
      <c r="AH108" s="508"/>
      <c r="AI108" s="508"/>
      <c r="AJ108" s="508"/>
      <c r="AK108" s="508"/>
      <c r="AL108" s="508"/>
      <c r="AM108" s="508"/>
      <c r="AN108" s="508"/>
      <c r="AO108" s="508"/>
      <c r="AP108" s="508"/>
    </row>
    <row r="109" spans="1:42" ht="45.75" customHeight="1" x14ac:dyDescent="0.2">
      <c r="A109" s="528"/>
      <c r="B109" s="1365"/>
      <c r="C109" s="533"/>
      <c r="D109" s="534"/>
      <c r="E109" s="821"/>
      <c r="F109" s="535"/>
      <c r="G109" s="536"/>
      <c r="H109" s="536"/>
      <c r="I109" s="539"/>
      <c r="J109" s="537"/>
      <c r="K109" s="845"/>
      <c r="L109" s="1376"/>
      <c r="M109" s="1377"/>
      <c r="N109" s="533"/>
      <c r="O109" s="534"/>
      <c r="P109" s="534"/>
      <c r="Q109" s="535"/>
      <c r="R109" s="536"/>
      <c r="S109" s="539"/>
      <c r="T109" s="537"/>
      <c r="U109" s="528"/>
      <c r="V109" s="528"/>
      <c r="W109" s="739"/>
      <c r="X109" s="1371"/>
      <c r="Y109" s="740"/>
      <c r="Z109" s="1371"/>
      <c r="AA109" s="1371"/>
      <c r="AB109" s="508"/>
      <c r="AC109" s="508"/>
      <c r="AD109" s="508"/>
      <c r="AE109" s="508"/>
      <c r="AF109" s="508"/>
      <c r="AG109" s="508"/>
      <c r="AH109" s="508"/>
      <c r="AI109" s="508"/>
      <c r="AJ109" s="508"/>
      <c r="AK109" s="508"/>
      <c r="AL109" s="508"/>
      <c r="AM109" s="508"/>
      <c r="AN109" s="508"/>
      <c r="AO109" s="508"/>
      <c r="AP109" s="508"/>
    </row>
    <row r="110" spans="1:42" ht="33.75" customHeight="1" x14ac:dyDescent="0.2">
      <c r="A110" s="528"/>
      <c r="B110" s="1365"/>
      <c r="C110" s="533"/>
      <c r="D110" s="534"/>
      <c r="E110" s="534"/>
      <c r="F110" s="535"/>
      <c r="G110" s="536"/>
      <c r="H110" s="536"/>
      <c r="I110" s="539"/>
      <c r="J110" s="537"/>
      <c r="K110" s="845"/>
      <c r="L110" s="1376"/>
      <c r="M110" s="1377"/>
      <c r="N110" s="533"/>
      <c r="O110" s="534"/>
      <c r="P110" s="534"/>
      <c r="Q110" s="535"/>
      <c r="R110" s="536"/>
      <c r="S110" s="539"/>
      <c r="T110" s="537"/>
      <c r="U110" s="528"/>
      <c r="V110" s="528"/>
      <c r="W110" s="1369"/>
      <c r="X110" s="1367"/>
      <c r="Y110" s="1367"/>
      <c r="Z110" s="740"/>
      <c r="AA110" s="1367"/>
      <c r="AB110" s="508"/>
      <c r="AC110" s="508"/>
      <c r="AD110" s="508"/>
      <c r="AE110" s="508"/>
      <c r="AF110" s="508"/>
      <c r="AG110" s="508"/>
      <c r="AH110" s="508"/>
      <c r="AI110" s="508"/>
      <c r="AJ110" s="508"/>
      <c r="AK110" s="508"/>
      <c r="AL110" s="508"/>
      <c r="AM110" s="508"/>
      <c r="AN110" s="508"/>
      <c r="AO110" s="508"/>
      <c r="AP110" s="508"/>
    </row>
    <row r="111" spans="1:42" ht="15" x14ac:dyDescent="0.2">
      <c r="A111" s="528"/>
      <c r="B111" s="1365"/>
      <c r="C111" s="533"/>
      <c r="D111" s="534"/>
      <c r="E111" s="534"/>
      <c r="F111" s="535"/>
      <c r="G111" s="536"/>
      <c r="H111" s="536"/>
      <c r="I111" s="539"/>
      <c r="J111" s="537"/>
      <c r="K111" s="845"/>
      <c r="L111" s="1376"/>
      <c r="M111" s="856"/>
      <c r="N111" s="533"/>
      <c r="O111" s="534"/>
      <c r="P111" s="534"/>
      <c r="Q111" s="535"/>
      <c r="R111" s="536"/>
      <c r="S111" s="539"/>
      <c r="T111" s="537"/>
      <c r="U111" s="528"/>
      <c r="V111" s="528"/>
      <c r="W111" s="1369"/>
      <c r="X111" s="1367"/>
      <c r="Y111" s="1367"/>
      <c r="Z111" s="740"/>
      <c r="AA111" s="1367"/>
      <c r="AB111" s="508"/>
      <c r="AC111" s="508"/>
      <c r="AD111" s="508"/>
      <c r="AE111" s="508"/>
      <c r="AF111" s="508"/>
      <c r="AG111" s="508"/>
      <c r="AH111" s="508"/>
      <c r="AI111" s="508"/>
      <c r="AJ111" s="508"/>
      <c r="AK111" s="508"/>
      <c r="AL111" s="508"/>
      <c r="AM111" s="508"/>
      <c r="AN111" s="508"/>
      <c r="AO111" s="508"/>
      <c r="AP111" s="508"/>
    </row>
    <row r="112" spans="1:42" ht="33.75" customHeight="1" x14ac:dyDescent="0.2">
      <c r="A112" s="528"/>
      <c r="B112" s="1365"/>
      <c r="C112" s="533"/>
      <c r="D112" s="538"/>
      <c r="E112" s="534"/>
      <c r="F112" s="535"/>
      <c r="G112" s="536"/>
      <c r="H112" s="536"/>
      <c r="I112" s="539"/>
      <c r="J112" s="537"/>
      <c r="K112" s="528"/>
      <c r="L112" s="1365"/>
      <c r="M112" s="1366"/>
      <c r="N112" s="533"/>
      <c r="O112" s="538"/>
      <c r="P112" s="534"/>
      <c r="Q112" s="535"/>
      <c r="R112" s="536"/>
      <c r="S112" s="539"/>
      <c r="T112" s="537"/>
      <c r="U112" s="528"/>
      <c r="V112" s="528"/>
      <c r="W112" s="1369"/>
      <c r="X112" s="1367"/>
      <c r="Y112" s="1367"/>
      <c r="Z112" s="740"/>
      <c r="AA112" s="1367"/>
      <c r="AB112" s="508"/>
      <c r="AC112" s="508"/>
      <c r="AD112" s="508"/>
      <c r="AE112" s="508"/>
      <c r="AF112" s="508"/>
      <c r="AG112" s="508"/>
      <c r="AH112" s="508"/>
      <c r="AI112" s="508"/>
      <c r="AJ112" s="508"/>
      <c r="AK112" s="508"/>
      <c r="AL112" s="508"/>
      <c r="AM112" s="508"/>
      <c r="AN112" s="508"/>
      <c r="AO112" s="508"/>
      <c r="AP112" s="508"/>
    </row>
    <row r="113" spans="1:42" ht="15" x14ac:dyDescent="0.2">
      <c r="A113" s="528"/>
      <c r="B113" s="1365"/>
      <c r="C113" s="533"/>
      <c r="D113" s="538"/>
      <c r="E113" s="534"/>
      <c r="F113" s="535"/>
      <c r="G113" s="536"/>
      <c r="H113" s="536"/>
      <c r="I113" s="539"/>
      <c r="J113" s="537"/>
      <c r="K113" s="528"/>
      <c r="L113" s="1365"/>
      <c r="M113" s="1366"/>
      <c r="N113" s="533"/>
      <c r="O113" s="538"/>
      <c r="P113" s="534"/>
      <c r="Q113" s="535"/>
      <c r="R113" s="536"/>
      <c r="S113" s="539"/>
      <c r="T113" s="537"/>
      <c r="U113" s="528"/>
      <c r="V113" s="528"/>
      <c r="W113" s="1369"/>
      <c r="X113" s="1367"/>
      <c r="Y113" s="1367"/>
      <c r="Z113" s="740"/>
      <c r="AA113" s="1367"/>
      <c r="AB113" s="508"/>
      <c r="AC113" s="508"/>
      <c r="AD113" s="508"/>
      <c r="AE113" s="508"/>
      <c r="AF113" s="508"/>
      <c r="AG113" s="508"/>
      <c r="AH113" s="508"/>
      <c r="AI113" s="508"/>
      <c r="AJ113" s="508"/>
      <c r="AK113" s="508"/>
      <c r="AL113" s="508"/>
      <c r="AM113" s="508"/>
      <c r="AN113" s="508"/>
      <c r="AO113" s="508"/>
      <c r="AP113" s="508"/>
    </row>
    <row r="114" spans="1:42" x14ac:dyDescent="0.2">
      <c r="A114" s="528"/>
      <c r="B114" s="1365"/>
      <c r="C114" s="533"/>
      <c r="D114" s="538"/>
      <c r="E114" s="534"/>
      <c r="F114" s="535"/>
      <c r="G114" s="536"/>
      <c r="H114" s="536"/>
      <c r="I114" s="539"/>
      <c r="J114" s="537"/>
      <c r="K114" s="528"/>
      <c r="L114" s="1365"/>
      <c r="M114" s="1366"/>
      <c r="N114" s="533"/>
      <c r="O114" s="538"/>
      <c r="P114" s="534"/>
      <c r="Q114" s="535"/>
      <c r="R114" s="536"/>
      <c r="S114" s="539"/>
      <c r="T114" s="537"/>
      <c r="U114" s="528"/>
      <c r="V114" s="528"/>
      <c r="W114" s="741"/>
      <c r="X114" s="528"/>
      <c r="Y114" s="528"/>
      <c r="Z114" s="528"/>
      <c r="AA114" s="528"/>
      <c r="AB114" s="508"/>
      <c r="AC114" s="508"/>
      <c r="AD114" s="508"/>
      <c r="AE114" s="508"/>
      <c r="AF114" s="508"/>
      <c r="AG114" s="508"/>
      <c r="AH114" s="508"/>
      <c r="AI114" s="508"/>
      <c r="AJ114" s="508"/>
      <c r="AK114" s="508"/>
      <c r="AL114" s="508"/>
      <c r="AM114" s="508"/>
      <c r="AN114" s="508"/>
      <c r="AO114" s="508"/>
      <c r="AP114" s="508"/>
    </row>
    <row r="115" spans="1:42" ht="23.25" customHeight="1" x14ac:dyDescent="0.2">
      <c r="A115" s="528"/>
      <c r="B115" s="1365"/>
      <c r="C115" s="533"/>
      <c r="D115" s="538"/>
      <c r="E115" s="534"/>
      <c r="F115" s="535"/>
      <c r="G115" s="536"/>
      <c r="H115" s="536"/>
      <c r="I115" s="539"/>
      <c r="J115" s="537"/>
      <c r="K115" s="528"/>
      <c r="L115" s="1365"/>
      <c r="M115" s="1366"/>
      <c r="N115" s="533"/>
      <c r="O115" s="534"/>
      <c r="P115" s="534"/>
      <c r="Q115" s="535"/>
      <c r="R115" s="536"/>
      <c r="S115" s="539"/>
      <c r="T115" s="537"/>
      <c r="U115" s="742"/>
      <c r="V115" s="528"/>
      <c r="W115" s="741"/>
      <c r="X115" s="528"/>
      <c r="Y115" s="528"/>
      <c r="Z115" s="528"/>
      <c r="AA115" s="528"/>
      <c r="AB115" s="508"/>
      <c r="AC115" s="508"/>
      <c r="AD115" s="508"/>
      <c r="AE115" s="508"/>
      <c r="AF115" s="508"/>
      <c r="AG115" s="508"/>
      <c r="AH115" s="508"/>
      <c r="AI115" s="508"/>
      <c r="AJ115" s="508"/>
      <c r="AK115" s="508"/>
      <c r="AL115" s="508"/>
      <c r="AM115" s="508"/>
      <c r="AN115" s="508"/>
      <c r="AO115" s="508"/>
      <c r="AP115" s="508"/>
    </row>
    <row r="116" spans="1:42" ht="22.5" customHeight="1" x14ac:dyDescent="0.2">
      <c r="A116" s="528"/>
      <c r="B116" s="1365"/>
      <c r="C116" s="533"/>
      <c r="D116" s="538"/>
      <c r="E116" s="534"/>
      <c r="F116" s="535"/>
      <c r="G116" s="536"/>
      <c r="H116" s="536"/>
      <c r="I116" s="539"/>
      <c r="J116" s="537"/>
      <c r="K116" s="528"/>
      <c r="L116" s="1365"/>
      <c r="M116" s="1366"/>
      <c r="N116" s="533"/>
      <c r="O116" s="534"/>
      <c r="P116" s="534"/>
      <c r="Q116" s="535"/>
      <c r="R116" s="536"/>
      <c r="S116" s="539"/>
      <c r="T116" s="537"/>
      <c r="U116" s="743"/>
      <c r="V116" s="528"/>
      <c r="W116" s="744"/>
      <c r="X116" s="1370"/>
      <c r="Y116" s="1370"/>
      <c r="Z116" s="1370"/>
      <c r="AA116" s="1370"/>
      <c r="AB116" s="508"/>
      <c r="AC116" s="508"/>
      <c r="AD116" s="508"/>
      <c r="AE116" s="508"/>
      <c r="AF116" s="508"/>
      <c r="AG116" s="508"/>
      <c r="AH116" s="508"/>
      <c r="AI116" s="508"/>
      <c r="AJ116" s="508"/>
      <c r="AK116" s="508"/>
      <c r="AL116" s="508"/>
      <c r="AM116" s="508"/>
      <c r="AN116" s="508"/>
      <c r="AO116" s="508"/>
      <c r="AP116" s="508"/>
    </row>
    <row r="117" spans="1:42" ht="22.5" customHeight="1" x14ac:dyDescent="0.2">
      <c r="A117" s="528"/>
      <c r="B117" s="1365"/>
      <c r="C117" s="533"/>
      <c r="D117" s="534"/>
      <c r="E117" s="534"/>
      <c r="F117" s="535"/>
      <c r="G117" s="536"/>
      <c r="H117" s="536"/>
      <c r="I117" s="539"/>
      <c r="J117" s="537"/>
      <c r="K117" s="528"/>
      <c r="L117" s="1365"/>
      <c r="M117" s="1366"/>
      <c r="N117" s="533"/>
      <c r="O117" s="534"/>
      <c r="P117" s="534"/>
      <c r="Q117" s="535"/>
      <c r="R117" s="536"/>
      <c r="S117" s="539"/>
      <c r="T117" s="537"/>
      <c r="U117" s="528"/>
      <c r="V117" s="528"/>
      <c r="W117" s="737"/>
      <c r="X117" s="1370"/>
      <c r="Y117" s="1370"/>
      <c r="Z117" s="1370"/>
      <c r="AA117" s="1370"/>
      <c r="AB117" s="508"/>
      <c r="AC117" s="508"/>
      <c r="AD117" s="508"/>
      <c r="AE117" s="508"/>
      <c r="AF117" s="508"/>
      <c r="AG117" s="508"/>
      <c r="AH117" s="508"/>
      <c r="AI117" s="508"/>
      <c r="AJ117" s="508"/>
      <c r="AK117" s="508"/>
      <c r="AL117" s="508"/>
      <c r="AM117" s="508"/>
      <c r="AN117" s="508"/>
      <c r="AO117" s="508"/>
      <c r="AP117" s="508"/>
    </row>
    <row r="118" spans="1:42" ht="23.25" customHeight="1" x14ac:dyDescent="0.2">
      <c r="A118" s="528"/>
      <c r="B118" s="1365"/>
      <c r="C118" s="533"/>
      <c r="D118" s="534"/>
      <c r="E118" s="534"/>
      <c r="F118" s="535"/>
      <c r="G118" s="536"/>
      <c r="H118" s="536"/>
      <c r="I118" s="539"/>
      <c r="J118" s="537"/>
      <c r="K118" s="528"/>
      <c r="L118" s="1365"/>
      <c r="M118" s="1366"/>
      <c r="N118" s="533"/>
      <c r="O118" s="538"/>
      <c r="P118" s="534"/>
      <c r="Q118" s="535"/>
      <c r="R118" s="536"/>
      <c r="S118" s="539"/>
      <c r="T118" s="537"/>
      <c r="U118" s="528"/>
      <c r="V118" s="528"/>
      <c r="W118" s="737"/>
      <c r="X118" s="1370"/>
      <c r="Y118" s="1370"/>
      <c r="Z118" s="1370"/>
      <c r="AA118" s="1370"/>
      <c r="AB118" s="508"/>
      <c r="AC118" s="508"/>
      <c r="AD118" s="508"/>
      <c r="AE118" s="508"/>
      <c r="AF118" s="508"/>
      <c r="AG118" s="508"/>
      <c r="AH118" s="508"/>
      <c r="AI118" s="508"/>
      <c r="AJ118" s="508"/>
      <c r="AK118" s="508"/>
      <c r="AL118" s="508"/>
      <c r="AM118" s="508"/>
      <c r="AN118" s="508"/>
      <c r="AO118" s="508"/>
      <c r="AP118" s="508"/>
    </row>
    <row r="119" spans="1:42" ht="30" customHeight="1" x14ac:dyDescent="0.2">
      <c r="A119" s="528"/>
      <c r="B119" s="1365"/>
      <c r="C119" s="533"/>
      <c r="D119" s="534"/>
      <c r="E119" s="534"/>
      <c r="F119" s="535"/>
      <c r="G119" s="536"/>
      <c r="H119" s="536"/>
      <c r="I119" s="539"/>
      <c r="J119" s="537"/>
      <c r="K119" s="528"/>
      <c r="L119" s="1365"/>
      <c r="M119" s="1366"/>
      <c r="N119" s="533"/>
      <c r="O119" s="538"/>
      <c r="P119" s="534"/>
      <c r="Q119" s="535"/>
      <c r="R119" s="536"/>
      <c r="S119" s="539"/>
      <c r="T119" s="537"/>
      <c r="U119" s="528"/>
      <c r="V119" s="528"/>
      <c r="W119" s="739"/>
      <c r="X119" s="1371"/>
      <c r="Y119" s="739"/>
      <c r="Z119" s="1371"/>
      <c r="AA119" s="1371"/>
      <c r="AB119" s="508"/>
      <c r="AC119" s="508"/>
      <c r="AD119" s="508"/>
      <c r="AE119" s="508"/>
      <c r="AF119" s="508"/>
      <c r="AG119" s="508"/>
      <c r="AH119" s="508"/>
      <c r="AI119" s="508"/>
      <c r="AJ119" s="508"/>
      <c r="AK119" s="508"/>
      <c r="AL119" s="508"/>
      <c r="AM119" s="508"/>
      <c r="AN119" s="508"/>
      <c r="AO119" s="508"/>
      <c r="AP119" s="508"/>
    </row>
    <row r="120" spans="1:42" ht="45.75" customHeight="1" x14ac:dyDescent="0.2">
      <c r="A120" s="528"/>
      <c r="B120" s="1365"/>
      <c r="C120" s="533"/>
      <c r="D120" s="538"/>
      <c r="E120" s="534"/>
      <c r="F120" s="535"/>
      <c r="G120" s="536"/>
      <c r="H120" s="536"/>
      <c r="I120" s="539"/>
      <c r="J120" s="537"/>
      <c r="K120" s="528"/>
      <c r="L120" s="1365"/>
      <c r="M120" s="1366"/>
      <c r="N120" s="533"/>
      <c r="O120" s="538"/>
      <c r="P120" s="534"/>
      <c r="Q120" s="535"/>
      <c r="R120" s="536"/>
      <c r="S120" s="539"/>
      <c r="T120" s="537"/>
      <c r="U120" s="528"/>
      <c r="V120" s="528"/>
      <c r="W120" s="739"/>
      <c r="X120" s="1371"/>
      <c r="Y120" s="740"/>
      <c r="Z120" s="1371"/>
      <c r="AA120" s="1371"/>
      <c r="AB120" s="508"/>
      <c r="AC120" s="508"/>
      <c r="AD120" s="508"/>
      <c r="AE120" s="508"/>
      <c r="AF120" s="508"/>
      <c r="AG120" s="508"/>
      <c r="AH120" s="508"/>
      <c r="AI120" s="508"/>
      <c r="AJ120" s="508"/>
      <c r="AK120" s="508"/>
      <c r="AL120" s="508"/>
      <c r="AM120" s="508"/>
      <c r="AN120" s="508"/>
      <c r="AO120" s="508"/>
      <c r="AP120" s="508"/>
    </row>
    <row r="121" spans="1:42" ht="33.75" customHeight="1" x14ac:dyDescent="0.2">
      <c r="A121" s="528"/>
      <c r="B121" s="1365"/>
      <c r="C121" s="533"/>
      <c r="D121" s="538"/>
      <c r="E121" s="534"/>
      <c r="F121" s="535"/>
      <c r="G121" s="536"/>
      <c r="H121" s="536"/>
      <c r="I121" s="539"/>
      <c r="J121" s="537"/>
      <c r="K121" s="528"/>
      <c r="L121" s="1365"/>
      <c r="M121" s="1366"/>
      <c r="N121" s="533"/>
      <c r="O121" s="538"/>
      <c r="P121" s="534"/>
      <c r="Q121" s="535"/>
      <c r="R121" s="536"/>
      <c r="S121" s="539"/>
      <c r="T121" s="537"/>
      <c r="U121" s="528"/>
      <c r="V121" s="528"/>
      <c r="W121" s="1367"/>
      <c r="X121" s="1367"/>
      <c r="Y121" s="1367"/>
      <c r="Z121" s="740"/>
      <c r="AA121" s="1367"/>
      <c r="AB121" s="508"/>
      <c r="AC121" s="508"/>
      <c r="AD121" s="508"/>
      <c r="AE121" s="508"/>
      <c r="AF121" s="508"/>
      <c r="AG121" s="508"/>
      <c r="AH121" s="508"/>
      <c r="AI121" s="508"/>
      <c r="AJ121" s="508"/>
      <c r="AK121" s="508"/>
      <c r="AL121" s="508"/>
      <c r="AM121" s="508"/>
      <c r="AN121" s="508"/>
      <c r="AO121" s="508"/>
      <c r="AP121" s="508"/>
    </row>
    <row r="122" spans="1:42" ht="34.5" customHeight="1" x14ac:dyDescent="0.2">
      <c r="A122" s="528"/>
      <c r="B122" s="1365"/>
      <c r="C122" s="533"/>
      <c r="D122" s="538"/>
      <c r="E122" s="534"/>
      <c r="F122" s="535"/>
      <c r="G122" s="536"/>
      <c r="H122" s="536"/>
      <c r="I122" s="539"/>
      <c r="J122" s="537"/>
      <c r="K122" s="528"/>
      <c r="L122" s="1365"/>
      <c r="M122" s="1366"/>
      <c r="N122" s="533"/>
      <c r="O122" s="538"/>
      <c r="P122" s="534"/>
      <c r="Q122" s="535"/>
      <c r="R122" s="536"/>
      <c r="S122" s="539"/>
      <c r="T122" s="537"/>
      <c r="U122" s="528"/>
      <c r="V122" s="528"/>
      <c r="W122" s="1367"/>
      <c r="X122" s="1367"/>
      <c r="Y122" s="1367"/>
      <c r="Z122" s="740"/>
      <c r="AA122" s="1367"/>
      <c r="AB122" s="508"/>
      <c r="AC122" s="508"/>
      <c r="AD122" s="508"/>
      <c r="AE122" s="508"/>
      <c r="AF122" s="508"/>
      <c r="AG122" s="508"/>
      <c r="AH122" s="508"/>
      <c r="AI122" s="508"/>
      <c r="AJ122" s="508"/>
      <c r="AK122" s="508"/>
      <c r="AL122" s="508"/>
      <c r="AM122" s="508"/>
      <c r="AN122" s="508"/>
      <c r="AO122" s="508"/>
      <c r="AP122" s="508"/>
    </row>
    <row r="123" spans="1:42" ht="22.5" customHeight="1" x14ac:dyDescent="0.2">
      <c r="A123" s="528"/>
      <c r="B123" s="1365"/>
      <c r="C123" s="533"/>
      <c r="D123" s="538"/>
      <c r="E123" s="534"/>
      <c r="F123" s="535"/>
      <c r="G123" s="536"/>
      <c r="H123" s="536"/>
      <c r="I123" s="539"/>
      <c r="J123" s="537"/>
      <c r="K123" s="528"/>
      <c r="L123" s="1365"/>
      <c r="M123" s="1366"/>
      <c r="N123" s="533"/>
      <c r="O123" s="538"/>
      <c r="P123" s="534"/>
      <c r="Q123" s="535"/>
      <c r="R123" s="536"/>
      <c r="S123" s="539"/>
      <c r="T123" s="537"/>
      <c r="U123" s="528"/>
      <c r="V123" s="528"/>
      <c r="W123" s="1367"/>
      <c r="X123" s="1367"/>
      <c r="Y123" s="1367"/>
      <c r="Z123" s="740"/>
      <c r="AA123" s="1367"/>
      <c r="AB123" s="508"/>
      <c r="AC123" s="508"/>
      <c r="AD123" s="508"/>
      <c r="AE123" s="508"/>
      <c r="AF123" s="508"/>
      <c r="AG123" s="508"/>
      <c r="AH123" s="508"/>
      <c r="AI123" s="508"/>
      <c r="AJ123" s="508"/>
      <c r="AK123" s="508"/>
      <c r="AL123" s="508"/>
      <c r="AM123" s="508"/>
      <c r="AN123" s="508"/>
      <c r="AO123" s="508"/>
      <c r="AP123" s="508"/>
    </row>
    <row r="124" spans="1:42" ht="23.25" customHeight="1" x14ac:dyDescent="0.2">
      <c r="A124" s="528"/>
      <c r="B124" s="1365"/>
      <c r="C124" s="533"/>
      <c r="D124" s="538"/>
      <c r="E124" s="534"/>
      <c r="F124" s="535"/>
      <c r="G124" s="536"/>
      <c r="H124" s="536"/>
      <c r="I124" s="539"/>
      <c r="J124" s="537"/>
      <c r="K124" s="528"/>
      <c r="L124" s="1365"/>
      <c r="M124" s="1366"/>
      <c r="N124" s="533"/>
      <c r="O124" s="538"/>
      <c r="P124" s="534"/>
      <c r="Q124" s="535"/>
      <c r="R124" s="536"/>
      <c r="S124" s="539"/>
      <c r="T124" s="537"/>
      <c r="U124" s="528"/>
      <c r="V124" s="528"/>
      <c r="W124" s="1367"/>
      <c r="X124" s="1367"/>
      <c r="Y124" s="1367"/>
      <c r="Z124" s="740"/>
      <c r="AA124" s="1367"/>
      <c r="AB124" s="508"/>
      <c r="AC124" s="508"/>
      <c r="AD124" s="508"/>
      <c r="AE124" s="508"/>
      <c r="AF124" s="508"/>
      <c r="AG124" s="508"/>
      <c r="AH124" s="508"/>
      <c r="AI124" s="508"/>
      <c r="AJ124" s="508"/>
      <c r="AK124" s="508"/>
      <c r="AL124" s="508"/>
      <c r="AM124" s="508"/>
      <c r="AN124" s="508"/>
      <c r="AO124" s="508"/>
      <c r="AP124" s="508"/>
    </row>
    <row r="125" spans="1:42" x14ac:dyDescent="0.2">
      <c r="A125" s="528"/>
      <c r="B125" s="1365"/>
      <c r="C125" s="533"/>
      <c r="D125" s="538"/>
      <c r="E125" s="534"/>
      <c r="F125" s="535"/>
      <c r="G125" s="536"/>
      <c r="H125" s="536"/>
      <c r="I125" s="539"/>
      <c r="J125" s="537"/>
      <c r="K125" s="528"/>
      <c r="L125" s="1365"/>
      <c r="M125" s="1366"/>
      <c r="N125" s="533"/>
      <c r="O125" s="538"/>
      <c r="P125" s="534"/>
      <c r="Q125" s="535"/>
      <c r="R125" s="536"/>
      <c r="S125" s="539"/>
      <c r="T125" s="537"/>
      <c r="U125" s="528"/>
      <c r="V125" s="528"/>
      <c r="W125" s="528"/>
      <c r="X125" s="528"/>
      <c r="Y125" s="528"/>
      <c r="Z125" s="528"/>
      <c r="AA125" s="528"/>
      <c r="AB125" s="508"/>
      <c r="AC125" s="508"/>
      <c r="AD125" s="508"/>
      <c r="AE125" s="508"/>
      <c r="AF125" s="508"/>
      <c r="AG125" s="508"/>
      <c r="AH125" s="508"/>
      <c r="AI125" s="508"/>
      <c r="AJ125" s="508"/>
      <c r="AK125" s="508"/>
      <c r="AL125" s="508"/>
      <c r="AM125" s="508"/>
      <c r="AN125" s="508"/>
      <c r="AO125" s="508"/>
      <c r="AP125" s="508"/>
    </row>
    <row r="126" spans="1:42" ht="22.5" customHeight="1" x14ac:dyDescent="0.2">
      <c r="A126" s="528"/>
      <c r="B126" s="1365"/>
      <c r="C126" s="533"/>
      <c r="D126" s="538"/>
      <c r="E126" s="534"/>
      <c r="F126" s="535"/>
      <c r="G126" s="536"/>
      <c r="H126" s="536"/>
      <c r="I126" s="539"/>
      <c r="J126" s="537"/>
      <c r="K126" s="528"/>
      <c r="L126" s="1365"/>
      <c r="M126" s="1366"/>
      <c r="N126" s="533"/>
      <c r="O126" s="538"/>
      <c r="P126" s="534"/>
      <c r="Q126" s="535"/>
      <c r="R126" s="536"/>
      <c r="S126" s="539"/>
      <c r="T126" s="537"/>
      <c r="U126" s="742"/>
      <c r="V126" s="528"/>
      <c r="W126" s="529"/>
      <c r="X126" s="530"/>
      <c r="Y126" s="529"/>
      <c r="Z126" s="529"/>
      <c r="AA126" s="531"/>
      <c r="AB126" s="531"/>
      <c r="AC126" s="532"/>
      <c r="AD126" s="531"/>
      <c r="AE126" s="522"/>
      <c r="AF126" s="528"/>
      <c r="AG126" s="528"/>
      <c r="AH126" s="508"/>
      <c r="AI126" s="508"/>
      <c r="AJ126" s="508"/>
      <c r="AK126" s="508"/>
      <c r="AL126" s="508"/>
      <c r="AM126" s="508"/>
      <c r="AN126" s="508"/>
      <c r="AO126" s="508"/>
      <c r="AP126" s="508"/>
    </row>
    <row r="127" spans="1:42" ht="33.75" customHeight="1" x14ac:dyDescent="0.2">
      <c r="A127" s="528"/>
      <c r="B127" s="1365"/>
      <c r="C127" s="533"/>
      <c r="D127" s="538"/>
      <c r="E127" s="534"/>
      <c r="F127" s="535"/>
      <c r="G127" s="536"/>
      <c r="H127" s="536"/>
      <c r="I127" s="539"/>
      <c r="J127" s="537"/>
      <c r="K127" s="528"/>
      <c r="L127" s="1365"/>
      <c r="M127" s="1366"/>
      <c r="N127" s="533"/>
      <c r="O127" s="538"/>
      <c r="P127" s="534"/>
      <c r="Q127" s="535"/>
      <c r="R127" s="536"/>
      <c r="S127" s="539"/>
      <c r="T127" s="537"/>
      <c r="U127" s="743"/>
      <c r="V127" s="528"/>
      <c r="W127" s="1365"/>
      <c r="X127" s="578"/>
      <c r="Y127" s="533"/>
      <c r="Z127" s="534"/>
      <c r="AA127" s="534"/>
      <c r="AB127" s="535"/>
      <c r="AC127" s="1027"/>
      <c r="AD127" s="537"/>
      <c r="AE127" s="531"/>
      <c r="AF127" s="528"/>
      <c r="AG127" s="528"/>
      <c r="AH127" s="508"/>
      <c r="AI127" s="508"/>
      <c r="AJ127" s="508"/>
      <c r="AK127" s="508"/>
      <c r="AL127" s="508"/>
      <c r="AM127" s="508"/>
      <c r="AN127" s="508"/>
      <c r="AO127" s="508"/>
      <c r="AP127" s="508"/>
    </row>
    <row r="128" spans="1:42" x14ac:dyDescent="0.2">
      <c r="A128" s="528"/>
      <c r="B128" s="1365"/>
      <c r="C128" s="533"/>
      <c r="D128" s="538"/>
      <c r="E128" s="534"/>
      <c r="F128" s="535"/>
      <c r="G128" s="536"/>
      <c r="H128" s="536"/>
      <c r="I128" s="539"/>
      <c r="J128" s="537"/>
      <c r="K128" s="528"/>
      <c r="L128" s="1365"/>
      <c r="M128" s="578"/>
      <c r="N128" s="533"/>
      <c r="O128" s="538"/>
      <c r="P128" s="534"/>
      <c r="Q128" s="535"/>
      <c r="R128" s="536"/>
      <c r="S128" s="539"/>
      <c r="T128" s="537"/>
      <c r="U128" s="528"/>
      <c r="V128" s="528"/>
      <c r="W128" s="1365"/>
      <c r="X128" s="1366"/>
      <c r="Y128" s="533"/>
      <c r="Z128" s="534"/>
      <c r="AA128" s="534"/>
      <c r="AB128" s="535"/>
      <c r="AC128" s="1027"/>
      <c r="AD128" s="537"/>
      <c r="AE128" s="523"/>
      <c r="AF128" s="528"/>
      <c r="AG128" s="528"/>
      <c r="AH128" s="508"/>
      <c r="AI128" s="508"/>
      <c r="AJ128" s="508"/>
      <c r="AK128" s="508"/>
      <c r="AL128" s="508"/>
      <c r="AM128" s="508"/>
      <c r="AN128" s="508"/>
      <c r="AO128" s="508"/>
      <c r="AP128" s="508"/>
    </row>
    <row r="129" spans="1:42" ht="22.5" customHeight="1" x14ac:dyDescent="0.2">
      <c r="A129" s="528"/>
      <c r="B129" s="1365"/>
      <c r="C129" s="533"/>
      <c r="D129" s="538"/>
      <c r="E129" s="534"/>
      <c r="F129" s="535"/>
      <c r="G129" s="536"/>
      <c r="H129" s="536"/>
      <c r="I129" s="539"/>
      <c r="J129" s="537"/>
      <c r="K129" s="528"/>
      <c r="L129" s="1365"/>
      <c r="M129" s="1366"/>
      <c r="N129" s="533"/>
      <c r="O129" s="538"/>
      <c r="P129" s="534"/>
      <c r="Q129" s="535"/>
      <c r="R129" s="536"/>
      <c r="S129" s="539"/>
      <c r="T129" s="537"/>
      <c r="U129" s="528"/>
      <c r="V129" s="528"/>
      <c r="W129" s="1365"/>
      <c r="X129" s="1366"/>
      <c r="Y129" s="533"/>
      <c r="Z129" s="534"/>
      <c r="AA129" s="534"/>
      <c r="AB129" s="535"/>
      <c r="AC129" s="1027"/>
      <c r="AD129" s="537"/>
      <c r="AE129" s="523"/>
      <c r="AF129" s="528"/>
      <c r="AG129" s="528"/>
      <c r="AH129" s="508"/>
      <c r="AI129" s="508"/>
      <c r="AJ129" s="508"/>
      <c r="AK129" s="508"/>
      <c r="AL129" s="508"/>
      <c r="AM129" s="508"/>
      <c r="AN129" s="508"/>
      <c r="AO129" s="508"/>
      <c r="AP129" s="508"/>
    </row>
    <row r="130" spans="1:42" x14ac:dyDescent="0.2">
      <c r="A130" s="528"/>
      <c r="B130" s="1365"/>
      <c r="C130" s="533"/>
      <c r="D130" s="538"/>
      <c r="E130" s="534"/>
      <c r="F130" s="535"/>
      <c r="G130" s="536"/>
      <c r="H130" s="536"/>
      <c r="I130" s="539"/>
      <c r="J130" s="537"/>
      <c r="K130" s="528"/>
      <c r="L130" s="1365"/>
      <c r="M130" s="1366"/>
      <c r="N130" s="533"/>
      <c r="O130" s="538"/>
      <c r="P130" s="534"/>
      <c r="Q130" s="535"/>
      <c r="R130" s="536"/>
      <c r="S130" s="539"/>
      <c r="T130" s="537"/>
      <c r="U130" s="528"/>
      <c r="V130" s="528"/>
      <c r="W130" s="1365"/>
      <c r="X130" s="1366"/>
      <c r="Y130" s="533"/>
      <c r="Z130" s="534"/>
      <c r="AA130" s="534"/>
      <c r="AB130" s="535"/>
      <c r="AC130" s="1027"/>
      <c r="AD130" s="537"/>
      <c r="AE130" s="523"/>
      <c r="AF130" s="528"/>
      <c r="AG130" s="528"/>
      <c r="AH130" s="508"/>
      <c r="AI130" s="508"/>
      <c r="AJ130" s="508"/>
      <c r="AK130" s="508"/>
      <c r="AL130" s="508"/>
      <c r="AM130" s="508"/>
      <c r="AN130" s="508"/>
      <c r="AO130" s="508"/>
      <c r="AP130" s="508"/>
    </row>
    <row r="131" spans="1:42" ht="22.5" customHeight="1" x14ac:dyDescent="0.2">
      <c r="A131" s="528"/>
      <c r="B131" s="1365"/>
      <c r="C131" s="533"/>
      <c r="D131" s="538"/>
      <c r="E131" s="534"/>
      <c r="F131" s="535"/>
      <c r="G131" s="536"/>
      <c r="H131" s="536"/>
      <c r="I131" s="539"/>
      <c r="J131" s="537"/>
      <c r="K131" s="528"/>
      <c r="L131" s="1365"/>
      <c r="M131" s="578"/>
      <c r="N131" s="533"/>
      <c r="O131" s="538"/>
      <c r="P131" s="534"/>
      <c r="Q131" s="535"/>
      <c r="R131" s="536"/>
      <c r="S131" s="539"/>
      <c r="T131" s="537"/>
      <c r="U131" s="528"/>
      <c r="V131" s="528"/>
      <c r="W131" s="1365"/>
      <c r="X131" s="1366"/>
      <c r="Y131" s="533"/>
      <c r="Z131" s="534"/>
      <c r="AA131" s="534"/>
      <c r="AB131" s="535"/>
      <c r="AC131" s="1027"/>
      <c r="AD131" s="537"/>
      <c r="AE131" s="523"/>
      <c r="AF131" s="528"/>
      <c r="AG131" s="528"/>
      <c r="AH131" s="508"/>
      <c r="AI131" s="508"/>
      <c r="AJ131" s="508"/>
      <c r="AK131" s="508"/>
      <c r="AL131" s="508"/>
      <c r="AM131" s="508"/>
      <c r="AN131" s="508"/>
      <c r="AO131" s="508"/>
      <c r="AP131" s="508"/>
    </row>
    <row r="132" spans="1:42" ht="22.5" customHeight="1" x14ac:dyDescent="0.2">
      <c r="A132" s="528"/>
      <c r="B132" s="1365"/>
      <c r="C132" s="533"/>
      <c r="D132" s="538"/>
      <c r="E132" s="534"/>
      <c r="F132" s="535"/>
      <c r="G132" s="536"/>
      <c r="H132" s="536"/>
      <c r="I132" s="539"/>
      <c r="J132" s="537"/>
      <c r="K132" s="528"/>
      <c r="L132" s="1365"/>
      <c r="M132" s="1366"/>
      <c r="N132" s="533"/>
      <c r="O132" s="538"/>
      <c r="P132" s="534"/>
      <c r="Q132" s="535"/>
      <c r="R132" s="536"/>
      <c r="S132" s="539"/>
      <c r="T132" s="537"/>
      <c r="U132" s="528"/>
      <c r="V132" s="528"/>
      <c r="W132" s="1365"/>
      <c r="X132" s="1366"/>
      <c r="Y132" s="533"/>
      <c r="Z132" s="534"/>
      <c r="AA132" s="534"/>
      <c r="AB132" s="535"/>
      <c r="AC132" s="1027"/>
      <c r="AD132" s="537"/>
      <c r="AE132" s="523"/>
      <c r="AF132" s="528"/>
      <c r="AG132" s="528"/>
      <c r="AH132" s="508"/>
      <c r="AI132" s="508"/>
      <c r="AJ132" s="508"/>
      <c r="AK132" s="508"/>
      <c r="AL132" s="508"/>
      <c r="AM132" s="508"/>
      <c r="AN132" s="508"/>
      <c r="AO132" s="508"/>
      <c r="AP132" s="508"/>
    </row>
    <row r="133" spans="1:42" ht="33.75" customHeight="1" x14ac:dyDescent="0.2">
      <c r="A133" s="528"/>
      <c r="B133" s="1365"/>
      <c r="C133" s="533"/>
      <c r="D133" s="538"/>
      <c r="E133" s="534"/>
      <c r="F133" s="535"/>
      <c r="G133" s="536"/>
      <c r="H133" s="536"/>
      <c r="I133" s="539"/>
      <c r="J133" s="537"/>
      <c r="K133" s="528"/>
      <c r="L133" s="1365"/>
      <c r="M133" s="1366"/>
      <c r="N133" s="533"/>
      <c r="O133" s="538"/>
      <c r="P133" s="534"/>
      <c r="Q133" s="535"/>
      <c r="R133" s="536"/>
      <c r="S133" s="539"/>
      <c r="T133" s="537"/>
      <c r="U133" s="528"/>
      <c r="V133" s="528"/>
      <c r="W133" s="1365"/>
      <c r="X133" s="578"/>
      <c r="Y133" s="533"/>
      <c r="Z133" s="534"/>
      <c r="AA133" s="534"/>
      <c r="AB133" s="535"/>
      <c r="AC133" s="1027"/>
      <c r="AD133" s="537"/>
      <c r="AE133" s="523"/>
      <c r="AF133" s="528"/>
      <c r="AG133" s="528"/>
      <c r="AH133" s="508"/>
      <c r="AI133" s="508"/>
      <c r="AJ133" s="508"/>
      <c r="AK133" s="508"/>
      <c r="AL133" s="508"/>
      <c r="AM133" s="508"/>
      <c r="AN133" s="508"/>
      <c r="AO133" s="508"/>
      <c r="AP133" s="508"/>
    </row>
    <row r="134" spans="1:42" ht="33.75" customHeight="1" x14ac:dyDescent="0.2">
      <c r="A134" s="528"/>
      <c r="B134" s="1365"/>
      <c r="C134" s="533"/>
      <c r="D134" s="538"/>
      <c r="E134" s="534"/>
      <c r="F134" s="535"/>
      <c r="G134" s="536"/>
      <c r="H134" s="536"/>
      <c r="I134" s="539"/>
      <c r="J134" s="537"/>
      <c r="K134" s="528"/>
      <c r="L134" s="1365"/>
      <c r="M134" s="1366"/>
      <c r="N134" s="533"/>
      <c r="O134" s="538"/>
      <c r="P134" s="534"/>
      <c r="Q134" s="535"/>
      <c r="R134" s="536"/>
      <c r="S134" s="539"/>
      <c r="T134" s="537"/>
      <c r="U134" s="528"/>
      <c r="V134" s="528"/>
      <c r="W134" s="1365"/>
      <c r="X134" s="1366"/>
      <c r="Y134" s="533"/>
      <c r="Z134" s="538"/>
      <c r="AA134" s="534"/>
      <c r="AB134" s="535"/>
      <c r="AC134" s="539"/>
      <c r="AD134" s="537"/>
      <c r="AE134" s="523"/>
      <c r="AF134" s="528"/>
      <c r="AG134" s="528"/>
      <c r="AH134" s="508"/>
      <c r="AI134" s="508"/>
      <c r="AJ134" s="508"/>
      <c r="AK134" s="508"/>
      <c r="AL134" s="508"/>
      <c r="AM134" s="508"/>
      <c r="AN134" s="508"/>
      <c r="AO134" s="508"/>
      <c r="AP134" s="508"/>
    </row>
    <row r="135" spans="1:42" x14ac:dyDescent="0.2">
      <c r="A135" s="528"/>
      <c r="B135" s="1365"/>
      <c r="C135" s="533"/>
      <c r="D135" s="538"/>
      <c r="E135" s="534"/>
      <c r="F135" s="535"/>
      <c r="G135" s="536"/>
      <c r="H135" s="536"/>
      <c r="I135" s="539"/>
      <c r="J135" s="537"/>
      <c r="K135" s="528"/>
      <c r="L135" s="1365"/>
      <c r="M135" s="1366"/>
      <c r="N135" s="533"/>
      <c r="O135" s="538"/>
      <c r="P135" s="534"/>
      <c r="Q135" s="535"/>
      <c r="R135" s="536"/>
      <c r="S135" s="539"/>
      <c r="T135" s="537"/>
      <c r="U135" s="528"/>
      <c r="V135" s="528"/>
      <c r="W135" s="1365"/>
      <c r="X135" s="1366"/>
      <c r="Y135" s="533"/>
      <c r="Z135" s="538"/>
      <c r="AA135" s="534"/>
      <c r="AB135" s="535"/>
      <c r="AC135" s="539"/>
      <c r="AD135" s="537"/>
      <c r="AE135" s="523"/>
      <c r="AF135" s="528"/>
      <c r="AG135" s="508"/>
      <c r="AH135" s="508"/>
      <c r="AI135" s="508"/>
      <c r="AJ135" s="508"/>
      <c r="AK135" s="508"/>
      <c r="AL135" s="508"/>
      <c r="AM135" s="508"/>
      <c r="AN135" s="508"/>
      <c r="AO135" s="508"/>
      <c r="AP135" s="508"/>
    </row>
    <row r="136" spans="1:42" ht="45" customHeight="1" x14ac:dyDescent="0.2">
      <c r="A136" s="528"/>
      <c r="B136" s="1365"/>
      <c r="C136" s="533"/>
      <c r="D136" s="538"/>
      <c r="E136" s="534"/>
      <c r="F136" s="535"/>
      <c r="G136" s="536"/>
      <c r="H136" s="536"/>
      <c r="I136" s="539"/>
      <c r="J136" s="537"/>
      <c r="K136" s="528"/>
      <c r="L136" s="1365"/>
      <c r="M136" s="578"/>
      <c r="N136" s="533"/>
      <c r="O136" s="534"/>
      <c r="P136" s="534"/>
      <c r="Q136" s="535"/>
      <c r="R136" s="536"/>
      <c r="S136" s="539"/>
      <c r="T136" s="537"/>
      <c r="U136" s="528"/>
      <c r="V136" s="528"/>
      <c r="W136" s="1365"/>
      <c r="X136" s="1366"/>
      <c r="Y136" s="533"/>
      <c r="Z136" s="538"/>
      <c r="AA136" s="534"/>
      <c r="AB136" s="535"/>
      <c r="AC136" s="539"/>
      <c r="AD136" s="537"/>
      <c r="AE136" s="523"/>
      <c r="AF136" s="528"/>
      <c r="AG136" s="508"/>
      <c r="AH136" s="508"/>
      <c r="AI136" s="508"/>
      <c r="AJ136" s="508"/>
      <c r="AK136" s="508"/>
      <c r="AL136" s="508"/>
      <c r="AM136" s="508"/>
      <c r="AN136" s="508"/>
      <c r="AO136" s="508"/>
      <c r="AP136" s="508"/>
    </row>
    <row r="137" spans="1:42" x14ac:dyDescent="0.2">
      <c r="A137" s="528"/>
      <c r="B137" s="1365"/>
      <c r="C137" s="533"/>
      <c r="D137" s="538"/>
      <c r="E137" s="534"/>
      <c r="F137" s="535"/>
      <c r="G137" s="536"/>
      <c r="H137" s="536"/>
      <c r="I137" s="539"/>
      <c r="J137" s="537"/>
      <c r="K137" s="528"/>
      <c r="L137" s="1365"/>
      <c r="M137" s="578"/>
      <c r="N137" s="533"/>
      <c r="O137" s="534"/>
      <c r="P137" s="534"/>
      <c r="Q137" s="535"/>
      <c r="R137" s="536"/>
      <c r="S137" s="539"/>
      <c r="T137" s="537"/>
      <c r="U137" s="743"/>
      <c r="V137" s="528"/>
      <c r="W137" s="1365"/>
      <c r="X137" s="1366"/>
      <c r="Y137" s="533"/>
      <c r="Z137" s="538"/>
      <c r="AA137" s="534"/>
      <c r="AB137" s="535"/>
      <c r="AC137" s="539"/>
      <c r="AD137" s="537"/>
      <c r="AE137" s="523"/>
      <c r="AF137" s="528"/>
      <c r="AG137" s="508"/>
      <c r="AH137" s="508"/>
      <c r="AI137" s="508"/>
      <c r="AJ137" s="508"/>
      <c r="AK137" s="508"/>
      <c r="AL137" s="508"/>
      <c r="AM137" s="508"/>
      <c r="AN137" s="508"/>
      <c r="AO137" s="508"/>
      <c r="AP137" s="508"/>
    </row>
    <row r="138" spans="1:42" ht="22.5" customHeight="1" x14ac:dyDescent="0.2">
      <c r="A138" s="528"/>
      <c r="B138" s="1365"/>
      <c r="C138" s="533"/>
      <c r="D138" s="538"/>
      <c r="E138" s="534"/>
      <c r="F138" s="535"/>
      <c r="G138" s="536"/>
      <c r="H138" s="536"/>
      <c r="I138" s="539"/>
      <c r="J138" s="537"/>
      <c r="K138" s="528"/>
      <c r="L138" s="1365"/>
      <c r="M138" s="1366"/>
      <c r="N138" s="533"/>
      <c r="O138" s="534"/>
      <c r="P138" s="534"/>
      <c r="Q138" s="535"/>
      <c r="R138" s="536"/>
      <c r="S138" s="539"/>
      <c r="T138" s="537"/>
      <c r="U138" s="528"/>
      <c r="V138" s="528"/>
      <c r="W138" s="1365"/>
      <c r="X138" s="1366"/>
      <c r="Y138" s="533"/>
      <c r="Z138" s="538"/>
      <c r="AA138" s="534"/>
      <c r="AB138" s="535"/>
      <c r="AC138" s="539"/>
      <c r="AD138" s="537"/>
      <c r="AE138" s="523"/>
      <c r="AF138" s="528"/>
      <c r="AG138" s="508"/>
      <c r="AH138" s="508"/>
      <c r="AI138" s="508"/>
      <c r="AJ138" s="508"/>
      <c r="AK138" s="508"/>
      <c r="AL138" s="508"/>
      <c r="AM138" s="508"/>
      <c r="AN138" s="508"/>
      <c r="AO138" s="508"/>
      <c r="AP138" s="508"/>
    </row>
    <row r="139" spans="1:42" x14ac:dyDescent="0.2">
      <c r="A139" s="528"/>
      <c r="B139" s="1365"/>
      <c r="C139" s="533"/>
      <c r="D139" s="538"/>
      <c r="E139" s="534"/>
      <c r="F139" s="535"/>
      <c r="G139" s="536"/>
      <c r="H139" s="536"/>
      <c r="I139" s="539"/>
      <c r="J139" s="537"/>
      <c r="K139" s="528"/>
      <c r="L139" s="1365"/>
      <c r="M139" s="1366"/>
      <c r="N139" s="533"/>
      <c r="O139" s="534"/>
      <c r="P139" s="534"/>
      <c r="Q139" s="535"/>
      <c r="R139" s="536"/>
      <c r="S139" s="539"/>
      <c r="T139" s="537"/>
      <c r="U139" s="528"/>
      <c r="V139" s="528"/>
      <c r="W139" s="1365"/>
      <c r="X139" s="1366"/>
      <c r="Y139" s="533"/>
      <c r="Z139" s="534"/>
      <c r="AA139" s="534"/>
      <c r="AB139" s="535"/>
      <c r="AC139" s="539"/>
      <c r="AD139" s="537"/>
      <c r="AE139" s="523"/>
      <c r="AF139" s="528"/>
      <c r="AG139" s="508"/>
      <c r="AH139" s="508"/>
      <c r="AI139" s="508"/>
      <c r="AJ139" s="508"/>
      <c r="AK139" s="508"/>
      <c r="AL139" s="508"/>
      <c r="AM139" s="508"/>
      <c r="AN139" s="508"/>
      <c r="AO139" s="508"/>
      <c r="AP139" s="508"/>
    </row>
    <row r="140" spans="1:42" ht="56.25" customHeight="1" x14ac:dyDescent="0.2">
      <c r="A140" s="528"/>
      <c r="B140" s="1365"/>
      <c r="C140" s="533"/>
      <c r="D140" s="534"/>
      <c r="E140" s="534"/>
      <c r="F140" s="535"/>
      <c r="G140" s="536"/>
      <c r="H140" s="536"/>
      <c r="I140" s="539"/>
      <c r="J140" s="537"/>
      <c r="K140" s="528"/>
      <c r="L140" s="1365"/>
      <c r="M140" s="1366"/>
      <c r="N140" s="533"/>
      <c r="O140" s="534"/>
      <c r="P140" s="534"/>
      <c r="Q140" s="535"/>
      <c r="R140" s="536"/>
      <c r="S140" s="539"/>
      <c r="T140" s="537"/>
      <c r="U140" s="528"/>
      <c r="V140" s="528"/>
      <c r="W140" s="1365"/>
      <c r="X140" s="1366"/>
      <c r="Y140" s="533"/>
      <c r="Z140" s="534"/>
      <c r="AA140" s="534"/>
      <c r="AB140" s="535"/>
      <c r="AC140" s="539"/>
      <c r="AD140" s="537"/>
      <c r="AE140" s="523"/>
      <c r="AF140" s="528"/>
      <c r="AG140" s="508"/>
      <c r="AH140" s="508"/>
      <c r="AI140" s="508"/>
      <c r="AJ140" s="508"/>
      <c r="AK140" s="508"/>
      <c r="AL140" s="508"/>
      <c r="AM140" s="508"/>
      <c r="AN140" s="508"/>
      <c r="AO140" s="508"/>
      <c r="AP140" s="508"/>
    </row>
    <row r="141" spans="1:42" ht="38.25" customHeight="1" x14ac:dyDescent="0.2">
      <c r="A141" s="528"/>
      <c r="B141" s="1365"/>
      <c r="C141" s="533"/>
      <c r="D141" s="534"/>
      <c r="E141" s="534"/>
      <c r="F141" s="535"/>
      <c r="G141" s="536"/>
      <c r="H141" s="536"/>
      <c r="I141" s="539"/>
      <c r="J141" s="537"/>
      <c r="K141" s="528"/>
      <c r="L141" s="1365"/>
      <c r="M141" s="1366"/>
      <c r="N141" s="533"/>
      <c r="O141" s="534"/>
      <c r="P141" s="534"/>
      <c r="Q141" s="535"/>
      <c r="R141" s="536"/>
      <c r="S141" s="539"/>
      <c r="T141" s="537"/>
      <c r="U141" s="528"/>
      <c r="V141" s="528"/>
      <c r="W141" s="1365"/>
      <c r="X141" s="1366"/>
      <c r="Y141" s="533"/>
      <c r="Z141" s="534"/>
      <c r="AA141" s="534"/>
      <c r="AB141" s="535"/>
      <c r="AC141" s="539"/>
      <c r="AD141" s="537"/>
      <c r="AE141" s="523"/>
      <c r="AF141" s="528"/>
      <c r="AG141" s="508"/>
      <c r="AH141" s="508"/>
      <c r="AI141" s="508"/>
      <c r="AJ141" s="508"/>
      <c r="AK141" s="508"/>
      <c r="AL141" s="508"/>
      <c r="AM141" s="508"/>
      <c r="AN141" s="508"/>
      <c r="AO141" s="508"/>
      <c r="AP141" s="508"/>
    </row>
    <row r="142" spans="1:42" x14ac:dyDescent="0.2">
      <c r="A142" s="528"/>
      <c r="B142" s="1365"/>
      <c r="C142" s="533"/>
      <c r="D142" s="534"/>
      <c r="E142" s="534"/>
      <c r="F142" s="535"/>
      <c r="G142" s="536"/>
      <c r="H142" s="536"/>
      <c r="I142" s="539"/>
      <c r="J142" s="537"/>
      <c r="K142" s="528"/>
      <c r="L142" s="1365"/>
      <c r="M142" s="1366"/>
      <c r="N142" s="533"/>
      <c r="O142" s="534"/>
      <c r="P142" s="534"/>
      <c r="Q142" s="535"/>
      <c r="R142" s="536"/>
      <c r="S142" s="539"/>
      <c r="T142" s="537"/>
      <c r="U142" s="528"/>
      <c r="V142" s="528"/>
      <c r="W142" s="1365"/>
      <c r="X142" s="1366"/>
      <c r="Y142" s="533"/>
      <c r="Z142" s="538"/>
      <c r="AA142" s="534"/>
      <c r="AB142" s="535"/>
      <c r="AC142" s="539"/>
      <c r="AD142" s="537"/>
      <c r="AE142" s="523"/>
      <c r="AF142" s="528"/>
      <c r="AG142" s="508"/>
      <c r="AH142" s="508"/>
      <c r="AI142" s="508"/>
      <c r="AJ142" s="508"/>
      <c r="AK142" s="508"/>
      <c r="AL142" s="508"/>
      <c r="AM142" s="508"/>
      <c r="AN142" s="508"/>
      <c r="AO142" s="508"/>
      <c r="AP142" s="508"/>
    </row>
    <row r="143" spans="1:42" x14ac:dyDescent="0.2">
      <c r="A143" s="528"/>
      <c r="B143" s="1365"/>
      <c r="C143" s="533"/>
      <c r="D143" s="534"/>
      <c r="E143" s="534"/>
      <c r="F143" s="535"/>
      <c r="G143" s="536"/>
      <c r="H143" s="536"/>
      <c r="I143" s="539"/>
      <c r="J143" s="537"/>
      <c r="K143" s="528"/>
      <c r="L143" s="1365"/>
      <c r="M143" s="1366"/>
      <c r="N143" s="533"/>
      <c r="O143" s="534"/>
      <c r="P143" s="534"/>
      <c r="Q143" s="535"/>
      <c r="R143" s="536"/>
      <c r="S143" s="539"/>
      <c r="T143" s="537"/>
      <c r="U143" s="528"/>
      <c r="V143" s="528"/>
      <c r="W143" s="1365"/>
      <c r="X143" s="1366"/>
      <c r="Y143" s="533"/>
      <c r="Z143" s="538"/>
      <c r="AA143" s="534"/>
      <c r="AB143" s="535"/>
      <c r="AC143" s="539"/>
      <c r="AD143" s="537"/>
      <c r="AE143" s="523"/>
      <c r="AF143" s="528"/>
      <c r="AG143" s="508"/>
      <c r="AH143" s="508"/>
      <c r="AI143" s="508"/>
      <c r="AJ143" s="508"/>
      <c r="AK143" s="508"/>
      <c r="AL143" s="508"/>
      <c r="AM143" s="508"/>
      <c r="AN143" s="508"/>
      <c r="AO143" s="508"/>
      <c r="AP143" s="508"/>
    </row>
    <row r="144" spans="1:42" ht="12.75" customHeight="1" x14ac:dyDescent="0.2">
      <c r="A144" s="528"/>
      <c r="B144" s="1365"/>
      <c r="C144" s="533"/>
      <c r="D144" s="534"/>
      <c r="E144" s="534"/>
      <c r="F144" s="535"/>
      <c r="G144" s="536"/>
      <c r="H144" s="536"/>
      <c r="I144" s="539"/>
      <c r="J144" s="537"/>
      <c r="K144" s="528"/>
      <c r="L144" s="1365"/>
      <c r="M144" s="1366"/>
      <c r="N144" s="533"/>
      <c r="O144" s="534"/>
      <c r="P144" s="534"/>
      <c r="Q144" s="535"/>
      <c r="R144" s="536"/>
      <c r="S144" s="539"/>
      <c r="T144" s="537"/>
      <c r="U144" s="528"/>
      <c r="V144" s="528"/>
      <c r="W144" s="1365"/>
      <c r="X144" s="1366"/>
      <c r="Y144" s="533"/>
      <c r="Z144" s="538"/>
      <c r="AA144" s="534"/>
      <c r="AB144" s="535"/>
      <c r="AC144" s="539"/>
      <c r="AD144" s="537"/>
      <c r="AE144" s="523"/>
      <c r="AF144" s="528"/>
      <c r="AG144" s="508"/>
      <c r="AH144" s="508"/>
      <c r="AI144" s="508"/>
      <c r="AJ144" s="508"/>
      <c r="AK144" s="508"/>
      <c r="AL144" s="508"/>
      <c r="AM144" s="508"/>
      <c r="AN144" s="508"/>
      <c r="AO144" s="508"/>
      <c r="AP144" s="508"/>
    </row>
    <row r="145" spans="1:42" ht="22.5" customHeight="1" x14ac:dyDescent="0.2">
      <c r="A145" s="528"/>
      <c r="B145" s="1365"/>
      <c r="C145" s="533"/>
      <c r="D145" s="534"/>
      <c r="E145" s="534"/>
      <c r="F145" s="535"/>
      <c r="G145" s="536"/>
      <c r="H145" s="536"/>
      <c r="I145" s="539"/>
      <c r="J145" s="537"/>
      <c r="K145" s="528"/>
      <c r="L145" s="1365"/>
      <c r="M145" s="1366"/>
      <c r="N145" s="533"/>
      <c r="O145" s="534"/>
      <c r="P145" s="534"/>
      <c r="Q145" s="535"/>
      <c r="R145" s="536"/>
      <c r="S145" s="539"/>
      <c r="T145" s="537"/>
      <c r="U145" s="528"/>
      <c r="V145" s="528"/>
      <c r="W145" s="1365"/>
      <c r="X145" s="1366"/>
      <c r="Y145" s="533"/>
      <c r="Z145" s="538"/>
      <c r="AA145" s="534"/>
      <c r="AB145" s="535"/>
      <c r="AC145" s="539"/>
      <c r="AD145" s="537"/>
      <c r="AE145" s="523"/>
      <c r="AF145" s="528"/>
      <c r="AG145" s="508"/>
      <c r="AH145" s="508"/>
      <c r="AI145" s="508"/>
      <c r="AJ145" s="508"/>
      <c r="AK145" s="508"/>
      <c r="AL145" s="508"/>
      <c r="AM145" s="508"/>
      <c r="AN145" s="508"/>
      <c r="AO145" s="508"/>
      <c r="AP145" s="508"/>
    </row>
    <row r="146" spans="1:42" x14ac:dyDescent="0.2">
      <c r="A146" s="528"/>
      <c r="B146" s="1365"/>
      <c r="C146" s="533"/>
      <c r="D146" s="534"/>
      <c r="E146" s="534"/>
      <c r="F146" s="535"/>
      <c r="G146" s="536"/>
      <c r="H146" s="536"/>
      <c r="I146" s="539"/>
      <c r="J146" s="537"/>
      <c r="K146" s="528"/>
      <c r="L146" s="528"/>
      <c r="M146" s="528"/>
      <c r="N146" s="528"/>
      <c r="O146" s="528"/>
      <c r="P146" s="528"/>
      <c r="Q146" s="528"/>
      <c r="R146" s="528"/>
      <c r="S146" s="534"/>
      <c r="T146" s="745"/>
      <c r="U146" s="528"/>
      <c r="V146" s="528"/>
      <c r="W146" s="1365"/>
      <c r="X146" s="1366"/>
      <c r="Y146" s="533"/>
      <c r="Z146" s="538"/>
      <c r="AA146" s="534"/>
      <c r="AB146" s="535"/>
      <c r="AC146" s="539"/>
      <c r="AD146" s="537"/>
      <c r="AE146" s="523"/>
      <c r="AF146" s="528"/>
      <c r="AG146" s="508"/>
      <c r="AH146" s="508"/>
      <c r="AI146" s="508"/>
      <c r="AJ146" s="508"/>
      <c r="AK146" s="508"/>
      <c r="AL146" s="508"/>
      <c r="AM146" s="508"/>
      <c r="AN146" s="508"/>
      <c r="AO146" s="508"/>
      <c r="AP146" s="508"/>
    </row>
    <row r="147" spans="1:42" x14ac:dyDescent="0.2">
      <c r="A147" s="528"/>
      <c r="B147" s="1365"/>
      <c r="C147" s="533"/>
      <c r="D147" s="534"/>
      <c r="E147" s="534"/>
      <c r="F147" s="535"/>
      <c r="G147" s="536"/>
      <c r="H147" s="536"/>
      <c r="I147" s="539"/>
      <c r="J147" s="537"/>
      <c r="K147" s="528"/>
      <c r="L147" s="528"/>
      <c r="M147" s="528"/>
      <c r="N147" s="528"/>
      <c r="O147" s="528"/>
      <c r="P147" s="528"/>
      <c r="Q147" s="528"/>
      <c r="R147" s="528"/>
      <c r="S147" s="541"/>
      <c r="T147" s="746"/>
      <c r="U147" s="528"/>
      <c r="V147" s="528"/>
      <c r="W147" s="1365"/>
      <c r="X147" s="1366"/>
      <c r="Y147" s="533"/>
      <c r="Z147" s="538"/>
      <c r="AA147" s="534"/>
      <c r="AB147" s="535"/>
      <c r="AC147" s="539"/>
      <c r="AD147" s="537"/>
      <c r="AE147" s="523"/>
      <c r="AF147" s="528"/>
      <c r="AG147" s="508"/>
      <c r="AH147" s="508"/>
      <c r="AI147" s="508"/>
      <c r="AJ147" s="508"/>
      <c r="AK147" s="508"/>
      <c r="AL147" s="508"/>
      <c r="AM147" s="508"/>
      <c r="AN147" s="508"/>
      <c r="AO147" s="508"/>
      <c r="AP147" s="508"/>
    </row>
    <row r="148" spans="1:42" x14ac:dyDescent="0.2">
      <c r="A148" s="528"/>
      <c r="B148" s="1365"/>
      <c r="C148" s="533"/>
      <c r="D148" s="534"/>
      <c r="E148" s="534"/>
      <c r="F148" s="535"/>
      <c r="G148" s="536"/>
      <c r="H148" s="536"/>
      <c r="I148" s="539"/>
      <c r="J148" s="537"/>
      <c r="K148" s="528"/>
      <c r="L148" s="528"/>
      <c r="M148" s="528"/>
      <c r="N148" s="528"/>
      <c r="O148" s="528"/>
      <c r="P148" s="528"/>
      <c r="Q148" s="528"/>
      <c r="R148" s="528"/>
      <c r="S148" s="528"/>
      <c r="T148" s="528"/>
      <c r="U148" s="528"/>
      <c r="V148" s="528"/>
      <c r="W148" s="1365"/>
      <c r="X148" s="1366"/>
      <c r="Y148" s="533"/>
      <c r="Z148" s="538"/>
      <c r="AA148" s="534"/>
      <c r="AB148" s="535"/>
      <c r="AC148" s="539"/>
      <c r="AD148" s="537"/>
      <c r="AE148" s="523"/>
      <c r="AF148" s="528"/>
      <c r="AG148" s="508"/>
      <c r="AH148" s="508"/>
      <c r="AI148" s="508"/>
      <c r="AJ148" s="508"/>
      <c r="AK148" s="508"/>
      <c r="AL148" s="508"/>
      <c r="AM148" s="508"/>
      <c r="AN148" s="508"/>
      <c r="AO148" s="508"/>
      <c r="AP148" s="508"/>
    </row>
    <row r="149" spans="1:42" ht="33.75" customHeight="1" x14ac:dyDescent="0.2">
      <c r="A149" s="528"/>
      <c r="B149" s="1365"/>
      <c r="C149" s="533"/>
      <c r="D149" s="534"/>
      <c r="E149" s="534"/>
      <c r="F149" s="535"/>
      <c r="G149" s="536"/>
      <c r="H149" s="536"/>
      <c r="I149" s="539"/>
      <c r="J149" s="537"/>
      <c r="K149" s="528"/>
      <c r="L149" s="528"/>
      <c r="M149" s="528"/>
      <c r="N149" s="528"/>
      <c r="O149" s="528"/>
      <c r="P149" s="528"/>
      <c r="Q149" s="528"/>
      <c r="R149" s="528"/>
      <c r="S149" s="528"/>
      <c r="T149" s="528"/>
      <c r="U149" s="528"/>
      <c r="V149" s="528"/>
      <c r="W149" s="1365"/>
      <c r="X149" s="1366"/>
      <c r="Y149" s="533"/>
      <c r="Z149" s="538"/>
      <c r="AA149" s="534"/>
      <c r="AB149" s="535"/>
      <c r="AC149" s="539"/>
      <c r="AD149" s="537"/>
      <c r="AE149" s="523"/>
      <c r="AF149" s="528"/>
      <c r="AG149" s="508"/>
      <c r="AH149" s="508"/>
      <c r="AI149" s="508"/>
      <c r="AJ149" s="508"/>
      <c r="AK149" s="508"/>
      <c r="AL149" s="508"/>
      <c r="AM149" s="508"/>
      <c r="AN149" s="508"/>
      <c r="AO149" s="508"/>
      <c r="AP149" s="508"/>
    </row>
    <row r="150" spans="1:42" x14ac:dyDescent="0.2">
      <c r="A150" s="528"/>
      <c r="B150" s="1365"/>
      <c r="C150" s="533"/>
      <c r="D150" s="534"/>
      <c r="E150" s="534"/>
      <c r="F150" s="535"/>
      <c r="G150" s="536"/>
      <c r="H150" s="536"/>
      <c r="I150" s="539"/>
      <c r="J150" s="537"/>
      <c r="K150" s="528"/>
      <c r="L150" s="528"/>
      <c r="M150" s="528"/>
      <c r="N150" s="528"/>
      <c r="O150" s="528"/>
      <c r="P150" s="528"/>
      <c r="Q150" s="528"/>
      <c r="R150" s="528"/>
      <c r="S150" s="528"/>
      <c r="T150" s="528"/>
      <c r="U150" s="528"/>
      <c r="V150" s="528"/>
      <c r="W150" s="1365"/>
      <c r="X150" s="1366"/>
      <c r="Y150" s="533"/>
      <c r="Z150" s="538"/>
      <c r="AA150" s="534"/>
      <c r="AB150" s="535"/>
      <c r="AC150" s="539"/>
      <c r="AD150" s="537"/>
      <c r="AE150" s="523"/>
      <c r="AF150" s="528"/>
      <c r="AG150" s="508"/>
      <c r="AH150" s="508"/>
      <c r="AI150" s="508"/>
      <c r="AJ150" s="508"/>
      <c r="AK150" s="508"/>
      <c r="AL150" s="508"/>
      <c r="AM150" s="508"/>
      <c r="AN150" s="508"/>
      <c r="AO150" s="508"/>
      <c r="AP150" s="508"/>
    </row>
    <row r="151" spans="1:42" x14ac:dyDescent="0.2">
      <c r="A151" s="528"/>
      <c r="B151" s="1365"/>
      <c r="C151" s="533"/>
      <c r="D151" s="534"/>
      <c r="E151" s="534"/>
      <c r="F151" s="535"/>
      <c r="G151" s="536"/>
      <c r="H151" s="536"/>
      <c r="I151" s="539"/>
      <c r="J151" s="537"/>
      <c r="K151" s="528"/>
      <c r="L151" s="528"/>
      <c r="M151" s="528"/>
      <c r="N151" s="528"/>
      <c r="O151" s="528"/>
      <c r="P151" s="528"/>
      <c r="Q151" s="528"/>
      <c r="R151" s="528"/>
      <c r="S151" s="528"/>
      <c r="T151" s="528"/>
      <c r="U151" s="528"/>
      <c r="V151" s="528"/>
      <c r="W151" s="1365"/>
      <c r="X151" s="1366"/>
      <c r="Y151" s="533"/>
      <c r="Z151" s="538"/>
      <c r="AA151" s="534"/>
      <c r="AB151" s="535"/>
      <c r="AC151" s="539"/>
      <c r="AD151" s="537"/>
      <c r="AE151" s="523"/>
      <c r="AF151" s="528"/>
      <c r="AG151" s="508"/>
      <c r="AH151" s="508"/>
      <c r="AI151" s="508"/>
      <c r="AJ151" s="508"/>
      <c r="AK151" s="508"/>
      <c r="AL151" s="508"/>
      <c r="AM151" s="508"/>
      <c r="AN151" s="508"/>
      <c r="AO151" s="508"/>
      <c r="AP151" s="508"/>
    </row>
    <row r="152" spans="1:42" x14ac:dyDescent="0.2">
      <c r="A152" s="528"/>
      <c r="B152" s="1365"/>
      <c r="C152" s="533"/>
      <c r="D152" s="534"/>
      <c r="E152" s="534"/>
      <c r="F152" s="535"/>
      <c r="G152" s="536"/>
      <c r="H152" s="536"/>
      <c r="I152" s="539"/>
      <c r="J152" s="537"/>
      <c r="K152" s="528"/>
      <c r="L152" s="528"/>
      <c r="M152" s="528"/>
      <c r="N152" s="528"/>
      <c r="O152" s="528"/>
      <c r="P152" s="528"/>
      <c r="Q152" s="528"/>
      <c r="R152" s="528"/>
      <c r="S152" s="528"/>
      <c r="T152" s="528"/>
      <c r="U152" s="528"/>
      <c r="V152" s="528"/>
      <c r="W152" s="1365"/>
      <c r="X152" s="1366"/>
      <c r="Y152" s="533"/>
      <c r="Z152" s="538"/>
      <c r="AA152" s="534"/>
      <c r="AB152" s="535"/>
      <c r="AC152" s="539"/>
      <c r="AD152" s="537"/>
      <c r="AE152" s="523"/>
      <c r="AF152" s="528"/>
      <c r="AG152" s="508"/>
      <c r="AH152" s="508"/>
      <c r="AI152" s="508"/>
      <c r="AJ152" s="508"/>
      <c r="AK152" s="508"/>
      <c r="AL152" s="508"/>
      <c r="AM152" s="508"/>
      <c r="AN152" s="508"/>
      <c r="AO152" s="508"/>
      <c r="AP152" s="508"/>
    </row>
    <row r="153" spans="1:42" x14ac:dyDescent="0.2">
      <c r="A153" s="528"/>
      <c r="B153" s="1365"/>
      <c r="C153" s="533"/>
      <c r="D153" s="534"/>
      <c r="E153" s="534"/>
      <c r="F153" s="535"/>
      <c r="G153" s="536"/>
      <c r="H153" s="536"/>
      <c r="I153" s="539"/>
      <c r="J153" s="537"/>
      <c r="K153" s="528"/>
      <c r="L153" s="528"/>
      <c r="M153" s="528"/>
      <c r="N153" s="528"/>
      <c r="O153" s="528"/>
      <c r="P153" s="528"/>
      <c r="Q153" s="528"/>
      <c r="R153" s="528"/>
      <c r="S153" s="528"/>
      <c r="T153" s="528"/>
      <c r="U153" s="528"/>
      <c r="V153" s="528"/>
      <c r="W153" s="1365"/>
      <c r="X153" s="1366"/>
      <c r="Y153" s="533"/>
      <c r="Z153" s="538"/>
      <c r="AA153" s="534"/>
      <c r="AB153" s="535"/>
      <c r="AC153" s="539"/>
      <c r="AD153" s="537"/>
      <c r="AE153" s="523"/>
      <c r="AF153" s="528"/>
      <c r="AG153" s="508"/>
      <c r="AH153" s="508"/>
      <c r="AI153" s="508"/>
      <c r="AJ153" s="508"/>
      <c r="AK153" s="508"/>
      <c r="AL153" s="508"/>
      <c r="AM153" s="508"/>
      <c r="AN153" s="508"/>
      <c r="AO153" s="508"/>
      <c r="AP153" s="508"/>
    </row>
    <row r="154" spans="1:42" ht="12.75" customHeight="1" x14ac:dyDescent="0.2">
      <c r="A154" s="528"/>
      <c r="B154" s="1365"/>
      <c r="C154" s="533"/>
      <c r="D154" s="534"/>
      <c r="E154" s="534"/>
      <c r="F154" s="535"/>
      <c r="G154" s="536"/>
      <c r="H154" s="536"/>
      <c r="I154" s="539"/>
      <c r="J154" s="537"/>
      <c r="K154" s="528"/>
      <c r="L154" s="528"/>
      <c r="M154" s="528"/>
      <c r="N154" s="528"/>
      <c r="O154" s="528"/>
      <c r="P154" s="528"/>
      <c r="Q154" s="528"/>
      <c r="R154" s="528"/>
      <c r="S154" s="528"/>
      <c r="T154" s="528"/>
      <c r="U154" s="528"/>
      <c r="V154" s="528"/>
      <c r="W154" s="1365"/>
      <c r="X154" s="1366"/>
      <c r="Y154" s="533"/>
      <c r="Z154" s="538"/>
      <c r="AA154" s="534"/>
      <c r="AB154" s="535"/>
      <c r="AC154" s="539"/>
      <c r="AD154" s="537"/>
      <c r="AE154" s="523"/>
      <c r="AF154" s="528"/>
      <c r="AG154" s="508"/>
      <c r="AH154" s="508"/>
      <c r="AI154" s="508"/>
      <c r="AJ154" s="508"/>
      <c r="AK154" s="508"/>
      <c r="AL154" s="508"/>
      <c r="AM154" s="508"/>
      <c r="AN154" s="508"/>
      <c r="AO154" s="508"/>
      <c r="AP154" s="508"/>
    </row>
    <row r="155" spans="1:42" ht="12.75" customHeight="1" x14ac:dyDescent="0.2">
      <c r="A155" s="528"/>
      <c r="B155" s="747"/>
      <c r="C155" s="747"/>
      <c r="D155" s="747"/>
      <c r="E155" s="747"/>
      <c r="F155" s="747"/>
      <c r="G155" s="747"/>
      <c r="H155" s="747"/>
      <c r="I155" s="534"/>
      <c r="J155" s="745"/>
      <c r="K155" s="528"/>
      <c r="L155" s="528"/>
      <c r="M155" s="528"/>
      <c r="N155" s="528"/>
      <c r="O155" s="528"/>
      <c r="P155" s="528"/>
      <c r="Q155" s="528"/>
      <c r="R155" s="528"/>
      <c r="S155" s="528"/>
      <c r="T155" s="528"/>
      <c r="U155" s="528"/>
      <c r="V155" s="528"/>
      <c r="W155" s="1365"/>
      <c r="X155" s="1366"/>
      <c r="Y155" s="533"/>
      <c r="Z155" s="538"/>
      <c r="AA155" s="534"/>
      <c r="AB155" s="535"/>
      <c r="AC155" s="539"/>
      <c r="AD155" s="537"/>
      <c r="AE155" s="523"/>
      <c r="AF155" s="528"/>
      <c r="AG155" s="508"/>
      <c r="AH155" s="508"/>
      <c r="AI155" s="508"/>
      <c r="AJ155" s="508"/>
      <c r="AK155" s="508"/>
      <c r="AL155" s="508"/>
      <c r="AM155" s="508"/>
      <c r="AN155" s="508"/>
      <c r="AO155" s="508"/>
      <c r="AP155" s="508"/>
    </row>
    <row r="156" spans="1:42" ht="12.75" customHeight="1" x14ac:dyDescent="0.2">
      <c r="A156" s="528"/>
      <c r="B156" s="747"/>
      <c r="C156" s="747"/>
      <c r="D156" s="747"/>
      <c r="E156" s="747"/>
      <c r="F156" s="747"/>
      <c r="G156" s="747"/>
      <c r="H156" s="747"/>
      <c r="I156" s="541"/>
      <c r="J156" s="542"/>
      <c r="K156" s="528"/>
      <c r="L156" s="528"/>
      <c r="M156" s="528"/>
      <c r="N156" s="528"/>
      <c r="O156" s="528"/>
      <c r="P156" s="528"/>
      <c r="Q156" s="528"/>
      <c r="R156" s="528"/>
      <c r="S156" s="528"/>
      <c r="T156" s="528"/>
      <c r="U156" s="528"/>
      <c r="V156" s="528"/>
      <c r="W156" s="1365"/>
      <c r="X156" s="1366"/>
      <c r="Y156" s="533"/>
      <c r="Z156" s="538"/>
      <c r="AA156" s="534"/>
      <c r="AB156" s="535"/>
      <c r="AC156" s="539"/>
      <c r="AD156" s="537"/>
      <c r="AE156" s="523"/>
      <c r="AF156" s="528"/>
      <c r="AG156" s="508"/>
      <c r="AH156" s="508"/>
      <c r="AI156" s="508"/>
      <c r="AJ156" s="508"/>
      <c r="AK156" s="508"/>
      <c r="AL156" s="508"/>
      <c r="AM156" s="508"/>
      <c r="AN156" s="508"/>
      <c r="AO156" s="508"/>
      <c r="AP156" s="508"/>
    </row>
    <row r="157" spans="1:42" x14ac:dyDescent="0.2">
      <c r="A157" s="528"/>
      <c r="B157" s="747"/>
      <c r="C157" s="747"/>
      <c r="D157" s="747"/>
      <c r="E157" s="747"/>
      <c r="F157" s="747"/>
      <c r="G157" s="747"/>
      <c r="H157" s="747"/>
      <c r="I157" s="747"/>
      <c r="J157" s="747"/>
      <c r="K157" s="528"/>
      <c r="L157" s="528"/>
      <c r="M157" s="528"/>
      <c r="N157" s="528"/>
      <c r="O157" s="528"/>
      <c r="P157" s="528"/>
      <c r="Q157" s="528"/>
      <c r="R157" s="528"/>
      <c r="S157" s="528"/>
      <c r="T157" s="528"/>
      <c r="U157" s="528"/>
      <c r="V157" s="528"/>
      <c r="W157" s="1365"/>
      <c r="X157" s="578"/>
      <c r="Y157" s="533"/>
      <c r="Z157" s="538"/>
      <c r="AA157" s="534"/>
      <c r="AB157" s="535"/>
      <c r="AC157" s="539"/>
      <c r="AD157" s="537"/>
      <c r="AE157" s="523"/>
      <c r="AF157" s="528"/>
      <c r="AG157" s="508"/>
      <c r="AH157" s="508"/>
      <c r="AI157" s="508"/>
      <c r="AJ157" s="508"/>
      <c r="AK157" s="508"/>
      <c r="AL157" s="508"/>
      <c r="AM157" s="508"/>
      <c r="AN157" s="508"/>
      <c r="AO157" s="508"/>
      <c r="AP157" s="508"/>
    </row>
    <row r="158" spans="1:42" x14ac:dyDescent="0.2">
      <c r="A158" s="528"/>
      <c r="B158" s="528"/>
      <c r="C158" s="528"/>
      <c r="D158" s="528"/>
      <c r="E158" s="528"/>
      <c r="F158" s="528"/>
      <c r="G158" s="528"/>
      <c r="H158" s="528"/>
      <c r="I158" s="528"/>
      <c r="J158" s="528"/>
      <c r="K158" s="528"/>
      <c r="L158" s="528"/>
      <c r="M158" s="528"/>
      <c r="N158" s="528"/>
      <c r="O158" s="528"/>
      <c r="P158" s="528"/>
      <c r="Q158" s="528"/>
      <c r="R158" s="528"/>
      <c r="S158" s="528"/>
      <c r="T158" s="528"/>
      <c r="U158" s="528"/>
      <c r="V158" s="528"/>
      <c r="W158" s="1365"/>
      <c r="X158" s="1366"/>
      <c r="Y158" s="533"/>
      <c r="Z158" s="538"/>
      <c r="AA158" s="534"/>
      <c r="AB158" s="535"/>
      <c r="AC158" s="539"/>
      <c r="AD158" s="537"/>
      <c r="AE158" s="523"/>
      <c r="AF158" s="528"/>
      <c r="AG158" s="508"/>
      <c r="AH158" s="508"/>
      <c r="AI158" s="508"/>
      <c r="AJ158" s="508"/>
      <c r="AK158" s="508"/>
      <c r="AL158" s="508"/>
      <c r="AM158" s="508"/>
      <c r="AN158" s="508"/>
      <c r="AO158" s="508"/>
      <c r="AP158" s="508"/>
    </row>
    <row r="159" spans="1:42" x14ac:dyDescent="0.2">
      <c r="A159" s="528"/>
      <c r="B159" s="528"/>
      <c r="C159" s="528"/>
      <c r="D159" s="528"/>
      <c r="E159" s="528"/>
      <c r="F159" s="528"/>
      <c r="G159" s="528"/>
      <c r="H159" s="528"/>
      <c r="I159" s="528"/>
      <c r="J159" s="528"/>
      <c r="K159" s="528"/>
      <c r="L159" s="528"/>
      <c r="M159" s="528"/>
      <c r="N159" s="528"/>
      <c r="O159" s="528"/>
      <c r="P159" s="528"/>
      <c r="Q159" s="528"/>
      <c r="R159" s="528"/>
      <c r="S159" s="528"/>
      <c r="T159" s="528"/>
      <c r="U159" s="528"/>
      <c r="V159" s="528"/>
      <c r="W159" s="1365"/>
      <c r="X159" s="1366"/>
      <c r="Y159" s="533"/>
      <c r="Z159" s="538"/>
      <c r="AA159" s="534"/>
      <c r="AB159" s="535"/>
      <c r="AC159" s="539"/>
      <c r="AD159" s="537"/>
      <c r="AE159" s="523"/>
      <c r="AF159" s="528"/>
      <c r="AG159" s="508"/>
      <c r="AH159" s="508"/>
      <c r="AI159" s="508"/>
      <c r="AJ159" s="508"/>
      <c r="AK159" s="508"/>
      <c r="AL159" s="508"/>
      <c r="AM159" s="508"/>
      <c r="AN159" s="508"/>
      <c r="AO159" s="508"/>
      <c r="AP159" s="508"/>
    </row>
    <row r="160" spans="1:42" ht="15.75" x14ac:dyDescent="0.25">
      <c r="A160" s="731"/>
      <c r="B160" s="731"/>
      <c r="C160" s="528"/>
      <c r="D160" s="528"/>
      <c r="E160" s="528"/>
      <c r="F160" s="528"/>
      <c r="G160" s="528"/>
      <c r="H160" s="528"/>
      <c r="I160" s="528"/>
      <c r="J160" s="528"/>
      <c r="K160" s="528"/>
      <c r="L160" s="731"/>
      <c r="M160" s="731"/>
      <c r="N160" s="748"/>
      <c r="O160" s="528"/>
      <c r="P160" s="528"/>
      <c r="Q160" s="528"/>
      <c r="R160" s="528"/>
      <c r="S160" s="528"/>
      <c r="T160" s="528"/>
      <c r="U160" s="528"/>
      <c r="V160" s="528"/>
      <c r="W160" s="1365"/>
      <c r="X160" s="1366"/>
      <c r="Y160" s="533"/>
      <c r="Z160" s="538"/>
      <c r="AA160" s="534"/>
      <c r="AB160" s="535"/>
      <c r="AC160" s="539"/>
      <c r="AD160" s="537"/>
      <c r="AE160" s="523"/>
      <c r="AF160" s="528"/>
      <c r="AG160" s="508"/>
      <c r="AH160" s="508"/>
      <c r="AI160" s="508"/>
      <c r="AJ160" s="508"/>
      <c r="AK160" s="508"/>
      <c r="AL160" s="508"/>
      <c r="AM160" s="508"/>
      <c r="AN160" s="508"/>
      <c r="AO160" s="508"/>
      <c r="AP160" s="508"/>
    </row>
    <row r="161" spans="1:42" x14ac:dyDescent="0.2">
      <c r="A161" s="528"/>
      <c r="B161" s="528"/>
      <c r="C161" s="528"/>
      <c r="D161" s="528"/>
      <c r="E161" s="528"/>
      <c r="F161" s="528"/>
      <c r="G161" s="528"/>
      <c r="H161" s="528"/>
      <c r="I161" s="528"/>
      <c r="J161" s="528"/>
      <c r="K161" s="528"/>
      <c r="L161" s="528"/>
      <c r="M161" s="528"/>
      <c r="N161" s="528"/>
      <c r="O161" s="528"/>
      <c r="P161" s="528"/>
      <c r="Q161" s="528"/>
      <c r="R161" s="528"/>
      <c r="S161" s="528"/>
      <c r="T161" s="528"/>
      <c r="U161" s="528"/>
      <c r="V161" s="528"/>
      <c r="W161" s="1365"/>
      <c r="X161" s="1366"/>
      <c r="Y161" s="533"/>
      <c r="Z161" s="538"/>
      <c r="AA161" s="534"/>
      <c r="AB161" s="535"/>
      <c r="AC161" s="539"/>
      <c r="AD161" s="537"/>
      <c r="AE161" s="523"/>
      <c r="AF161" s="528"/>
      <c r="AG161" s="508"/>
      <c r="AH161" s="508"/>
      <c r="AI161" s="508"/>
      <c r="AJ161" s="508"/>
      <c r="AK161" s="508"/>
      <c r="AL161" s="508"/>
      <c r="AM161" s="508"/>
      <c r="AN161" s="508"/>
      <c r="AO161" s="508"/>
      <c r="AP161" s="508"/>
    </row>
    <row r="162" spans="1:42" x14ac:dyDescent="0.2">
      <c r="A162" s="528"/>
      <c r="B162" s="529"/>
      <c r="C162" s="529"/>
      <c r="D162" s="529"/>
      <c r="E162" s="531"/>
      <c r="F162" s="531"/>
      <c r="G162" s="532"/>
      <c r="H162" s="532"/>
      <c r="I162" s="532"/>
      <c r="J162" s="531"/>
      <c r="K162" s="528"/>
      <c r="L162" s="529"/>
      <c r="M162" s="530"/>
      <c r="N162" s="529"/>
      <c r="O162" s="529"/>
      <c r="P162" s="531"/>
      <c r="Q162" s="531"/>
      <c r="R162" s="532"/>
      <c r="S162" s="532"/>
      <c r="T162" s="531"/>
      <c r="U162" s="528"/>
      <c r="V162" s="528"/>
      <c r="W162" s="1365"/>
      <c r="X162" s="1366"/>
      <c r="Y162" s="533"/>
      <c r="Z162" s="534"/>
      <c r="AA162" s="534"/>
      <c r="AB162" s="535"/>
      <c r="AC162" s="539"/>
      <c r="AD162" s="537"/>
      <c r="AE162" s="523"/>
      <c r="AF162" s="528"/>
      <c r="AG162" s="508"/>
      <c r="AH162" s="508"/>
      <c r="AI162" s="508"/>
      <c r="AJ162" s="508"/>
      <c r="AK162" s="508"/>
      <c r="AL162" s="508"/>
      <c r="AM162" s="508"/>
      <c r="AN162" s="508"/>
      <c r="AO162" s="508"/>
      <c r="AP162" s="508"/>
    </row>
    <row r="163" spans="1:42" ht="45" customHeight="1" x14ac:dyDescent="0.2">
      <c r="A163" s="528"/>
      <c r="B163" s="1365"/>
      <c r="C163" s="533"/>
      <c r="D163" s="733"/>
      <c r="E163" s="733"/>
      <c r="F163" s="734"/>
      <c r="G163" s="735"/>
      <c r="H163" s="735"/>
      <c r="I163" s="736"/>
      <c r="J163" s="537"/>
      <c r="K163" s="528"/>
      <c r="L163" s="1365"/>
      <c r="M163" s="578"/>
      <c r="N163" s="533"/>
      <c r="O163" s="534"/>
      <c r="P163" s="534"/>
      <c r="Q163" s="535"/>
      <c r="R163" s="536"/>
      <c r="S163" s="539"/>
      <c r="T163" s="537"/>
      <c r="U163" s="528"/>
      <c r="V163" s="528"/>
      <c r="W163" s="1365"/>
      <c r="X163" s="1366"/>
      <c r="Y163" s="533"/>
      <c r="Z163" s="534"/>
      <c r="AA163" s="534"/>
      <c r="AB163" s="535"/>
      <c r="AC163" s="539"/>
      <c r="AD163" s="537"/>
      <c r="AE163" s="523"/>
      <c r="AF163" s="528"/>
      <c r="AG163" s="508"/>
      <c r="AH163" s="508"/>
      <c r="AI163" s="508"/>
      <c r="AJ163" s="508"/>
      <c r="AK163" s="508"/>
      <c r="AL163" s="508"/>
      <c r="AM163" s="508"/>
      <c r="AN163" s="508"/>
      <c r="AO163" s="508"/>
      <c r="AP163" s="508"/>
    </row>
    <row r="164" spans="1:42" ht="33.75" customHeight="1" x14ac:dyDescent="0.2">
      <c r="A164" s="528"/>
      <c r="B164" s="1365"/>
      <c r="C164" s="533"/>
      <c r="D164" s="534"/>
      <c r="E164" s="534"/>
      <c r="F164" s="535"/>
      <c r="G164" s="536"/>
      <c r="H164" s="536"/>
      <c r="I164" s="539"/>
      <c r="J164" s="537"/>
      <c r="K164" s="528"/>
      <c r="L164" s="1365"/>
      <c r="M164" s="1366"/>
      <c r="N164" s="533"/>
      <c r="O164" s="534"/>
      <c r="P164" s="534"/>
      <c r="Q164" s="535"/>
      <c r="R164" s="536"/>
      <c r="S164" s="539"/>
      <c r="T164" s="537"/>
      <c r="U164" s="528"/>
      <c r="V164" s="528"/>
      <c r="W164" s="1365"/>
      <c r="X164" s="1366"/>
      <c r="Y164" s="533"/>
      <c r="Z164" s="534"/>
      <c r="AA164" s="534"/>
      <c r="AB164" s="535"/>
      <c r="AC164" s="539"/>
      <c r="AD164" s="537"/>
      <c r="AE164" s="523"/>
      <c r="AF164" s="528"/>
      <c r="AG164" s="508"/>
      <c r="AH164" s="508"/>
      <c r="AI164" s="508"/>
      <c r="AJ164" s="508"/>
      <c r="AK164" s="508"/>
      <c r="AL164" s="508"/>
      <c r="AM164" s="508"/>
      <c r="AN164" s="508"/>
      <c r="AO164" s="508"/>
      <c r="AP164" s="508"/>
    </row>
    <row r="165" spans="1:42" x14ac:dyDescent="0.2">
      <c r="A165" s="528"/>
      <c r="B165" s="1365"/>
      <c r="C165" s="533"/>
      <c r="D165" s="534"/>
      <c r="E165" s="534"/>
      <c r="F165" s="535"/>
      <c r="G165" s="536"/>
      <c r="H165" s="536"/>
      <c r="I165" s="539"/>
      <c r="J165" s="537"/>
      <c r="K165" s="528"/>
      <c r="L165" s="1365"/>
      <c r="M165" s="1366"/>
      <c r="N165" s="533"/>
      <c r="O165" s="534"/>
      <c r="P165" s="534"/>
      <c r="Q165" s="535"/>
      <c r="R165" s="536"/>
      <c r="S165" s="539"/>
      <c r="T165" s="537"/>
      <c r="U165" s="528"/>
      <c r="V165" s="528"/>
      <c r="W165" s="1365"/>
      <c r="X165" s="1366"/>
      <c r="Y165" s="533"/>
      <c r="Z165" s="534"/>
      <c r="AA165" s="534"/>
      <c r="AB165" s="535"/>
      <c r="AC165" s="539"/>
      <c r="AD165" s="537"/>
      <c r="AE165" s="523"/>
      <c r="AF165" s="528"/>
      <c r="AG165" s="508"/>
      <c r="AH165" s="508"/>
      <c r="AI165" s="508"/>
      <c r="AJ165" s="508"/>
      <c r="AK165" s="508"/>
      <c r="AL165" s="508"/>
      <c r="AM165" s="508"/>
      <c r="AN165" s="508"/>
      <c r="AO165" s="508"/>
      <c r="AP165" s="508"/>
    </row>
    <row r="166" spans="1:42" x14ac:dyDescent="0.2">
      <c r="A166" s="528"/>
      <c r="B166" s="1365"/>
      <c r="C166" s="533"/>
      <c r="D166" s="534"/>
      <c r="E166" s="534"/>
      <c r="F166" s="535"/>
      <c r="G166" s="536"/>
      <c r="H166" s="536"/>
      <c r="I166" s="539"/>
      <c r="J166" s="537"/>
      <c r="K166" s="528"/>
      <c r="L166" s="1365"/>
      <c r="M166" s="1366"/>
      <c r="N166" s="533"/>
      <c r="O166" s="534"/>
      <c r="P166" s="534"/>
      <c r="Q166" s="535"/>
      <c r="R166" s="536"/>
      <c r="S166" s="539"/>
      <c r="T166" s="537"/>
      <c r="U166" s="528"/>
      <c r="V166" s="528"/>
      <c r="W166" s="1365"/>
      <c r="X166" s="578"/>
      <c r="Y166" s="533"/>
      <c r="Z166" s="534"/>
      <c r="AA166" s="534"/>
      <c r="AB166" s="535"/>
      <c r="AC166" s="539"/>
      <c r="AD166" s="537"/>
      <c r="AE166" s="523"/>
      <c r="AF166" s="528"/>
      <c r="AG166" s="508"/>
      <c r="AH166" s="508"/>
      <c r="AI166" s="508"/>
      <c r="AJ166" s="508"/>
      <c r="AK166" s="508"/>
      <c r="AL166" s="508"/>
      <c r="AM166" s="508"/>
      <c r="AN166" s="508"/>
      <c r="AO166" s="508"/>
      <c r="AP166" s="508"/>
    </row>
    <row r="167" spans="1:42" ht="12.75" customHeight="1" x14ac:dyDescent="0.2">
      <c r="A167" s="528"/>
      <c r="B167" s="1365"/>
      <c r="C167" s="533"/>
      <c r="D167" s="534"/>
      <c r="E167" s="534"/>
      <c r="F167" s="535"/>
      <c r="G167" s="536"/>
      <c r="H167" s="536"/>
      <c r="I167" s="539"/>
      <c r="J167" s="537"/>
      <c r="K167" s="528"/>
      <c r="L167" s="1365"/>
      <c r="M167" s="1366"/>
      <c r="N167" s="533"/>
      <c r="O167" s="534"/>
      <c r="P167" s="534"/>
      <c r="Q167" s="535"/>
      <c r="R167" s="536"/>
      <c r="S167" s="539"/>
      <c r="T167" s="537"/>
      <c r="U167" s="528"/>
      <c r="V167" s="528"/>
      <c r="W167" s="1365"/>
      <c r="X167" s="578"/>
      <c r="Y167" s="533"/>
      <c r="Z167" s="534"/>
      <c r="AA167" s="534"/>
      <c r="AB167" s="535"/>
      <c r="AC167" s="539"/>
      <c r="AD167" s="537"/>
      <c r="AE167" s="523"/>
      <c r="AF167" s="528"/>
      <c r="AG167" s="508"/>
      <c r="AH167" s="508"/>
      <c r="AI167" s="508"/>
      <c r="AJ167" s="508"/>
      <c r="AK167" s="508"/>
      <c r="AL167" s="508"/>
      <c r="AM167" s="508"/>
      <c r="AN167" s="508"/>
      <c r="AO167" s="508"/>
      <c r="AP167" s="508"/>
    </row>
    <row r="168" spans="1:42" x14ac:dyDescent="0.2">
      <c r="A168" s="528"/>
      <c r="B168" s="1365"/>
      <c r="C168" s="533"/>
      <c r="D168" s="534"/>
      <c r="E168" s="534"/>
      <c r="F168" s="535"/>
      <c r="G168" s="536"/>
      <c r="H168" s="536"/>
      <c r="I168" s="539"/>
      <c r="J168" s="537"/>
      <c r="K168" s="528"/>
      <c r="L168" s="1365"/>
      <c r="M168" s="1366"/>
      <c r="N168" s="533"/>
      <c r="O168" s="534"/>
      <c r="P168" s="534"/>
      <c r="Q168" s="535"/>
      <c r="R168" s="536"/>
      <c r="S168" s="539"/>
      <c r="T168" s="537"/>
      <c r="U168" s="528"/>
      <c r="V168" s="528"/>
      <c r="W168" s="1365"/>
      <c r="X168" s="578"/>
      <c r="Y168" s="533"/>
      <c r="Z168" s="534"/>
      <c r="AA168" s="534"/>
      <c r="AB168" s="535"/>
      <c r="AC168" s="539"/>
      <c r="AD168" s="537"/>
      <c r="AE168" s="523"/>
      <c r="AF168" s="528"/>
      <c r="AG168" s="508"/>
      <c r="AH168" s="508"/>
      <c r="AI168" s="508"/>
      <c r="AJ168" s="508"/>
      <c r="AK168" s="508"/>
      <c r="AL168" s="508"/>
      <c r="AM168" s="508"/>
      <c r="AN168" s="508"/>
      <c r="AO168" s="508"/>
      <c r="AP168" s="508"/>
    </row>
    <row r="169" spans="1:42" x14ac:dyDescent="0.2">
      <c r="A169" s="528"/>
      <c r="B169" s="1365"/>
      <c r="C169" s="533"/>
      <c r="D169" s="534"/>
      <c r="E169" s="534"/>
      <c r="F169" s="535"/>
      <c r="G169" s="536"/>
      <c r="H169" s="536"/>
      <c r="I169" s="539"/>
      <c r="J169" s="537"/>
      <c r="K169" s="528"/>
      <c r="L169" s="1365"/>
      <c r="M169" s="578"/>
      <c r="N169" s="533"/>
      <c r="O169" s="534"/>
      <c r="P169" s="534"/>
      <c r="Q169" s="535"/>
      <c r="R169" s="536"/>
      <c r="S169" s="539"/>
      <c r="T169" s="537"/>
      <c r="U169" s="528"/>
      <c r="V169" s="528"/>
      <c r="W169" s="1365"/>
      <c r="X169" s="578"/>
      <c r="Y169" s="533"/>
      <c r="Z169" s="534"/>
      <c r="AA169" s="534"/>
      <c r="AB169" s="535"/>
      <c r="AC169" s="539"/>
      <c r="AD169" s="537"/>
      <c r="AE169" s="523"/>
      <c r="AF169" s="528"/>
      <c r="AG169" s="508"/>
      <c r="AH169" s="508"/>
      <c r="AI169" s="508"/>
      <c r="AJ169" s="508"/>
      <c r="AK169" s="508"/>
      <c r="AL169" s="508"/>
      <c r="AM169" s="508"/>
      <c r="AN169" s="508"/>
      <c r="AO169" s="508"/>
      <c r="AP169" s="508"/>
    </row>
    <row r="170" spans="1:42" ht="22.5" customHeight="1" x14ac:dyDescent="0.2">
      <c r="A170" s="528"/>
      <c r="B170" s="1365"/>
      <c r="C170" s="533"/>
      <c r="D170" s="538"/>
      <c r="E170" s="534"/>
      <c r="F170" s="535"/>
      <c r="G170" s="536"/>
      <c r="H170" s="536"/>
      <c r="I170" s="539"/>
      <c r="J170" s="537"/>
      <c r="K170" s="528"/>
      <c r="L170" s="1365"/>
      <c r="M170" s="1366"/>
      <c r="N170" s="533"/>
      <c r="O170" s="538"/>
      <c r="P170" s="534"/>
      <c r="Q170" s="535"/>
      <c r="R170" s="536"/>
      <c r="S170" s="539"/>
      <c r="T170" s="537"/>
      <c r="U170" s="528"/>
      <c r="V170" s="528"/>
      <c r="W170" s="1365"/>
      <c r="X170" s="578"/>
      <c r="Y170" s="533"/>
      <c r="Z170" s="534"/>
      <c r="AA170" s="534"/>
      <c r="AB170" s="535"/>
      <c r="AC170" s="539"/>
      <c r="AD170" s="537"/>
      <c r="AE170" s="523"/>
      <c r="AF170" s="528"/>
      <c r="AG170" s="508"/>
      <c r="AH170" s="508"/>
      <c r="AI170" s="508"/>
      <c r="AJ170" s="508"/>
      <c r="AK170" s="508"/>
      <c r="AL170" s="508"/>
      <c r="AM170" s="508"/>
      <c r="AN170" s="508"/>
      <c r="AO170" s="508"/>
      <c r="AP170" s="508"/>
    </row>
    <row r="171" spans="1:42" x14ac:dyDescent="0.2">
      <c r="A171" s="528"/>
      <c r="B171" s="1365"/>
      <c r="C171" s="533"/>
      <c r="D171" s="538"/>
      <c r="E171" s="534"/>
      <c r="F171" s="535"/>
      <c r="G171" s="536"/>
      <c r="H171" s="536"/>
      <c r="I171" s="539"/>
      <c r="J171" s="537"/>
      <c r="K171" s="528"/>
      <c r="L171" s="1365"/>
      <c r="M171" s="1366"/>
      <c r="N171" s="533"/>
      <c r="O171" s="538"/>
      <c r="P171" s="534"/>
      <c r="Q171" s="535"/>
      <c r="R171" s="536"/>
      <c r="S171" s="539"/>
      <c r="T171" s="537"/>
      <c r="U171" s="528"/>
      <c r="V171" s="528"/>
      <c r="W171" s="1365"/>
      <c r="X171" s="578"/>
      <c r="Y171" s="533"/>
      <c r="Z171" s="534"/>
      <c r="AA171" s="534"/>
      <c r="AB171" s="535"/>
      <c r="AC171" s="539"/>
      <c r="AD171" s="537"/>
      <c r="AE171" s="523"/>
      <c r="AF171" s="528"/>
      <c r="AG171" s="508"/>
      <c r="AH171" s="508"/>
      <c r="AI171" s="508"/>
      <c r="AJ171" s="508"/>
      <c r="AK171" s="508"/>
      <c r="AL171" s="508"/>
      <c r="AM171" s="508"/>
      <c r="AN171" s="508"/>
      <c r="AO171" s="508"/>
      <c r="AP171" s="508"/>
    </row>
    <row r="172" spans="1:42" x14ac:dyDescent="0.2">
      <c r="A172" s="528"/>
      <c r="B172" s="1365"/>
      <c r="C172" s="533"/>
      <c r="D172" s="538"/>
      <c r="E172" s="534"/>
      <c r="F172" s="535"/>
      <c r="G172" s="536"/>
      <c r="H172" s="536"/>
      <c r="I172" s="539"/>
      <c r="J172" s="537"/>
      <c r="K172" s="528"/>
      <c r="L172" s="1365"/>
      <c r="M172" s="1366"/>
      <c r="N172" s="533"/>
      <c r="O172" s="538"/>
      <c r="P172" s="534"/>
      <c r="Q172" s="535"/>
      <c r="R172" s="536"/>
      <c r="S172" s="539"/>
      <c r="T172" s="537"/>
      <c r="U172" s="528"/>
      <c r="V172" s="528"/>
      <c r="W172" s="1365"/>
      <c r="X172" s="578"/>
      <c r="Y172" s="533"/>
      <c r="Z172" s="534"/>
      <c r="AA172" s="534"/>
      <c r="AB172" s="535"/>
      <c r="AC172" s="539"/>
      <c r="AD172" s="537"/>
      <c r="AE172" s="523"/>
      <c r="AF172" s="528"/>
      <c r="AG172" s="508"/>
      <c r="AH172" s="508"/>
      <c r="AI172" s="508"/>
      <c r="AJ172" s="508"/>
      <c r="AK172" s="508"/>
      <c r="AL172" s="508"/>
      <c r="AM172" s="508"/>
      <c r="AN172" s="508"/>
      <c r="AO172" s="508"/>
      <c r="AP172" s="508"/>
    </row>
    <row r="173" spans="1:42" x14ac:dyDescent="0.2">
      <c r="A173" s="528"/>
      <c r="B173" s="1365"/>
      <c r="C173" s="533"/>
      <c r="D173" s="534"/>
      <c r="E173" s="534"/>
      <c r="F173" s="535"/>
      <c r="G173" s="536"/>
      <c r="H173" s="536"/>
      <c r="I173" s="539"/>
      <c r="J173" s="537"/>
      <c r="K173" s="528"/>
      <c r="L173" s="1365"/>
      <c r="M173" s="1366"/>
      <c r="N173" s="533"/>
      <c r="O173" s="538"/>
      <c r="P173" s="534"/>
      <c r="Q173" s="535"/>
      <c r="R173" s="536"/>
      <c r="S173" s="539"/>
      <c r="T173" s="537"/>
      <c r="U173" s="528"/>
      <c r="V173" s="528"/>
      <c r="W173" s="1365"/>
      <c r="X173" s="578"/>
      <c r="Y173" s="533"/>
      <c r="Z173" s="534"/>
      <c r="AA173" s="534"/>
      <c r="AB173" s="535"/>
      <c r="AC173" s="539"/>
      <c r="AD173" s="537"/>
      <c r="AE173" s="523"/>
      <c r="AF173" s="528"/>
      <c r="AG173" s="508"/>
      <c r="AH173" s="508"/>
      <c r="AI173" s="508"/>
      <c r="AJ173" s="508"/>
      <c r="AK173" s="508"/>
      <c r="AL173" s="508"/>
      <c r="AM173" s="508"/>
      <c r="AN173" s="508"/>
      <c r="AO173" s="508"/>
      <c r="AP173" s="508"/>
    </row>
    <row r="174" spans="1:42" x14ac:dyDescent="0.2">
      <c r="A174" s="528"/>
      <c r="B174" s="1365"/>
      <c r="C174" s="533"/>
      <c r="D174" s="534"/>
      <c r="E174" s="534"/>
      <c r="F174" s="535"/>
      <c r="G174" s="536"/>
      <c r="H174" s="536"/>
      <c r="I174" s="539"/>
      <c r="J174" s="537"/>
      <c r="K174" s="528"/>
      <c r="L174" s="1365"/>
      <c r="M174" s="1366"/>
      <c r="N174" s="533"/>
      <c r="O174" s="538"/>
      <c r="P174" s="534"/>
      <c r="Q174" s="535"/>
      <c r="R174" s="536"/>
      <c r="S174" s="539"/>
      <c r="T174" s="537"/>
      <c r="U174" s="528"/>
      <c r="V174" s="528"/>
      <c r="W174" s="1365"/>
      <c r="X174" s="578"/>
      <c r="Y174" s="533"/>
      <c r="Z174" s="534"/>
      <c r="AA174" s="534"/>
      <c r="AB174" s="535"/>
      <c r="AC174" s="539"/>
      <c r="AD174" s="537"/>
      <c r="AE174" s="523"/>
      <c r="AF174" s="528"/>
      <c r="AG174" s="508"/>
      <c r="AH174" s="508"/>
      <c r="AI174" s="508"/>
      <c r="AJ174" s="508"/>
      <c r="AK174" s="508"/>
      <c r="AL174" s="508"/>
      <c r="AM174" s="508"/>
      <c r="AN174" s="508"/>
      <c r="AO174" s="508"/>
      <c r="AP174" s="508"/>
    </row>
    <row r="175" spans="1:42" ht="22.5" customHeight="1" x14ac:dyDescent="0.2">
      <c r="A175" s="528"/>
      <c r="B175" s="1365"/>
      <c r="C175" s="533"/>
      <c r="D175" s="538"/>
      <c r="E175" s="534"/>
      <c r="F175" s="535"/>
      <c r="G175" s="536"/>
      <c r="H175" s="536"/>
      <c r="I175" s="539"/>
      <c r="J175" s="537"/>
      <c r="K175" s="528"/>
      <c r="L175" s="1365"/>
      <c r="M175" s="1366"/>
      <c r="N175" s="533"/>
      <c r="O175" s="534"/>
      <c r="P175" s="534"/>
      <c r="Q175" s="535"/>
      <c r="R175" s="536"/>
      <c r="S175" s="539"/>
      <c r="T175" s="537"/>
      <c r="U175" s="528"/>
      <c r="V175" s="528"/>
      <c r="W175" s="1365"/>
      <c r="X175" s="578"/>
      <c r="Y175" s="533"/>
      <c r="Z175" s="534"/>
      <c r="AA175" s="534"/>
      <c r="AB175" s="535"/>
      <c r="AC175" s="539"/>
      <c r="AD175" s="537"/>
      <c r="AE175" s="523"/>
      <c r="AF175" s="528"/>
      <c r="AG175" s="508"/>
      <c r="AH175" s="508"/>
      <c r="AI175" s="508"/>
      <c r="AJ175" s="508"/>
      <c r="AK175" s="508"/>
      <c r="AL175" s="508"/>
      <c r="AM175" s="508"/>
      <c r="AN175" s="508"/>
      <c r="AO175" s="508"/>
      <c r="AP175" s="508"/>
    </row>
    <row r="176" spans="1:42" x14ac:dyDescent="0.2">
      <c r="A176" s="528"/>
      <c r="B176" s="1365"/>
      <c r="C176" s="533"/>
      <c r="D176" s="538"/>
      <c r="E176" s="534"/>
      <c r="F176" s="535"/>
      <c r="G176" s="536"/>
      <c r="H176" s="536"/>
      <c r="I176" s="539"/>
      <c r="J176" s="537"/>
      <c r="K176" s="528"/>
      <c r="L176" s="1365"/>
      <c r="M176" s="1366"/>
      <c r="N176" s="533"/>
      <c r="O176" s="534"/>
      <c r="P176" s="534"/>
      <c r="Q176" s="535"/>
      <c r="R176" s="536"/>
      <c r="S176" s="539"/>
      <c r="T176" s="537"/>
      <c r="U176" s="528"/>
      <c r="V176" s="528"/>
      <c r="W176" s="1365"/>
      <c r="X176" s="578"/>
      <c r="Y176" s="533"/>
      <c r="Z176" s="534"/>
      <c r="AA176" s="534"/>
      <c r="AB176" s="535"/>
      <c r="AC176" s="539"/>
      <c r="AD176" s="537"/>
      <c r="AE176" s="523"/>
      <c r="AF176" s="528"/>
      <c r="AG176" s="508"/>
      <c r="AH176" s="508"/>
      <c r="AI176" s="508"/>
      <c r="AJ176" s="508"/>
      <c r="AK176" s="508"/>
      <c r="AL176" s="508"/>
      <c r="AM176" s="508"/>
      <c r="AN176" s="508"/>
      <c r="AO176" s="508"/>
      <c r="AP176" s="508"/>
    </row>
    <row r="177" spans="1:42" x14ac:dyDescent="0.2">
      <c r="A177" s="528"/>
      <c r="B177" s="1365"/>
      <c r="C177" s="533"/>
      <c r="D177" s="538"/>
      <c r="E177" s="534"/>
      <c r="F177" s="535"/>
      <c r="G177" s="536"/>
      <c r="H177" s="536"/>
      <c r="I177" s="539"/>
      <c r="J177" s="537"/>
      <c r="K177" s="528"/>
      <c r="L177" s="1365"/>
      <c r="M177" s="1366"/>
      <c r="N177" s="533"/>
      <c r="O177" s="534"/>
      <c r="P177" s="534"/>
      <c r="Q177" s="535"/>
      <c r="R177" s="536"/>
      <c r="S177" s="539"/>
      <c r="T177" s="537"/>
      <c r="U177" s="528"/>
      <c r="V177" s="528"/>
      <c r="W177" s="528"/>
      <c r="X177" s="528"/>
      <c r="Y177" s="528"/>
      <c r="Z177" s="528"/>
      <c r="AA177" s="528"/>
      <c r="AB177" s="528"/>
      <c r="AC177" s="534"/>
      <c r="AD177" s="540"/>
      <c r="AE177" s="523"/>
      <c r="AF177" s="528"/>
      <c r="AG177" s="508"/>
      <c r="AH177" s="508"/>
      <c r="AI177" s="508"/>
      <c r="AJ177" s="508"/>
      <c r="AK177" s="508"/>
      <c r="AL177" s="508"/>
      <c r="AM177" s="508"/>
      <c r="AN177" s="508"/>
      <c r="AO177" s="508"/>
      <c r="AP177" s="508"/>
    </row>
    <row r="178" spans="1:42" ht="22.5" customHeight="1" x14ac:dyDescent="0.2">
      <c r="A178" s="528"/>
      <c r="B178" s="1365"/>
      <c r="C178" s="533"/>
      <c r="D178" s="538"/>
      <c r="E178" s="534"/>
      <c r="F178" s="535"/>
      <c r="G178" s="536"/>
      <c r="H178" s="536"/>
      <c r="I178" s="539"/>
      <c r="J178" s="537"/>
      <c r="K178" s="528"/>
      <c r="L178" s="1365"/>
      <c r="M178" s="1366"/>
      <c r="N178" s="533"/>
      <c r="O178" s="538"/>
      <c r="P178" s="534"/>
      <c r="Q178" s="535"/>
      <c r="R178" s="536"/>
      <c r="S178" s="539"/>
      <c r="T178" s="537"/>
      <c r="U178" s="528"/>
      <c r="V178" s="528"/>
      <c r="W178" s="528"/>
      <c r="X178" s="528"/>
      <c r="Y178" s="528"/>
      <c r="Z178" s="528"/>
      <c r="AA178" s="528"/>
      <c r="AB178" s="528"/>
      <c r="AC178" s="541"/>
      <c r="AD178" s="542"/>
      <c r="AE178" s="525"/>
      <c r="AF178" s="528"/>
      <c r="AG178" s="508"/>
      <c r="AH178" s="508"/>
      <c r="AI178" s="508"/>
      <c r="AJ178" s="508"/>
      <c r="AK178" s="508"/>
      <c r="AL178" s="508"/>
      <c r="AM178" s="508"/>
      <c r="AN178" s="508"/>
      <c r="AO178" s="508"/>
      <c r="AP178" s="508"/>
    </row>
    <row r="179" spans="1:42" ht="22.5" customHeight="1" x14ac:dyDescent="0.2">
      <c r="A179" s="528"/>
      <c r="B179" s="1365"/>
      <c r="C179" s="533"/>
      <c r="D179" s="538"/>
      <c r="E179" s="534"/>
      <c r="F179" s="535"/>
      <c r="G179" s="536"/>
      <c r="H179" s="536"/>
      <c r="I179" s="539"/>
      <c r="J179" s="537"/>
      <c r="K179" s="528"/>
      <c r="L179" s="1365"/>
      <c r="M179" s="1366"/>
      <c r="N179" s="533"/>
      <c r="O179" s="538"/>
      <c r="P179" s="534"/>
      <c r="Q179" s="535"/>
      <c r="R179" s="536"/>
      <c r="S179" s="539"/>
      <c r="T179" s="537"/>
      <c r="U179" s="528"/>
      <c r="V179" s="528"/>
      <c r="W179" s="524"/>
      <c r="X179" s="524"/>
      <c r="Y179" s="524"/>
      <c r="Z179" s="524"/>
      <c r="AA179" s="524"/>
      <c r="AB179" s="524"/>
      <c r="AC179" s="524"/>
      <c r="AD179" s="526"/>
      <c r="AE179" s="527"/>
      <c r="AF179" s="508"/>
      <c r="AG179" s="508"/>
      <c r="AH179" s="508"/>
      <c r="AI179" s="508"/>
      <c r="AJ179" s="508"/>
      <c r="AK179" s="508"/>
      <c r="AL179" s="508"/>
      <c r="AM179" s="508"/>
      <c r="AN179" s="508"/>
      <c r="AO179" s="508"/>
      <c r="AP179" s="508"/>
    </row>
    <row r="180" spans="1:42" x14ac:dyDescent="0.2">
      <c r="A180" s="528"/>
      <c r="B180" s="1365"/>
      <c r="C180" s="533"/>
      <c r="D180" s="538"/>
      <c r="E180" s="534"/>
      <c r="F180" s="535"/>
      <c r="G180" s="536"/>
      <c r="H180" s="536"/>
      <c r="I180" s="539"/>
      <c r="J180" s="537"/>
      <c r="K180" s="528"/>
      <c r="L180" s="1365"/>
      <c r="M180" s="1366"/>
      <c r="N180" s="533"/>
      <c r="O180" s="538"/>
      <c r="P180" s="534"/>
      <c r="Q180" s="535"/>
      <c r="R180" s="536"/>
      <c r="S180" s="539"/>
      <c r="T180" s="537"/>
      <c r="U180" s="528"/>
      <c r="V180" s="528"/>
      <c r="W180" s="522"/>
      <c r="X180" s="522"/>
      <c r="Y180" s="522"/>
      <c r="Z180" s="522"/>
      <c r="AA180" s="522"/>
      <c r="AB180" s="522"/>
      <c r="AC180" s="522"/>
      <c r="AD180" s="522"/>
      <c r="AE180" s="522"/>
      <c r="AF180" s="508"/>
      <c r="AG180" s="508"/>
      <c r="AH180" s="508"/>
      <c r="AI180" s="508"/>
      <c r="AJ180" s="508"/>
      <c r="AK180" s="508"/>
      <c r="AL180" s="508"/>
      <c r="AM180" s="508"/>
      <c r="AN180" s="508"/>
      <c r="AO180" s="508"/>
      <c r="AP180" s="508"/>
    </row>
    <row r="181" spans="1:42" ht="33.75" customHeight="1" x14ac:dyDescent="0.2">
      <c r="A181" s="528"/>
      <c r="B181" s="1365"/>
      <c r="C181" s="533"/>
      <c r="D181" s="538"/>
      <c r="E181" s="534"/>
      <c r="F181" s="535"/>
      <c r="G181" s="536"/>
      <c r="H181" s="536"/>
      <c r="I181" s="539"/>
      <c r="J181" s="537"/>
      <c r="K181" s="528"/>
      <c r="L181" s="1365"/>
      <c r="M181" s="1366"/>
      <c r="N181" s="533"/>
      <c r="O181" s="538"/>
      <c r="P181" s="534"/>
      <c r="Q181" s="535"/>
      <c r="R181" s="536"/>
      <c r="S181" s="539"/>
      <c r="T181" s="537"/>
      <c r="U181" s="528"/>
      <c r="V181" s="528"/>
      <c r="W181" s="522"/>
      <c r="X181" s="522"/>
      <c r="Y181" s="522"/>
      <c r="Z181" s="522"/>
      <c r="AA181" s="522"/>
      <c r="AB181" s="522"/>
      <c r="AC181" s="522"/>
      <c r="AD181" s="522"/>
      <c r="AE181" s="522"/>
      <c r="AF181" s="508"/>
      <c r="AG181" s="508"/>
      <c r="AH181" s="508"/>
      <c r="AI181" s="508"/>
      <c r="AJ181" s="508"/>
      <c r="AK181" s="508"/>
      <c r="AL181" s="508"/>
      <c r="AM181" s="508"/>
      <c r="AN181" s="508"/>
      <c r="AO181" s="508"/>
      <c r="AP181" s="508"/>
    </row>
    <row r="182" spans="1:42" ht="56.25" customHeight="1" x14ac:dyDescent="0.2">
      <c r="A182" s="528"/>
      <c r="B182" s="1365"/>
      <c r="C182" s="533"/>
      <c r="D182" s="538"/>
      <c r="E182" s="534"/>
      <c r="F182" s="535"/>
      <c r="G182" s="536"/>
      <c r="H182" s="536"/>
      <c r="I182" s="539"/>
      <c r="J182" s="537"/>
      <c r="K182" s="528"/>
      <c r="L182" s="1365"/>
      <c r="M182" s="1366"/>
      <c r="N182" s="533"/>
      <c r="O182" s="538"/>
      <c r="P182" s="534"/>
      <c r="Q182" s="535"/>
      <c r="R182" s="536"/>
      <c r="S182" s="539"/>
      <c r="T182" s="537"/>
      <c r="U182" s="528"/>
      <c r="V182" s="528"/>
      <c r="W182" s="522"/>
      <c r="X182" s="522"/>
      <c r="Y182" s="522"/>
      <c r="Z182" s="522"/>
      <c r="AA182" s="522"/>
      <c r="AB182" s="522"/>
      <c r="AC182" s="522"/>
      <c r="AD182" s="522"/>
      <c r="AE182" s="522"/>
      <c r="AF182" s="508"/>
      <c r="AG182" s="508"/>
      <c r="AH182" s="508"/>
      <c r="AI182" s="508"/>
      <c r="AJ182" s="508"/>
      <c r="AK182" s="508"/>
      <c r="AL182" s="508"/>
      <c r="AM182" s="508"/>
      <c r="AN182" s="508"/>
      <c r="AO182" s="508"/>
      <c r="AP182" s="508"/>
    </row>
    <row r="183" spans="1:42" ht="22.5" customHeight="1" x14ac:dyDescent="0.2">
      <c r="A183" s="528"/>
      <c r="B183" s="1365"/>
      <c r="C183" s="533"/>
      <c r="D183" s="538"/>
      <c r="E183" s="534"/>
      <c r="F183" s="535"/>
      <c r="G183" s="536"/>
      <c r="H183" s="536"/>
      <c r="I183" s="539"/>
      <c r="J183" s="537"/>
      <c r="K183" s="528"/>
      <c r="L183" s="1365"/>
      <c r="M183" s="1366"/>
      <c r="N183" s="533"/>
      <c r="O183" s="538"/>
      <c r="P183" s="534"/>
      <c r="Q183" s="535"/>
      <c r="R183" s="536"/>
      <c r="S183" s="539"/>
      <c r="T183" s="537"/>
      <c r="U183" s="528"/>
      <c r="V183" s="528"/>
      <c r="W183" s="522"/>
      <c r="X183" s="522"/>
      <c r="Y183" s="522"/>
      <c r="Z183" s="522"/>
      <c r="AA183" s="522"/>
      <c r="AB183" s="522"/>
      <c r="AC183" s="522"/>
      <c r="AD183" s="522"/>
      <c r="AE183" s="522"/>
      <c r="AF183" s="508"/>
      <c r="AG183" s="508"/>
      <c r="AH183" s="508"/>
      <c r="AI183" s="508"/>
      <c r="AJ183" s="508"/>
      <c r="AK183" s="508"/>
      <c r="AL183" s="508"/>
      <c r="AM183" s="508"/>
      <c r="AN183" s="508"/>
      <c r="AO183" s="508"/>
      <c r="AP183" s="508"/>
    </row>
    <row r="184" spans="1:42" x14ac:dyDescent="0.2">
      <c r="A184" s="528"/>
      <c r="B184" s="1365"/>
      <c r="C184" s="533"/>
      <c r="D184" s="538"/>
      <c r="E184" s="534"/>
      <c r="F184" s="535"/>
      <c r="G184" s="536"/>
      <c r="H184" s="536"/>
      <c r="I184" s="539"/>
      <c r="J184" s="537"/>
      <c r="K184" s="528"/>
      <c r="L184" s="1365"/>
      <c r="M184" s="1366"/>
      <c r="N184" s="533"/>
      <c r="O184" s="538"/>
      <c r="P184" s="534"/>
      <c r="Q184" s="535"/>
      <c r="R184" s="536"/>
      <c r="S184" s="539"/>
      <c r="T184" s="537"/>
      <c r="U184" s="528"/>
      <c r="V184" s="528"/>
      <c r="W184" s="522"/>
      <c r="X184" s="522"/>
      <c r="Y184" s="522"/>
      <c r="Z184" s="522"/>
      <c r="AA184" s="522"/>
      <c r="AB184" s="522"/>
      <c r="AC184" s="522"/>
      <c r="AD184" s="522"/>
      <c r="AE184" s="522"/>
      <c r="AF184" s="508"/>
      <c r="AG184" s="508"/>
      <c r="AH184" s="508"/>
      <c r="AI184" s="508"/>
      <c r="AJ184" s="508"/>
      <c r="AK184" s="508"/>
      <c r="AL184" s="508"/>
      <c r="AM184" s="508"/>
      <c r="AN184" s="508"/>
      <c r="AO184" s="508"/>
      <c r="AP184" s="508"/>
    </row>
    <row r="185" spans="1:42" ht="33.75" customHeight="1" x14ac:dyDescent="0.2">
      <c r="A185" s="528"/>
      <c r="B185" s="1365"/>
      <c r="C185" s="533"/>
      <c r="D185" s="538"/>
      <c r="E185" s="534"/>
      <c r="F185" s="535"/>
      <c r="G185" s="536"/>
      <c r="H185" s="536"/>
      <c r="I185" s="539"/>
      <c r="J185" s="537"/>
      <c r="K185" s="528"/>
      <c r="L185" s="1365"/>
      <c r="M185" s="1366"/>
      <c r="N185" s="533"/>
      <c r="O185" s="538"/>
      <c r="P185" s="534"/>
      <c r="Q185" s="535"/>
      <c r="R185" s="536"/>
      <c r="S185" s="539"/>
      <c r="T185" s="537"/>
      <c r="U185" s="528"/>
      <c r="V185" s="528"/>
      <c r="W185" s="522"/>
      <c r="X185" s="522"/>
      <c r="Y185" s="522"/>
      <c r="Z185" s="522"/>
      <c r="AA185" s="522"/>
      <c r="AB185" s="522"/>
      <c r="AC185" s="522"/>
      <c r="AD185" s="522"/>
      <c r="AE185" s="522"/>
      <c r="AF185" s="508"/>
      <c r="AG185" s="508"/>
      <c r="AH185" s="508"/>
      <c r="AI185" s="508"/>
      <c r="AJ185" s="508"/>
      <c r="AK185" s="508"/>
      <c r="AL185" s="508"/>
      <c r="AM185" s="508"/>
      <c r="AN185" s="508"/>
      <c r="AO185" s="508"/>
      <c r="AP185" s="508"/>
    </row>
    <row r="186" spans="1:42" ht="33.75" customHeight="1" x14ac:dyDescent="0.2">
      <c r="A186" s="528"/>
      <c r="B186" s="1365"/>
      <c r="C186" s="533"/>
      <c r="D186" s="538"/>
      <c r="E186" s="534"/>
      <c r="F186" s="535"/>
      <c r="G186" s="536"/>
      <c r="H186" s="536"/>
      <c r="I186" s="539"/>
      <c r="J186" s="537"/>
      <c r="K186" s="528"/>
      <c r="L186" s="1365"/>
      <c r="M186" s="1366"/>
      <c r="N186" s="533"/>
      <c r="O186" s="538"/>
      <c r="P186" s="534"/>
      <c r="Q186" s="535"/>
      <c r="R186" s="536"/>
      <c r="S186" s="539"/>
      <c r="T186" s="537"/>
      <c r="U186" s="528"/>
      <c r="V186" s="528"/>
      <c r="W186" s="522"/>
      <c r="X186" s="522"/>
      <c r="Y186" s="522"/>
      <c r="Z186" s="522"/>
      <c r="AA186" s="522"/>
      <c r="AB186" s="522"/>
      <c r="AC186" s="522"/>
      <c r="AD186" s="522"/>
      <c r="AE186" s="522"/>
      <c r="AF186" s="508"/>
      <c r="AG186" s="508"/>
      <c r="AH186" s="508"/>
      <c r="AI186" s="508"/>
      <c r="AJ186" s="508"/>
      <c r="AK186" s="508"/>
      <c r="AL186" s="508"/>
      <c r="AM186" s="508"/>
      <c r="AN186" s="508"/>
      <c r="AO186" s="508"/>
      <c r="AP186" s="508"/>
    </row>
    <row r="187" spans="1:42" ht="33.75" customHeight="1" x14ac:dyDescent="0.2">
      <c r="A187" s="528"/>
      <c r="B187" s="1365"/>
      <c r="C187" s="533"/>
      <c r="D187" s="538"/>
      <c r="E187" s="534"/>
      <c r="F187" s="535"/>
      <c r="G187" s="536"/>
      <c r="H187" s="536"/>
      <c r="I187" s="539"/>
      <c r="J187" s="537"/>
      <c r="K187" s="528"/>
      <c r="L187" s="1365"/>
      <c r="M187" s="1366"/>
      <c r="N187" s="533"/>
      <c r="O187" s="538"/>
      <c r="P187" s="534"/>
      <c r="Q187" s="535"/>
      <c r="R187" s="536"/>
      <c r="S187" s="539"/>
      <c r="T187" s="537"/>
      <c r="U187" s="528"/>
      <c r="V187" s="528"/>
      <c r="W187" s="522"/>
      <c r="X187" s="522"/>
      <c r="Y187" s="522"/>
      <c r="Z187" s="522"/>
      <c r="AA187" s="522"/>
      <c r="AB187" s="522"/>
      <c r="AC187" s="522"/>
      <c r="AD187" s="522"/>
      <c r="AE187" s="522"/>
      <c r="AF187" s="508"/>
      <c r="AG187" s="508"/>
      <c r="AH187" s="508"/>
      <c r="AI187" s="508"/>
      <c r="AJ187" s="508"/>
      <c r="AK187" s="508"/>
      <c r="AL187" s="508"/>
      <c r="AM187" s="508"/>
      <c r="AN187" s="508"/>
      <c r="AO187" s="508"/>
      <c r="AP187" s="508"/>
    </row>
    <row r="188" spans="1:42" x14ac:dyDescent="0.2">
      <c r="A188" s="528"/>
      <c r="B188" s="1365"/>
      <c r="C188" s="533"/>
      <c r="D188" s="538"/>
      <c r="E188" s="534"/>
      <c r="F188" s="535"/>
      <c r="G188" s="536"/>
      <c r="H188" s="536"/>
      <c r="I188" s="539"/>
      <c r="J188" s="537"/>
      <c r="K188" s="528"/>
      <c r="L188" s="1365"/>
      <c r="M188" s="1366"/>
      <c r="N188" s="533"/>
      <c r="O188" s="538"/>
      <c r="P188" s="534"/>
      <c r="Q188" s="535"/>
      <c r="R188" s="536"/>
      <c r="S188" s="539"/>
      <c r="T188" s="537"/>
      <c r="U188" s="528"/>
      <c r="V188" s="528"/>
      <c r="W188" s="522"/>
      <c r="X188" s="522"/>
      <c r="Y188" s="522"/>
      <c r="Z188" s="522"/>
      <c r="AA188" s="522"/>
      <c r="AB188" s="522"/>
      <c r="AC188" s="522"/>
      <c r="AD188" s="522"/>
      <c r="AE188" s="522"/>
      <c r="AF188" s="508"/>
      <c r="AG188" s="508"/>
      <c r="AH188" s="508"/>
      <c r="AI188" s="508"/>
      <c r="AJ188" s="508"/>
      <c r="AK188" s="508"/>
      <c r="AL188" s="508"/>
      <c r="AM188" s="508"/>
      <c r="AN188" s="508"/>
      <c r="AO188" s="508"/>
      <c r="AP188" s="508"/>
    </row>
    <row r="189" spans="1:42" ht="22.5" customHeight="1" x14ac:dyDescent="0.2">
      <c r="A189" s="528"/>
      <c r="B189" s="1365"/>
      <c r="C189" s="533"/>
      <c r="D189" s="538"/>
      <c r="E189" s="534"/>
      <c r="F189" s="535"/>
      <c r="G189" s="536"/>
      <c r="H189" s="536"/>
      <c r="I189" s="539"/>
      <c r="J189" s="537"/>
      <c r="K189" s="528"/>
      <c r="L189" s="1365"/>
      <c r="M189" s="1366"/>
      <c r="N189" s="533"/>
      <c r="O189" s="538"/>
      <c r="P189" s="534"/>
      <c r="Q189" s="535"/>
      <c r="R189" s="536"/>
      <c r="S189" s="539"/>
      <c r="T189" s="537"/>
      <c r="U189" s="528"/>
      <c r="V189" s="528"/>
      <c r="W189" s="522"/>
      <c r="X189" s="522"/>
      <c r="Y189" s="522"/>
      <c r="Z189" s="522"/>
      <c r="AA189" s="522"/>
      <c r="AB189" s="522"/>
      <c r="AC189" s="522"/>
      <c r="AD189" s="522"/>
      <c r="AE189" s="522"/>
      <c r="AF189" s="508"/>
      <c r="AG189" s="508"/>
      <c r="AH189" s="508"/>
      <c r="AI189" s="508"/>
      <c r="AJ189" s="508"/>
      <c r="AK189" s="508"/>
      <c r="AL189" s="508"/>
      <c r="AM189" s="508"/>
      <c r="AN189" s="508"/>
      <c r="AO189" s="508"/>
      <c r="AP189" s="508"/>
    </row>
    <row r="190" spans="1:42" x14ac:dyDescent="0.2">
      <c r="A190" s="528"/>
      <c r="B190" s="1365"/>
      <c r="C190" s="533"/>
      <c r="D190" s="538"/>
      <c r="E190" s="534"/>
      <c r="F190" s="535"/>
      <c r="G190" s="536"/>
      <c r="H190" s="536"/>
      <c r="I190" s="539"/>
      <c r="J190" s="537"/>
      <c r="K190" s="528"/>
      <c r="L190" s="1365"/>
      <c r="M190" s="1366"/>
      <c r="N190" s="533"/>
      <c r="O190" s="538"/>
      <c r="P190" s="534"/>
      <c r="Q190" s="535"/>
      <c r="R190" s="536"/>
      <c r="S190" s="539"/>
      <c r="T190" s="537"/>
      <c r="U190" s="528"/>
      <c r="V190" s="528"/>
      <c r="W190" s="522"/>
      <c r="X190" s="522"/>
      <c r="Y190" s="522"/>
      <c r="Z190" s="522"/>
      <c r="AA190" s="522"/>
      <c r="AB190" s="522"/>
      <c r="AC190" s="522"/>
      <c r="AD190" s="522"/>
      <c r="AE190" s="522"/>
      <c r="AF190" s="508"/>
      <c r="AG190" s="508"/>
      <c r="AH190" s="508"/>
      <c r="AI190" s="508"/>
      <c r="AJ190" s="508"/>
      <c r="AK190" s="508"/>
      <c r="AL190" s="508"/>
      <c r="AM190" s="508"/>
      <c r="AN190" s="508"/>
      <c r="AO190" s="508"/>
      <c r="AP190" s="508"/>
    </row>
    <row r="191" spans="1:42" ht="22.5" customHeight="1" x14ac:dyDescent="0.2">
      <c r="A191" s="528"/>
      <c r="B191" s="1365"/>
      <c r="C191" s="533"/>
      <c r="D191" s="538"/>
      <c r="E191" s="534"/>
      <c r="F191" s="535"/>
      <c r="G191" s="536"/>
      <c r="H191" s="536"/>
      <c r="I191" s="539"/>
      <c r="J191" s="537"/>
      <c r="K191" s="528"/>
      <c r="L191" s="1365"/>
      <c r="M191" s="1366"/>
      <c r="N191" s="533"/>
      <c r="O191" s="538"/>
      <c r="P191" s="534"/>
      <c r="Q191" s="535"/>
      <c r="R191" s="536"/>
      <c r="S191" s="539"/>
      <c r="T191" s="537"/>
      <c r="U191" s="528"/>
      <c r="V191" s="528"/>
      <c r="W191" s="522"/>
      <c r="X191" s="522"/>
      <c r="Y191" s="522"/>
      <c r="Z191" s="522"/>
      <c r="AA191" s="522"/>
      <c r="AB191" s="522"/>
      <c r="AC191" s="522"/>
      <c r="AD191" s="522"/>
      <c r="AE191" s="522"/>
      <c r="AF191" s="508"/>
      <c r="AG191" s="508"/>
      <c r="AH191" s="508"/>
      <c r="AI191" s="508"/>
      <c r="AJ191" s="508"/>
      <c r="AK191" s="508"/>
      <c r="AL191" s="508"/>
      <c r="AM191" s="508"/>
      <c r="AN191" s="508"/>
      <c r="AO191" s="508"/>
      <c r="AP191" s="508"/>
    </row>
    <row r="192" spans="1:42" x14ac:dyDescent="0.2">
      <c r="A192" s="528"/>
      <c r="B192" s="1365"/>
      <c r="C192" s="533"/>
      <c r="D192" s="538"/>
      <c r="E192" s="534"/>
      <c r="F192" s="535"/>
      <c r="G192" s="536"/>
      <c r="H192" s="536"/>
      <c r="I192" s="539"/>
      <c r="J192" s="537"/>
      <c r="K192" s="528"/>
      <c r="L192" s="1365"/>
      <c r="M192" s="1366"/>
      <c r="N192" s="533"/>
      <c r="O192" s="538"/>
      <c r="P192" s="534"/>
      <c r="Q192" s="535"/>
      <c r="R192" s="536"/>
      <c r="S192" s="539"/>
      <c r="T192" s="537"/>
      <c r="U192" s="528"/>
      <c r="V192" s="528"/>
      <c r="W192" s="522"/>
      <c r="X192" s="522"/>
      <c r="Y192" s="522"/>
      <c r="Z192" s="522"/>
      <c r="AA192" s="522"/>
      <c r="AB192" s="522"/>
      <c r="AC192" s="522"/>
      <c r="AD192" s="522"/>
      <c r="AE192" s="522"/>
      <c r="AF192" s="508"/>
      <c r="AG192" s="508"/>
      <c r="AH192" s="508"/>
      <c r="AI192" s="508"/>
      <c r="AJ192" s="508"/>
      <c r="AK192" s="508"/>
      <c r="AL192" s="508"/>
      <c r="AM192" s="508"/>
      <c r="AN192" s="508"/>
      <c r="AO192" s="508"/>
      <c r="AP192" s="508"/>
    </row>
    <row r="193" spans="1:42" ht="56.25" customHeight="1" x14ac:dyDescent="0.2">
      <c r="A193" s="528"/>
      <c r="B193" s="1365"/>
      <c r="C193" s="533"/>
      <c r="D193" s="534"/>
      <c r="E193" s="534"/>
      <c r="F193" s="535"/>
      <c r="G193" s="536"/>
      <c r="H193" s="536"/>
      <c r="I193" s="539"/>
      <c r="J193" s="537"/>
      <c r="K193" s="528"/>
      <c r="L193" s="1365"/>
      <c r="M193" s="578"/>
      <c r="N193" s="533"/>
      <c r="O193" s="538"/>
      <c r="P193" s="534"/>
      <c r="Q193" s="535"/>
      <c r="R193" s="536"/>
      <c r="S193" s="539"/>
      <c r="T193" s="537"/>
      <c r="U193" s="528"/>
      <c r="V193" s="528"/>
      <c r="W193" s="528"/>
      <c r="X193" s="528"/>
      <c r="Y193" s="528"/>
      <c r="Z193" s="528"/>
      <c r="AA193" s="528"/>
      <c r="AB193" s="508"/>
      <c r="AC193" s="508"/>
      <c r="AD193" s="508"/>
      <c r="AE193" s="508"/>
      <c r="AF193" s="508"/>
      <c r="AG193" s="508"/>
      <c r="AH193" s="508"/>
      <c r="AI193" s="508"/>
      <c r="AJ193" s="508"/>
      <c r="AK193" s="508"/>
      <c r="AL193" s="508"/>
      <c r="AM193" s="508"/>
      <c r="AN193" s="508"/>
      <c r="AO193" s="508"/>
      <c r="AP193" s="508"/>
    </row>
    <row r="194" spans="1:42" ht="22.5" customHeight="1" x14ac:dyDescent="0.2">
      <c r="A194" s="528"/>
      <c r="B194" s="1365"/>
      <c r="C194" s="533"/>
      <c r="D194" s="534"/>
      <c r="E194" s="534"/>
      <c r="F194" s="535"/>
      <c r="G194" s="536"/>
      <c r="H194" s="536"/>
      <c r="I194" s="539"/>
      <c r="J194" s="537"/>
      <c r="K194" s="528"/>
      <c r="L194" s="1365"/>
      <c r="M194" s="1366"/>
      <c r="N194" s="533"/>
      <c r="O194" s="538"/>
      <c r="P194" s="534"/>
      <c r="Q194" s="535"/>
      <c r="R194" s="536"/>
      <c r="S194" s="539"/>
      <c r="T194" s="537"/>
      <c r="U194" s="528"/>
      <c r="V194" s="528"/>
      <c r="W194" s="528"/>
      <c r="X194" s="528"/>
      <c r="Y194" s="528"/>
      <c r="Z194" s="528"/>
      <c r="AA194" s="528"/>
      <c r="AB194" s="508"/>
      <c r="AC194" s="508"/>
      <c r="AD194" s="508"/>
      <c r="AE194" s="508"/>
      <c r="AF194" s="508"/>
      <c r="AG194" s="508"/>
      <c r="AH194" s="508"/>
      <c r="AI194" s="508"/>
      <c r="AJ194" s="508"/>
      <c r="AK194" s="508"/>
      <c r="AL194" s="508"/>
      <c r="AM194" s="508"/>
      <c r="AN194" s="508"/>
      <c r="AO194" s="508"/>
      <c r="AP194" s="508"/>
    </row>
    <row r="195" spans="1:42" x14ac:dyDescent="0.2">
      <c r="A195" s="528"/>
      <c r="B195" s="1365"/>
      <c r="C195" s="533"/>
      <c r="D195" s="534"/>
      <c r="E195" s="534"/>
      <c r="F195" s="535"/>
      <c r="G195" s="536"/>
      <c r="H195" s="536"/>
      <c r="I195" s="539"/>
      <c r="J195" s="537"/>
      <c r="K195" s="528"/>
      <c r="L195" s="1365"/>
      <c r="M195" s="1366"/>
      <c r="N195" s="533"/>
      <c r="O195" s="538"/>
      <c r="P195" s="534"/>
      <c r="Q195" s="535"/>
      <c r="R195" s="536"/>
      <c r="S195" s="539"/>
      <c r="T195" s="537"/>
      <c r="U195" s="528"/>
      <c r="V195" s="528"/>
      <c r="W195" s="528"/>
      <c r="X195" s="528"/>
      <c r="Y195" s="528"/>
      <c r="Z195" s="528"/>
      <c r="AA195" s="528"/>
      <c r="AB195" s="508"/>
      <c r="AC195" s="508"/>
      <c r="AD195" s="508"/>
      <c r="AE195" s="508"/>
      <c r="AF195" s="508"/>
      <c r="AG195" s="508"/>
      <c r="AH195" s="508"/>
      <c r="AI195" s="508"/>
      <c r="AJ195" s="508"/>
      <c r="AK195" s="508"/>
      <c r="AL195" s="508"/>
      <c r="AM195" s="508"/>
      <c r="AN195" s="508"/>
      <c r="AO195" s="508"/>
      <c r="AP195" s="508"/>
    </row>
    <row r="196" spans="1:42" ht="22.5" customHeight="1" x14ac:dyDescent="0.2">
      <c r="A196" s="528"/>
      <c r="B196" s="1365"/>
      <c r="C196" s="533"/>
      <c r="D196" s="534"/>
      <c r="E196" s="534"/>
      <c r="F196" s="535"/>
      <c r="G196" s="536"/>
      <c r="H196" s="536"/>
      <c r="I196" s="539"/>
      <c r="J196" s="537"/>
      <c r="K196" s="528"/>
      <c r="L196" s="1365"/>
      <c r="M196" s="1366"/>
      <c r="N196" s="533"/>
      <c r="O196" s="538"/>
      <c r="P196" s="534"/>
      <c r="Q196" s="535"/>
      <c r="R196" s="536"/>
      <c r="S196" s="539"/>
      <c r="T196" s="537"/>
      <c r="U196" s="528"/>
      <c r="V196" s="528"/>
      <c r="W196" s="528"/>
      <c r="X196" s="528"/>
      <c r="Y196" s="528"/>
      <c r="Z196" s="528"/>
      <c r="AA196" s="528"/>
      <c r="AB196" s="508"/>
      <c r="AC196" s="508"/>
      <c r="AD196" s="508"/>
      <c r="AE196" s="508"/>
      <c r="AF196" s="508"/>
      <c r="AG196" s="508"/>
      <c r="AH196" s="508"/>
      <c r="AI196" s="508"/>
      <c r="AJ196" s="508"/>
      <c r="AK196" s="508"/>
      <c r="AL196" s="508"/>
      <c r="AM196" s="508"/>
      <c r="AN196" s="508"/>
      <c r="AO196" s="508"/>
      <c r="AP196" s="508"/>
    </row>
    <row r="197" spans="1:42" ht="22.5" customHeight="1" x14ac:dyDescent="0.2">
      <c r="A197" s="528"/>
      <c r="B197" s="1365"/>
      <c r="C197" s="533"/>
      <c r="D197" s="534"/>
      <c r="E197" s="534"/>
      <c r="F197" s="535"/>
      <c r="G197" s="536"/>
      <c r="H197" s="536"/>
      <c r="I197" s="539"/>
      <c r="J197" s="537"/>
      <c r="K197" s="528"/>
      <c r="L197" s="1365"/>
      <c r="M197" s="1366"/>
      <c r="N197" s="533"/>
      <c r="O197" s="538"/>
      <c r="P197" s="534"/>
      <c r="Q197" s="535"/>
      <c r="R197" s="536"/>
      <c r="S197" s="539"/>
      <c r="T197" s="537"/>
      <c r="U197" s="528"/>
      <c r="V197" s="528"/>
      <c r="W197" s="528"/>
      <c r="X197" s="528"/>
      <c r="Y197" s="528"/>
      <c r="Z197" s="528"/>
      <c r="AA197" s="528"/>
      <c r="AB197" s="508"/>
      <c r="AC197" s="508"/>
      <c r="AD197" s="508"/>
      <c r="AE197" s="508"/>
      <c r="AF197" s="508"/>
      <c r="AG197" s="508"/>
      <c r="AH197" s="508"/>
      <c r="AI197" s="508"/>
      <c r="AJ197" s="508"/>
      <c r="AK197" s="508"/>
      <c r="AL197" s="508"/>
      <c r="AM197" s="508"/>
      <c r="AN197" s="508"/>
      <c r="AO197" s="508"/>
      <c r="AP197" s="508"/>
    </row>
    <row r="198" spans="1:42" ht="33.75" customHeight="1" x14ac:dyDescent="0.2">
      <c r="A198" s="528"/>
      <c r="B198" s="1365"/>
      <c r="C198" s="533"/>
      <c r="D198" s="534"/>
      <c r="E198" s="534"/>
      <c r="F198" s="535"/>
      <c r="G198" s="536"/>
      <c r="H198" s="536"/>
      <c r="I198" s="539"/>
      <c r="J198" s="537"/>
      <c r="K198" s="528"/>
      <c r="L198" s="1365"/>
      <c r="M198" s="1366"/>
      <c r="N198" s="533"/>
      <c r="O198" s="534"/>
      <c r="P198" s="534"/>
      <c r="Q198" s="535"/>
      <c r="R198" s="536"/>
      <c r="S198" s="539"/>
      <c r="T198" s="537"/>
      <c r="U198" s="528"/>
      <c r="V198" s="528"/>
      <c r="W198" s="528"/>
      <c r="X198" s="528"/>
      <c r="Y198" s="528"/>
      <c r="Z198" s="528"/>
      <c r="AA198" s="528"/>
      <c r="AB198" s="508"/>
      <c r="AC198" s="508"/>
      <c r="AD198" s="508"/>
      <c r="AE198" s="508"/>
      <c r="AF198" s="508"/>
      <c r="AG198" s="508"/>
      <c r="AH198" s="508"/>
      <c r="AI198" s="508"/>
      <c r="AJ198" s="508"/>
      <c r="AK198" s="508"/>
      <c r="AL198" s="508"/>
      <c r="AM198" s="508"/>
      <c r="AN198" s="508"/>
      <c r="AO198" s="508"/>
      <c r="AP198" s="508"/>
    </row>
    <row r="199" spans="1:42" x14ac:dyDescent="0.2">
      <c r="A199" s="528"/>
      <c r="B199" s="1365"/>
      <c r="C199" s="533"/>
      <c r="D199" s="534"/>
      <c r="E199" s="534"/>
      <c r="F199" s="535"/>
      <c r="G199" s="536"/>
      <c r="H199" s="536"/>
      <c r="I199" s="539"/>
      <c r="J199" s="537"/>
      <c r="K199" s="528"/>
      <c r="L199" s="1365"/>
      <c r="M199" s="1366"/>
      <c r="N199" s="533"/>
      <c r="O199" s="534"/>
      <c r="P199" s="534"/>
      <c r="Q199" s="535"/>
      <c r="R199" s="536"/>
      <c r="S199" s="539"/>
      <c r="T199" s="537"/>
      <c r="U199" s="528"/>
      <c r="V199" s="528"/>
      <c r="W199" s="528"/>
      <c r="X199" s="528"/>
      <c r="Y199" s="528"/>
      <c r="Z199" s="528"/>
      <c r="AA199" s="528"/>
      <c r="AB199" s="508"/>
      <c r="AC199" s="508"/>
      <c r="AD199" s="508"/>
      <c r="AE199" s="508"/>
      <c r="AF199" s="508"/>
      <c r="AG199" s="508"/>
      <c r="AH199" s="508"/>
      <c r="AI199" s="508"/>
      <c r="AJ199" s="508"/>
      <c r="AK199" s="508"/>
      <c r="AL199" s="508"/>
      <c r="AM199" s="508"/>
      <c r="AN199" s="508"/>
      <c r="AO199" s="508"/>
      <c r="AP199" s="508"/>
    </row>
    <row r="200" spans="1:42" x14ac:dyDescent="0.2">
      <c r="A200" s="528"/>
      <c r="B200" s="1365"/>
      <c r="C200" s="533"/>
      <c r="D200" s="534"/>
      <c r="E200" s="534"/>
      <c r="F200" s="535"/>
      <c r="G200" s="536"/>
      <c r="H200" s="536"/>
      <c r="I200" s="539"/>
      <c r="J200" s="537"/>
      <c r="K200" s="528"/>
      <c r="L200" s="1365"/>
      <c r="M200" s="1366"/>
      <c r="N200" s="533"/>
      <c r="O200" s="534"/>
      <c r="P200" s="534"/>
      <c r="Q200" s="535"/>
      <c r="R200" s="536"/>
      <c r="S200" s="539"/>
      <c r="T200" s="537"/>
      <c r="U200" s="528"/>
      <c r="V200" s="528"/>
      <c r="W200" s="528"/>
      <c r="X200" s="528"/>
      <c r="Y200" s="528"/>
      <c r="Z200" s="528"/>
      <c r="AA200" s="528"/>
      <c r="AB200" s="508"/>
      <c r="AC200" s="508"/>
      <c r="AD200" s="508"/>
      <c r="AE200" s="508"/>
      <c r="AF200" s="508"/>
      <c r="AG200" s="508"/>
      <c r="AH200" s="508"/>
      <c r="AI200" s="508"/>
      <c r="AJ200" s="508"/>
      <c r="AK200" s="508"/>
      <c r="AL200" s="508"/>
      <c r="AM200" s="508"/>
      <c r="AN200" s="508"/>
      <c r="AO200" s="508"/>
      <c r="AP200" s="508"/>
    </row>
    <row r="201" spans="1:42" x14ac:dyDescent="0.2">
      <c r="A201" s="528"/>
      <c r="B201" s="1365"/>
      <c r="C201" s="533"/>
      <c r="D201" s="534"/>
      <c r="E201" s="534"/>
      <c r="F201" s="535"/>
      <c r="G201" s="536"/>
      <c r="H201" s="536"/>
      <c r="I201" s="539"/>
      <c r="J201" s="537"/>
      <c r="K201" s="528"/>
      <c r="L201" s="1365"/>
      <c r="M201" s="1366"/>
      <c r="N201" s="533"/>
      <c r="O201" s="534"/>
      <c r="P201" s="534"/>
      <c r="Q201" s="535"/>
      <c r="R201" s="536"/>
      <c r="S201" s="539"/>
      <c r="T201" s="537"/>
      <c r="U201" s="528"/>
      <c r="V201" s="528"/>
      <c r="W201" s="528"/>
      <c r="X201" s="528"/>
      <c r="Y201" s="528"/>
      <c r="Z201" s="528"/>
      <c r="AA201" s="528"/>
      <c r="AB201" s="508"/>
      <c r="AC201" s="508"/>
      <c r="AD201" s="508"/>
      <c r="AE201" s="508"/>
      <c r="AF201" s="508"/>
      <c r="AG201" s="508"/>
      <c r="AH201" s="508"/>
      <c r="AI201" s="508"/>
      <c r="AJ201" s="508"/>
      <c r="AK201" s="508"/>
      <c r="AL201" s="508"/>
      <c r="AM201" s="508"/>
      <c r="AN201" s="508"/>
      <c r="AO201" s="508"/>
      <c r="AP201" s="508"/>
    </row>
    <row r="202" spans="1:42" x14ac:dyDescent="0.2">
      <c r="A202" s="528"/>
      <c r="B202" s="1365"/>
      <c r="C202" s="533"/>
      <c r="D202" s="534"/>
      <c r="E202" s="534"/>
      <c r="F202" s="535"/>
      <c r="G202" s="536"/>
      <c r="H202" s="536"/>
      <c r="I202" s="539"/>
      <c r="J202" s="537"/>
      <c r="K202" s="528"/>
      <c r="L202" s="1365"/>
      <c r="M202" s="578"/>
      <c r="N202" s="533"/>
      <c r="O202" s="534"/>
      <c r="P202" s="534"/>
      <c r="Q202" s="535"/>
      <c r="R202" s="536"/>
      <c r="S202" s="539"/>
      <c r="T202" s="537"/>
      <c r="U202" s="528"/>
      <c r="V202" s="528"/>
      <c r="W202" s="528"/>
      <c r="X202" s="528"/>
      <c r="Y202" s="528"/>
      <c r="Z202" s="528"/>
      <c r="AA202" s="528"/>
      <c r="AB202" s="508"/>
      <c r="AC202" s="508"/>
      <c r="AD202" s="508"/>
      <c r="AE202" s="508"/>
      <c r="AF202" s="508"/>
      <c r="AG202" s="508"/>
      <c r="AH202" s="508"/>
      <c r="AI202" s="508"/>
      <c r="AJ202" s="508"/>
      <c r="AK202" s="508"/>
      <c r="AL202" s="508"/>
      <c r="AM202" s="508"/>
      <c r="AN202" s="508"/>
      <c r="AO202" s="508"/>
      <c r="AP202" s="508"/>
    </row>
    <row r="203" spans="1:42" ht="22.5" customHeight="1" x14ac:dyDescent="0.2">
      <c r="A203" s="528"/>
      <c r="B203" s="1365"/>
      <c r="C203" s="533"/>
      <c r="D203" s="534"/>
      <c r="E203" s="534"/>
      <c r="F203" s="535"/>
      <c r="G203" s="536"/>
      <c r="H203" s="536"/>
      <c r="I203" s="539"/>
      <c r="J203" s="537"/>
      <c r="K203" s="528"/>
      <c r="L203" s="1365"/>
      <c r="M203" s="578"/>
      <c r="N203" s="533"/>
      <c r="O203" s="534"/>
      <c r="P203" s="534"/>
      <c r="Q203" s="535"/>
      <c r="R203" s="536"/>
      <c r="S203" s="539"/>
      <c r="T203" s="537"/>
      <c r="U203" s="528"/>
      <c r="V203" s="528"/>
      <c r="W203" s="528"/>
      <c r="X203" s="528"/>
      <c r="Y203" s="528"/>
      <c r="Z203" s="528"/>
      <c r="AA203" s="528"/>
      <c r="AB203" s="508"/>
      <c r="AC203" s="508"/>
      <c r="AD203" s="508"/>
      <c r="AE203" s="508"/>
      <c r="AF203" s="508"/>
      <c r="AG203" s="508"/>
      <c r="AH203" s="508"/>
      <c r="AI203" s="508"/>
      <c r="AJ203" s="508"/>
      <c r="AK203" s="508"/>
      <c r="AL203" s="508"/>
      <c r="AM203" s="508"/>
      <c r="AN203" s="508"/>
      <c r="AO203" s="508"/>
      <c r="AP203" s="508"/>
    </row>
    <row r="204" spans="1:42" x14ac:dyDescent="0.2">
      <c r="A204" s="528"/>
      <c r="B204" s="1365"/>
      <c r="C204" s="533"/>
      <c r="D204" s="534"/>
      <c r="E204" s="534"/>
      <c r="F204" s="535"/>
      <c r="G204" s="536"/>
      <c r="H204" s="536"/>
      <c r="I204" s="539"/>
      <c r="J204" s="537"/>
      <c r="K204" s="528"/>
      <c r="L204" s="1365"/>
      <c r="M204" s="578"/>
      <c r="N204" s="533"/>
      <c r="O204" s="534"/>
      <c r="P204" s="534"/>
      <c r="Q204" s="535"/>
      <c r="R204" s="536"/>
      <c r="S204" s="539"/>
      <c r="T204" s="537"/>
      <c r="U204" s="528"/>
      <c r="V204" s="528"/>
      <c r="W204" s="528"/>
      <c r="X204" s="528"/>
      <c r="Y204" s="528"/>
      <c r="Z204" s="528"/>
      <c r="AA204" s="528"/>
      <c r="AB204" s="508"/>
      <c r="AC204" s="508"/>
      <c r="AD204" s="508"/>
      <c r="AE204" s="508"/>
      <c r="AF204" s="508"/>
      <c r="AG204" s="508"/>
      <c r="AH204" s="508"/>
      <c r="AI204" s="508"/>
      <c r="AJ204" s="508"/>
      <c r="AK204" s="508"/>
      <c r="AL204" s="508"/>
      <c r="AM204" s="508"/>
      <c r="AN204" s="508"/>
      <c r="AO204" s="508"/>
      <c r="AP204" s="508"/>
    </row>
    <row r="205" spans="1:42" x14ac:dyDescent="0.2">
      <c r="A205" s="528"/>
      <c r="B205" s="1365"/>
      <c r="C205" s="533"/>
      <c r="D205" s="534"/>
      <c r="E205" s="534"/>
      <c r="F205" s="535"/>
      <c r="G205" s="536"/>
      <c r="H205" s="536"/>
      <c r="I205" s="539"/>
      <c r="J205" s="537"/>
      <c r="K205" s="528"/>
      <c r="L205" s="1365"/>
      <c r="M205" s="578"/>
      <c r="N205" s="533"/>
      <c r="O205" s="534"/>
      <c r="P205" s="534"/>
      <c r="Q205" s="535"/>
      <c r="R205" s="536"/>
      <c r="S205" s="539"/>
      <c r="T205" s="537"/>
      <c r="U205" s="528"/>
      <c r="V205" s="528"/>
      <c r="W205" s="528"/>
      <c r="X205" s="528"/>
      <c r="Y205" s="528"/>
      <c r="Z205" s="528"/>
      <c r="AA205" s="528"/>
      <c r="AB205" s="508"/>
      <c r="AC205" s="508"/>
      <c r="AD205" s="508"/>
      <c r="AE205" s="508"/>
      <c r="AF205" s="508"/>
      <c r="AG205" s="508"/>
      <c r="AH205" s="508"/>
      <c r="AI205" s="508"/>
      <c r="AJ205" s="508"/>
      <c r="AK205" s="508"/>
      <c r="AL205" s="508"/>
      <c r="AM205" s="508"/>
      <c r="AN205" s="508"/>
      <c r="AO205" s="508"/>
      <c r="AP205" s="508"/>
    </row>
    <row r="206" spans="1:42" x14ac:dyDescent="0.2">
      <c r="A206" s="528"/>
      <c r="B206" s="528"/>
      <c r="C206" s="528"/>
      <c r="D206" s="528"/>
      <c r="E206" s="528"/>
      <c r="F206" s="528"/>
      <c r="G206" s="528"/>
      <c r="H206" s="528"/>
      <c r="I206" s="534"/>
      <c r="J206" s="540"/>
      <c r="K206" s="528"/>
      <c r="L206" s="1365"/>
      <c r="M206" s="578"/>
      <c r="N206" s="533"/>
      <c r="O206" s="534"/>
      <c r="P206" s="534"/>
      <c r="Q206" s="535"/>
      <c r="R206" s="536"/>
      <c r="S206" s="539"/>
      <c r="T206" s="537"/>
      <c r="U206" s="528"/>
      <c r="V206" s="528"/>
      <c r="W206" s="528"/>
      <c r="X206" s="528"/>
      <c r="Y206" s="528"/>
      <c r="Z206" s="528"/>
      <c r="AA206" s="528"/>
      <c r="AB206" s="508"/>
      <c r="AC206" s="508"/>
      <c r="AD206" s="508"/>
      <c r="AE206" s="508"/>
      <c r="AF206" s="508"/>
      <c r="AG206" s="508"/>
      <c r="AH206" s="508"/>
      <c r="AI206" s="508"/>
      <c r="AJ206" s="508"/>
      <c r="AK206" s="508"/>
      <c r="AL206" s="508"/>
      <c r="AM206" s="508"/>
      <c r="AN206" s="508"/>
      <c r="AO206" s="508"/>
      <c r="AP206" s="508"/>
    </row>
    <row r="207" spans="1:42" x14ac:dyDescent="0.2">
      <c r="A207" s="528"/>
      <c r="B207" s="528"/>
      <c r="C207" s="528"/>
      <c r="D207" s="528"/>
      <c r="E207" s="528"/>
      <c r="F207" s="528"/>
      <c r="G207" s="528"/>
      <c r="H207" s="528"/>
      <c r="I207" s="541"/>
      <c r="J207" s="749"/>
      <c r="K207" s="528"/>
      <c r="L207" s="1365"/>
      <c r="M207" s="578"/>
      <c r="N207" s="533"/>
      <c r="O207" s="534"/>
      <c r="P207" s="534"/>
      <c r="Q207" s="535"/>
      <c r="R207" s="536"/>
      <c r="S207" s="539"/>
      <c r="T207" s="537"/>
      <c r="U207" s="528"/>
      <c r="V207" s="528"/>
      <c r="W207" s="528"/>
      <c r="X207" s="528"/>
      <c r="Y207" s="528"/>
      <c r="Z207" s="528"/>
      <c r="AA207" s="528"/>
      <c r="AB207" s="508"/>
      <c r="AC207" s="508"/>
      <c r="AD207" s="508"/>
      <c r="AE207" s="508"/>
      <c r="AF207" s="508"/>
      <c r="AG207" s="508"/>
      <c r="AH207" s="508"/>
      <c r="AI207" s="508"/>
      <c r="AJ207" s="508"/>
      <c r="AK207" s="508"/>
      <c r="AL207" s="508"/>
      <c r="AM207" s="508"/>
      <c r="AN207" s="508"/>
      <c r="AO207" s="508"/>
      <c r="AP207" s="508"/>
    </row>
    <row r="208" spans="1:42" x14ac:dyDescent="0.2">
      <c r="A208" s="528"/>
      <c r="B208" s="528"/>
      <c r="C208" s="528"/>
      <c r="D208" s="528"/>
      <c r="E208" s="528"/>
      <c r="F208" s="528"/>
      <c r="G208" s="528"/>
      <c r="H208" s="528"/>
      <c r="I208" s="528"/>
      <c r="J208" s="528"/>
      <c r="K208" s="528"/>
      <c r="L208" s="1365"/>
      <c r="M208" s="578"/>
      <c r="N208" s="533"/>
      <c r="O208" s="534"/>
      <c r="P208" s="534"/>
      <c r="Q208" s="535"/>
      <c r="R208" s="536"/>
      <c r="S208" s="539"/>
      <c r="T208" s="537"/>
      <c r="U208" s="528"/>
      <c r="V208" s="528"/>
      <c r="W208" s="528"/>
      <c r="X208" s="528"/>
      <c r="Y208" s="528"/>
      <c r="Z208" s="528"/>
      <c r="AA208" s="528"/>
      <c r="AB208" s="508"/>
      <c r="AC208" s="508"/>
      <c r="AD208" s="508"/>
      <c r="AE208" s="508"/>
      <c r="AF208" s="508"/>
      <c r="AG208" s="508"/>
      <c r="AH208" s="508"/>
      <c r="AI208" s="508"/>
      <c r="AJ208" s="508"/>
      <c r="AK208" s="508"/>
      <c r="AL208" s="508"/>
      <c r="AM208" s="508"/>
      <c r="AN208" s="508"/>
      <c r="AO208" s="508"/>
      <c r="AP208" s="508"/>
    </row>
    <row r="209" spans="1:42" x14ac:dyDescent="0.2">
      <c r="A209" s="528"/>
      <c r="B209" s="528"/>
      <c r="C209" s="528"/>
      <c r="D209" s="528"/>
      <c r="E209" s="528"/>
      <c r="F209" s="528"/>
      <c r="G209" s="528"/>
      <c r="H209" s="528"/>
      <c r="I209" s="528"/>
      <c r="J209" s="528"/>
      <c r="K209" s="528"/>
      <c r="L209" s="1365"/>
      <c r="M209" s="578"/>
      <c r="N209" s="533"/>
      <c r="O209" s="534"/>
      <c r="P209" s="534"/>
      <c r="Q209" s="535"/>
      <c r="R209" s="536"/>
      <c r="S209" s="539"/>
      <c r="T209" s="537"/>
      <c r="U209" s="528"/>
      <c r="V209" s="528"/>
      <c r="W209" s="528"/>
      <c r="X209" s="528"/>
      <c r="Y209" s="528"/>
      <c r="Z209" s="528"/>
      <c r="AA209" s="528"/>
      <c r="AB209" s="508"/>
      <c r="AC209" s="508"/>
      <c r="AD209" s="508"/>
      <c r="AE209" s="508"/>
      <c r="AF209" s="508"/>
      <c r="AG209" s="508"/>
      <c r="AH209" s="508"/>
      <c r="AI209" s="508"/>
      <c r="AJ209" s="508"/>
      <c r="AK209" s="508"/>
      <c r="AL209" s="508"/>
      <c r="AM209" s="508"/>
      <c r="AN209" s="508"/>
      <c r="AO209" s="508"/>
      <c r="AP209" s="508"/>
    </row>
    <row r="210" spans="1:42" x14ac:dyDescent="0.2">
      <c r="A210" s="528"/>
      <c r="B210" s="528"/>
      <c r="C210" s="528"/>
      <c r="D210" s="528"/>
      <c r="E210" s="528"/>
      <c r="F210" s="528"/>
      <c r="G210" s="528"/>
      <c r="H210" s="528"/>
      <c r="I210" s="528"/>
      <c r="J210" s="528"/>
      <c r="K210" s="528"/>
      <c r="L210" s="1365"/>
      <c r="M210" s="578"/>
      <c r="N210" s="533"/>
      <c r="O210" s="534"/>
      <c r="P210" s="534"/>
      <c r="Q210" s="535"/>
      <c r="R210" s="536"/>
      <c r="S210" s="539"/>
      <c r="T210" s="537"/>
      <c r="U210" s="528"/>
      <c r="V210" s="528"/>
      <c r="W210" s="528"/>
      <c r="X210" s="528"/>
      <c r="Y210" s="528"/>
      <c r="Z210" s="528"/>
      <c r="AA210" s="528"/>
      <c r="AB210" s="508"/>
      <c r="AC210" s="508"/>
      <c r="AD210" s="508"/>
      <c r="AE210" s="508"/>
      <c r="AF210" s="508"/>
      <c r="AG210" s="508"/>
      <c r="AH210" s="508"/>
      <c r="AI210" s="508"/>
      <c r="AJ210" s="508"/>
      <c r="AK210" s="508"/>
      <c r="AL210" s="508"/>
      <c r="AM210" s="508"/>
      <c r="AN210" s="508"/>
      <c r="AO210" s="508"/>
      <c r="AP210" s="508"/>
    </row>
    <row r="211" spans="1:42" x14ac:dyDescent="0.2">
      <c r="A211" s="528"/>
      <c r="B211" s="528"/>
      <c r="C211" s="528"/>
      <c r="D211" s="528"/>
      <c r="E211" s="528"/>
      <c r="F211" s="528"/>
      <c r="G211" s="528"/>
      <c r="H211" s="528"/>
      <c r="I211" s="528"/>
      <c r="J211" s="528"/>
      <c r="K211" s="528"/>
      <c r="L211" s="1365"/>
      <c r="M211" s="578"/>
      <c r="N211" s="533"/>
      <c r="O211" s="534"/>
      <c r="P211" s="534"/>
      <c r="Q211" s="535"/>
      <c r="R211" s="536"/>
      <c r="S211" s="539"/>
      <c r="T211" s="537"/>
      <c r="U211" s="528"/>
      <c r="V211" s="528"/>
      <c r="W211" s="528"/>
      <c r="X211" s="528"/>
      <c r="Y211" s="528"/>
      <c r="Z211" s="528"/>
      <c r="AA211" s="528"/>
      <c r="AB211" s="508"/>
      <c r="AC211" s="508"/>
      <c r="AD211" s="508"/>
      <c r="AE211" s="508"/>
      <c r="AF211" s="508"/>
      <c r="AG211" s="508"/>
      <c r="AH211" s="508"/>
      <c r="AI211" s="508"/>
      <c r="AJ211" s="508"/>
      <c r="AK211" s="508"/>
      <c r="AL211" s="508"/>
      <c r="AM211" s="508"/>
      <c r="AN211" s="508"/>
      <c r="AO211" s="508"/>
      <c r="AP211" s="508"/>
    </row>
    <row r="212" spans="1:42" x14ac:dyDescent="0.2">
      <c r="A212" s="528"/>
      <c r="B212" s="528"/>
      <c r="C212" s="528"/>
      <c r="D212" s="528"/>
      <c r="E212" s="528"/>
      <c r="F212" s="528"/>
      <c r="G212" s="528"/>
      <c r="H212" s="528"/>
      <c r="I212" s="528"/>
      <c r="J212" s="528"/>
      <c r="K212" s="528"/>
      <c r="L212" s="1365"/>
      <c r="M212" s="578"/>
      <c r="N212" s="533"/>
      <c r="O212" s="534"/>
      <c r="P212" s="534"/>
      <c r="Q212" s="535"/>
      <c r="R212" s="536"/>
      <c r="S212" s="539"/>
      <c r="T212" s="537"/>
      <c r="U212" s="528"/>
      <c r="V212" s="528"/>
      <c r="W212" s="528"/>
      <c r="X212" s="528"/>
      <c r="Y212" s="528"/>
      <c r="Z212" s="528"/>
      <c r="AA212" s="528"/>
      <c r="AB212" s="508"/>
      <c r="AC212" s="508"/>
      <c r="AD212" s="508"/>
      <c r="AE212" s="508"/>
      <c r="AF212" s="508"/>
      <c r="AG212" s="508"/>
      <c r="AH212" s="508"/>
      <c r="AI212" s="508"/>
      <c r="AJ212" s="508"/>
      <c r="AK212" s="508"/>
      <c r="AL212" s="508"/>
      <c r="AM212" s="508"/>
      <c r="AN212" s="508"/>
      <c r="AO212" s="508"/>
      <c r="AP212" s="508"/>
    </row>
    <row r="213" spans="1:42" x14ac:dyDescent="0.2">
      <c r="A213" s="528"/>
      <c r="B213" s="528"/>
      <c r="C213" s="528"/>
      <c r="D213" s="528"/>
      <c r="E213" s="528"/>
      <c r="F213" s="528"/>
      <c r="G213" s="528"/>
      <c r="H213" s="528"/>
      <c r="I213" s="528"/>
      <c r="J213" s="528"/>
      <c r="K213" s="528"/>
      <c r="L213" s="528"/>
      <c r="M213" s="528"/>
      <c r="N213" s="528"/>
      <c r="O213" s="528"/>
      <c r="P213" s="528"/>
      <c r="Q213" s="528"/>
      <c r="R213" s="528"/>
      <c r="S213" s="534"/>
      <c r="T213" s="540"/>
      <c r="U213" s="528"/>
      <c r="V213" s="528"/>
      <c r="W213" s="528"/>
      <c r="X213" s="528"/>
      <c r="Y213" s="528"/>
      <c r="Z213" s="528"/>
      <c r="AA213" s="528"/>
      <c r="AB213" s="508"/>
      <c r="AC213" s="508"/>
      <c r="AD213" s="508"/>
      <c r="AE213" s="508"/>
      <c r="AF213" s="508"/>
      <c r="AG213" s="508"/>
      <c r="AH213" s="508"/>
      <c r="AI213" s="508"/>
      <c r="AJ213" s="508"/>
      <c r="AK213" s="508"/>
      <c r="AL213" s="508"/>
      <c r="AM213" s="508"/>
      <c r="AN213" s="508"/>
      <c r="AO213" s="508"/>
      <c r="AP213" s="508"/>
    </row>
    <row r="214" spans="1:42" x14ac:dyDescent="0.2">
      <c r="A214" s="528"/>
      <c r="B214" s="528"/>
      <c r="C214" s="528"/>
      <c r="D214" s="528"/>
      <c r="E214" s="528"/>
      <c r="F214" s="528"/>
      <c r="G214" s="528"/>
      <c r="H214" s="528"/>
      <c r="I214" s="528"/>
      <c r="J214" s="528"/>
      <c r="K214" s="528"/>
      <c r="L214" s="528"/>
      <c r="M214" s="528"/>
      <c r="N214" s="528"/>
      <c r="O214" s="528"/>
      <c r="P214" s="528"/>
      <c r="Q214" s="528"/>
      <c r="R214" s="528"/>
      <c r="S214" s="541"/>
      <c r="T214" s="542"/>
      <c r="U214" s="528"/>
      <c r="V214" s="528"/>
      <c r="W214" s="528"/>
      <c r="X214" s="528"/>
      <c r="Y214" s="528"/>
      <c r="Z214" s="528"/>
      <c r="AA214" s="528"/>
      <c r="AB214" s="508"/>
      <c r="AC214" s="508"/>
      <c r="AD214" s="508"/>
      <c r="AE214" s="508"/>
      <c r="AF214" s="508"/>
      <c r="AG214" s="508"/>
      <c r="AH214" s="508"/>
      <c r="AI214" s="508"/>
      <c r="AJ214" s="508"/>
      <c r="AK214" s="508"/>
      <c r="AL214" s="508"/>
      <c r="AM214" s="508"/>
      <c r="AN214" s="508"/>
      <c r="AO214" s="508"/>
      <c r="AP214" s="508"/>
    </row>
    <row r="215" spans="1:42" x14ac:dyDescent="0.2">
      <c r="A215" s="528"/>
      <c r="B215" s="528"/>
      <c r="C215" s="528"/>
      <c r="D215" s="528"/>
      <c r="E215" s="528"/>
      <c r="F215" s="528"/>
      <c r="G215" s="528"/>
      <c r="H215" s="528"/>
      <c r="I215" s="528"/>
      <c r="J215" s="528"/>
      <c r="K215" s="528"/>
      <c r="L215" s="528"/>
      <c r="M215" s="528"/>
      <c r="N215" s="528"/>
      <c r="O215" s="528"/>
      <c r="P215" s="528"/>
      <c r="Q215" s="528"/>
      <c r="R215" s="528"/>
      <c r="S215" s="528"/>
      <c r="T215" s="528"/>
      <c r="U215" s="528"/>
      <c r="V215" s="528"/>
      <c r="W215" s="528"/>
      <c r="X215" s="528"/>
      <c r="Y215" s="528"/>
      <c r="Z215" s="528"/>
      <c r="AA215" s="528"/>
      <c r="AB215" s="508"/>
      <c r="AC215" s="508"/>
      <c r="AD215" s="508"/>
      <c r="AE215" s="508"/>
      <c r="AF215" s="508"/>
      <c r="AG215" s="508"/>
      <c r="AH215" s="508"/>
      <c r="AI215" s="508"/>
      <c r="AJ215" s="508"/>
      <c r="AK215" s="508"/>
      <c r="AL215" s="508"/>
      <c r="AM215" s="508"/>
      <c r="AN215" s="508"/>
      <c r="AO215" s="508"/>
      <c r="AP215" s="508"/>
    </row>
    <row r="216" spans="1:42" x14ac:dyDescent="0.2">
      <c r="A216" s="528"/>
      <c r="B216" s="528"/>
      <c r="C216" s="528"/>
      <c r="D216" s="528"/>
      <c r="E216" s="528"/>
      <c r="F216" s="528"/>
      <c r="G216" s="528"/>
      <c r="H216" s="528"/>
      <c r="I216" s="528"/>
      <c r="J216" s="528"/>
      <c r="K216" s="528"/>
      <c r="L216" s="528"/>
      <c r="M216" s="528"/>
      <c r="N216" s="528"/>
      <c r="O216" s="528"/>
      <c r="P216" s="528"/>
      <c r="Q216" s="528"/>
      <c r="R216" s="528"/>
      <c r="S216" s="528"/>
      <c r="T216" s="528"/>
      <c r="U216" s="528"/>
      <c r="V216" s="528"/>
      <c r="W216" s="528"/>
      <c r="X216" s="528"/>
      <c r="Y216" s="528"/>
      <c r="Z216" s="528"/>
      <c r="AA216" s="528"/>
      <c r="AB216" s="508"/>
      <c r="AC216" s="508"/>
      <c r="AD216" s="508"/>
      <c r="AE216" s="508"/>
      <c r="AF216" s="508"/>
      <c r="AG216" s="508"/>
      <c r="AH216" s="508"/>
      <c r="AI216" s="508"/>
      <c r="AJ216" s="508"/>
      <c r="AK216" s="508"/>
      <c r="AL216" s="508"/>
      <c r="AM216" s="508"/>
      <c r="AN216" s="508"/>
      <c r="AO216" s="508"/>
      <c r="AP216" s="508"/>
    </row>
    <row r="217" spans="1:42" x14ac:dyDescent="0.2">
      <c r="A217" s="528"/>
      <c r="B217" s="528"/>
      <c r="C217" s="528"/>
      <c r="D217" s="528"/>
      <c r="E217" s="528"/>
      <c r="F217" s="528"/>
      <c r="G217" s="528"/>
      <c r="H217" s="528"/>
      <c r="I217" s="528"/>
      <c r="J217" s="528"/>
      <c r="K217" s="528"/>
      <c r="L217" s="528"/>
      <c r="M217" s="528"/>
      <c r="N217" s="528"/>
      <c r="O217" s="528"/>
      <c r="P217" s="528"/>
      <c r="Q217" s="528"/>
      <c r="R217" s="528"/>
      <c r="S217" s="528"/>
      <c r="T217" s="528"/>
      <c r="U217" s="528"/>
      <c r="V217" s="528"/>
      <c r="W217" s="528"/>
      <c r="X217" s="528"/>
      <c r="Y217" s="528"/>
      <c r="Z217" s="528"/>
      <c r="AA217" s="528"/>
      <c r="AB217" s="508"/>
      <c r="AC217" s="508"/>
      <c r="AD217" s="508"/>
      <c r="AE217" s="508"/>
      <c r="AF217" s="508"/>
      <c r="AG217" s="508"/>
      <c r="AH217" s="508"/>
      <c r="AI217" s="508"/>
      <c r="AJ217" s="508"/>
      <c r="AK217" s="508"/>
      <c r="AL217" s="508"/>
      <c r="AM217" s="508"/>
      <c r="AN217" s="508"/>
      <c r="AO217" s="508"/>
      <c r="AP217" s="508"/>
    </row>
    <row r="218" spans="1:42" x14ac:dyDescent="0.2">
      <c r="A218" s="528"/>
      <c r="B218" s="528"/>
      <c r="C218" s="528"/>
      <c r="D218" s="528"/>
      <c r="E218" s="528"/>
      <c r="F218" s="528"/>
      <c r="G218" s="528"/>
      <c r="H218" s="528"/>
      <c r="I218" s="528"/>
      <c r="J218" s="528"/>
      <c r="K218" s="528"/>
      <c r="L218" s="528"/>
      <c r="M218" s="528"/>
      <c r="N218" s="528"/>
      <c r="O218" s="528"/>
      <c r="P218" s="528"/>
      <c r="Q218" s="528"/>
      <c r="R218" s="528"/>
      <c r="S218" s="528"/>
      <c r="T218" s="528"/>
      <c r="U218" s="528"/>
      <c r="V218" s="528"/>
      <c r="W218" s="528"/>
      <c r="X218" s="528"/>
      <c r="Y218" s="528"/>
      <c r="Z218" s="528"/>
      <c r="AA218" s="528"/>
      <c r="AB218" s="508"/>
      <c r="AC218" s="508"/>
      <c r="AD218" s="508"/>
      <c r="AE218" s="508"/>
      <c r="AF218" s="508"/>
      <c r="AG218" s="508"/>
      <c r="AH218" s="508"/>
      <c r="AI218" s="508"/>
      <c r="AJ218" s="508"/>
      <c r="AK218" s="508"/>
      <c r="AL218" s="508"/>
      <c r="AM218" s="508"/>
      <c r="AN218" s="508"/>
      <c r="AO218" s="508"/>
      <c r="AP218" s="508"/>
    </row>
    <row r="219" spans="1:42" x14ac:dyDescent="0.2">
      <c r="A219" s="528"/>
      <c r="B219" s="528"/>
      <c r="C219" s="528"/>
      <c r="D219" s="528"/>
      <c r="E219" s="528"/>
      <c r="F219" s="528"/>
      <c r="G219" s="528"/>
      <c r="H219" s="528"/>
      <c r="I219" s="528"/>
      <c r="J219" s="528"/>
      <c r="K219" s="528"/>
      <c r="L219" s="528"/>
      <c r="M219" s="528"/>
      <c r="N219" s="528"/>
      <c r="O219" s="528"/>
      <c r="P219" s="528"/>
      <c r="Q219" s="528"/>
      <c r="R219" s="528"/>
      <c r="S219" s="528"/>
      <c r="T219" s="528"/>
      <c r="U219" s="528"/>
      <c r="V219" s="528"/>
      <c r="W219" s="528"/>
      <c r="X219" s="528"/>
      <c r="Y219" s="528"/>
      <c r="Z219" s="528"/>
      <c r="AA219" s="528"/>
      <c r="AB219" s="508"/>
      <c r="AC219" s="508"/>
      <c r="AD219" s="508"/>
      <c r="AE219" s="508"/>
      <c r="AF219" s="508"/>
      <c r="AG219" s="508"/>
      <c r="AH219" s="508"/>
      <c r="AI219" s="508"/>
      <c r="AJ219" s="508"/>
      <c r="AK219" s="508"/>
      <c r="AL219" s="508"/>
      <c r="AM219" s="508"/>
      <c r="AN219" s="508"/>
      <c r="AO219" s="508"/>
      <c r="AP219" s="508"/>
    </row>
    <row r="220" spans="1:42" x14ac:dyDescent="0.2">
      <c r="A220" s="528"/>
      <c r="B220" s="528"/>
      <c r="C220" s="528"/>
      <c r="D220" s="528"/>
      <c r="E220" s="528"/>
      <c r="F220" s="528"/>
      <c r="G220" s="528"/>
      <c r="H220" s="528"/>
      <c r="I220" s="528"/>
      <c r="J220" s="528"/>
      <c r="K220" s="528"/>
      <c r="L220" s="528"/>
      <c r="M220" s="528"/>
      <c r="N220" s="528"/>
      <c r="O220" s="528"/>
      <c r="P220" s="528"/>
      <c r="Q220" s="528"/>
      <c r="R220" s="528"/>
      <c r="S220" s="528"/>
      <c r="T220" s="528"/>
      <c r="U220" s="528"/>
      <c r="V220" s="528"/>
      <c r="W220" s="528"/>
      <c r="X220" s="528"/>
      <c r="Y220" s="528"/>
      <c r="Z220" s="528"/>
      <c r="AA220" s="528"/>
      <c r="AB220" s="508"/>
      <c r="AC220" s="508"/>
      <c r="AD220" s="508"/>
      <c r="AE220" s="508"/>
      <c r="AF220" s="508"/>
      <c r="AG220" s="508"/>
      <c r="AH220" s="508"/>
      <c r="AI220" s="508"/>
      <c r="AJ220" s="508"/>
      <c r="AK220" s="508"/>
      <c r="AL220" s="508"/>
      <c r="AM220" s="508"/>
      <c r="AN220" s="508"/>
      <c r="AO220" s="508"/>
      <c r="AP220" s="508"/>
    </row>
    <row r="221" spans="1:42" ht="15" x14ac:dyDescent="0.25">
      <c r="A221" s="528"/>
      <c r="B221" s="1362"/>
      <c r="C221" s="1362"/>
      <c r="D221" s="1362"/>
      <c r="E221" s="528"/>
      <c r="F221" s="528"/>
      <c r="G221" s="528"/>
      <c r="H221" s="528"/>
      <c r="I221" s="528"/>
      <c r="J221" s="528"/>
      <c r="K221" s="528"/>
      <c r="L221" s="528"/>
      <c r="M221" s="528"/>
      <c r="N221" s="528"/>
      <c r="O221" s="528"/>
      <c r="P221" s="528"/>
      <c r="Q221" s="528"/>
      <c r="R221" s="528"/>
      <c r="S221" s="528"/>
      <c r="T221" s="528"/>
      <c r="U221" s="528"/>
      <c r="V221" s="528"/>
      <c r="W221" s="528"/>
      <c r="X221" s="528"/>
      <c r="Y221" s="528"/>
      <c r="Z221" s="528"/>
      <c r="AA221" s="528"/>
      <c r="AB221" s="508"/>
      <c r="AC221" s="508"/>
      <c r="AD221" s="508"/>
      <c r="AE221" s="508"/>
      <c r="AF221" s="508"/>
      <c r="AG221" s="508"/>
      <c r="AH221" s="508"/>
      <c r="AI221" s="508"/>
      <c r="AJ221" s="508"/>
      <c r="AK221" s="508"/>
      <c r="AL221" s="508"/>
      <c r="AM221" s="508"/>
      <c r="AN221" s="508"/>
      <c r="AO221" s="508"/>
      <c r="AP221" s="508"/>
    </row>
    <row r="222" spans="1:42" x14ac:dyDescent="0.2">
      <c r="A222" s="528"/>
      <c r="B222" s="750"/>
      <c r="C222" s="750"/>
      <c r="D222" s="750"/>
      <c r="E222" s="750"/>
      <c r="F222" s="750"/>
      <c r="G222" s="750"/>
      <c r="H222" s="750"/>
      <c r="I222" s="750"/>
      <c r="J222" s="528"/>
      <c r="K222" s="528"/>
      <c r="L222" s="528"/>
      <c r="M222" s="528"/>
      <c r="N222" s="528"/>
      <c r="O222" s="528"/>
      <c r="P222" s="528"/>
      <c r="Q222" s="528"/>
      <c r="R222" s="528"/>
      <c r="S222" s="528"/>
      <c r="T222" s="528"/>
      <c r="U222" s="528"/>
      <c r="V222" s="528"/>
      <c r="W222" s="528"/>
      <c r="X222" s="528"/>
      <c r="Y222" s="528"/>
      <c r="Z222" s="528"/>
      <c r="AA222" s="528"/>
      <c r="AB222" s="508"/>
      <c r="AC222" s="508"/>
      <c r="AD222" s="508"/>
      <c r="AE222" s="508"/>
      <c r="AF222" s="508"/>
      <c r="AG222" s="508"/>
      <c r="AH222" s="508"/>
      <c r="AI222" s="508"/>
      <c r="AJ222" s="508"/>
      <c r="AK222" s="508"/>
      <c r="AL222" s="508"/>
      <c r="AM222" s="508"/>
      <c r="AN222" s="508"/>
      <c r="AO222" s="508"/>
      <c r="AP222" s="508"/>
    </row>
    <row r="223" spans="1:42" ht="15" x14ac:dyDescent="0.25">
      <c r="A223" s="751"/>
      <c r="B223" s="752"/>
      <c r="C223" s="753"/>
      <c r="D223" s="753"/>
      <c r="E223" s="753"/>
      <c r="F223" s="753"/>
      <c r="G223" s="753"/>
      <c r="H223" s="753"/>
      <c r="I223" s="754"/>
      <c r="J223" s="528"/>
      <c r="K223" s="528"/>
      <c r="L223" s="528"/>
      <c r="M223" s="528"/>
      <c r="N223" s="528"/>
      <c r="O223" s="528"/>
      <c r="P223" s="528"/>
      <c r="Q223" s="754"/>
      <c r="R223" s="528"/>
      <c r="S223" s="755"/>
      <c r="T223" s="755"/>
      <c r="U223" s="753"/>
      <c r="V223" s="753"/>
      <c r="W223" s="753"/>
      <c r="X223" s="753"/>
      <c r="Y223" s="528"/>
      <c r="Z223" s="528"/>
      <c r="AA223" s="528"/>
      <c r="AB223" s="508"/>
      <c r="AC223" s="508"/>
      <c r="AD223" s="508"/>
      <c r="AE223" s="508"/>
      <c r="AF223" s="508"/>
      <c r="AG223" s="508"/>
      <c r="AH223" s="508"/>
      <c r="AI223" s="508"/>
      <c r="AJ223" s="508"/>
      <c r="AK223" s="508"/>
      <c r="AL223" s="508"/>
      <c r="AM223" s="508"/>
      <c r="AN223" s="508"/>
      <c r="AO223" s="508"/>
      <c r="AP223" s="508"/>
    </row>
    <row r="224" spans="1:42" ht="15" customHeight="1" x14ac:dyDescent="0.25">
      <c r="A224" s="751"/>
      <c r="B224" s="752"/>
      <c r="C224" s="751"/>
      <c r="D224" s="751"/>
      <c r="E224" s="751"/>
      <c r="F224" s="751"/>
      <c r="G224" s="751"/>
      <c r="H224" s="751"/>
      <c r="I224" s="750"/>
      <c r="J224" s="528"/>
      <c r="K224" s="528"/>
      <c r="L224" s="754"/>
      <c r="M224" s="756"/>
      <c r="N224" s="753"/>
      <c r="O224" s="753"/>
      <c r="P224" s="750"/>
      <c r="Q224" s="1363"/>
      <c r="R224" s="528"/>
      <c r="S224" s="754"/>
      <c r="T224" s="756"/>
      <c r="U224" s="753"/>
      <c r="V224" s="753"/>
      <c r="W224" s="753"/>
      <c r="X224" s="753"/>
      <c r="Y224" s="528"/>
      <c r="Z224" s="528"/>
      <c r="AA224" s="528"/>
      <c r="AB224" s="508"/>
      <c r="AC224" s="508"/>
      <c r="AD224" s="508"/>
      <c r="AE224" s="508"/>
      <c r="AF224" s="508"/>
      <c r="AG224" s="508"/>
      <c r="AH224" s="508"/>
      <c r="AI224" s="508"/>
      <c r="AJ224" s="508"/>
      <c r="AK224" s="508"/>
      <c r="AL224" s="508"/>
      <c r="AM224" s="508"/>
      <c r="AN224" s="508"/>
      <c r="AO224" s="508"/>
      <c r="AP224" s="508"/>
    </row>
    <row r="225" spans="1:42" ht="15" x14ac:dyDescent="0.25">
      <c r="A225" s="751"/>
      <c r="B225" s="752"/>
      <c r="C225" s="751"/>
      <c r="D225" s="751"/>
      <c r="E225" s="751"/>
      <c r="F225" s="751"/>
      <c r="G225" s="751"/>
      <c r="H225" s="751"/>
      <c r="I225" s="750"/>
      <c r="J225" s="528"/>
      <c r="K225" s="528"/>
      <c r="L225" s="754"/>
      <c r="M225" s="756"/>
      <c r="N225" s="753"/>
      <c r="O225" s="753"/>
      <c r="P225" s="750"/>
      <c r="Q225" s="1363"/>
      <c r="R225" s="528"/>
      <c r="S225" s="528"/>
      <c r="T225" s="528"/>
      <c r="U225" s="528"/>
      <c r="V225" s="528"/>
      <c r="W225" s="528"/>
      <c r="X225" s="754"/>
      <c r="Y225" s="528"/>
      <c r="Z225" s="528"/>
      <c r="AA225" s="528"/>
      <c r="AB225" s="508"/>
      <c r="AC225" s="508"/>
      <c r="AD225" s="508"/>
      <c r="AE225" s="508"/>
      <c r="AF225" s="508"/>
      <c r="AG225" s="508"/>
      <c r="AH225" s="508"/>
      <c r="AI225" s="508"/>
      <c r="AJ225" s="508"/>
      <c r="AK225" s="508"/>
      <c r="AL225" s="508"/>
      <c r="AM225" s="508"/>
      <c r="AN225" s="508"/>
      <c r="AO225" s="508"/>
      <c r="AP225" s="508"/>
    </row>
    <row r="226" spans="1:42" ht="15" x14ac:dyDescent="0.25">
      <c r="A226" s="751"/>
      <c r="B226" s="752"/>
      <c r="C226" s="753"/>
      <c r="D226" s="753"/>
      <c r="E226" s="753"/>
      <c r="F226" s="753"/>
      <c r="G226" s="753"/>
      <c r="H226" s="753"/>
      <c r="I226" s="750"/>
      <c r="J226" s="528"/>
      <c r="K226" s="528"/>
      <c r="L226" s="754"/>
      <c r="M226" s="756"/>
      <c r="N226" s="753"/>
      <c r="O226" s="753"/>
      <c r="P226" s="750"/>
      <c r="Q226" s="1363"/>
      <c r="R226" s="528"/>
      <c r="S226" s="750"/>
      <c r="T226" s="756"/>
      <c r="U226" s="753"/>
      <c r="V226" s="753"/>
      <c r="W226" s="750"/>
      <c r="X226" s="750"/>
      <c r="Y226" s="528"/>
      <c r="Z226" s="528"/>
      <c r="AA226" s="528"/>
      <c r="AB226" s="508"/>
      <c r="AC226" s="508"/>
      <c r="AD226" s="508"/>
      <c r="AE226" s="508"/>
      <c r="AF226" s="508"/>
      <c r="AG226" s="508"/>
      <c r="AH226" s="508"/>
      <c r="AI226" s="508"/>
      <c r="AJ226" s="508"/>
      <c r="AK226" s="508"/>
      <c r="AL226" s="508"/>
      <c r="AM226" s="508"/>
      <c r="AN226" s="508"/>
      <c r="AO226" s="508"/>
      <c r="AP226" s="508"/>
    </row>
    <row r="227" spans="1:42" ht="15" x14ac:dyDescent="0.25">
      <c r="A227" s="751"/>
      <c r="B227" s="752"/>
      <c r="C227" s="753"/>
      <c r="D227" s="753"/>
      <c r="E227" s="753"/>
      <c r="F227" s="753"/>
      <c r="G227" s="753"/>
      <c r="H227" s="753"/>
      <c r="I227" s="750"/>
      <c r="J227" s="528"/>
      <c r="K227" s="528"/>
      <c r="L227" s="754"/>
      <c r="M227" s="756"/>
      <c r="N227" s="753"/>
      <c r="O227" s="753"/>
      <c r="P227" s="750"/>
      <c r="Q227" s="1363"/>
      <c r="R227" s="528"/>
      <c r="S227" s="754"/>
      <c r="T227" s="756"/>
      <c r="U227" s="753"/>
      <c r="V227" s="753"/>
      <c r="W227" s="754"/>
      <c r="X227" s="754"/>
      <c r="Y227" s="528"/>
      <c r="Z227" s="528"/>
      <c r="AA227" s="528"/>
      <c r="AB227" s="508"/>
      <c r="AC227" s="508"/>
      <c r="AD227" s="508"/>
      <c r="AE227" s="508"/>
      <c r="AF227" s="508"/>
      <c r="AG227" s="508"/>
      <c r="AH227" s="508"/>
      <c r="AI227" s="508"/>
      <c r="AJ227" s="508"/>
      <c r="AK227" s="508"/>
      <c r="AL227" s="508"/>
      <c r="AM227" s="508"/>
      <c r="AN227" s="508"/>
      <c r="AO227" s="508"/>
      <c r="AP227" s="508"/>
    </row>
    <row r="228" spans="1:42" ht="15" x14ac:dyDescent="0.25">
      <c r="A228" s="751"/>
      <c r="B228" s="752"/>
      <c r="C228" s="753"/>
      <c r="D228" s="753"/>
      <c r="E228" s="753"/>
      <c r="F228" s="753"/>
      <c r="G228" s="753"/>
      <c r="H228" s="753"/>
      <c r="I228" s="754"/>
      <c r="J228" s="528"/>
      <c r="K228" s="528"/>
      <c r="L228" s="754"/>
      <c r="M228" s="756"/>
      <c r="N228" s="753"/>
      <c r="O228" s="753"/>
      <c r="P228" s="750"/>
      <c r="Q228" s="1363"/>
      <c r="R228" s="528"/>
      <c r="S228" s="754"/>
      <c r="T228" s="756"/>
      <c r="U228" s="753"/>
      <c r="V228" s="753"/>
      <c r="W228" s="754"/>
      <c r="X228" s="754"/>
      <c r="Y228" s="528"/>
      <c r="Z228" s="528"/>
      <c r="AA228" s="528"/>
      <c r="AB228" s="508"/>
      <c r="AC228" s="508"/>
      <c r="AD228" s="508"/>
      <c r="AE228" s="508"/>
      <c r="AF228" s="508"/>
      <c r="AG228" s="508"/>
      <c r="AH228" s="508"/>
      <c r="AI228" s="508"/>
      <c r="AJ228" s="508"/>
      <c r="AK228" s="508"/>
      <c r="AL228" s="508"/>
      <c r="AM228" s="508"/>
      <c r="AN228" s="508"/>
      <c r="AO228" s="508"/>
      <c r="AP228" s="508"/>
    </row>
    <row r="229" spans="1:42" ht="15" x14ac:dyDescent="0.25">
      <c r="A229" s="751"/>
      <c r="B229" s="752"/>
      <c r="C229" s="751"/>
      <c r="D229" s="751"/>
      <c r="E229" s="751"/>
      <c r="F229" s="751"/>
      <c r="G229" s="751"/>
      <c r="H229" s="751"/>
      <c r="I229" s="750"/>
      <c r="J229" s="528"/>
      <c r="K229" s="528"/>
      <c r="L229" s="754"/>
      <c r="M229" s="756"/>
      <c r="N229" s="753"/>
      <c r="O229" s="753"/>
      <c r="P229" s="750"/>
      <c r="Q229" s="1363"/>
      <c r="R229" s="528"/>
      <c r="S229" s="754"/>
      <c r="T229" s="756"/>
      <c r="U229" s="753"/>
      <c r="V229" s="753"/>
      <c r="W229" s="754"/>
      <c r="X229" s="754"/>
      <c r="Y229" s="528"/>
      <c r="Z229" s="528"/>
      <c r="AA229" s="528"/>
      <c r="AB229" s="508"/>
      <c r="AC229" s="508"/>
      <c r="AD229" s="508"/>
      <c r="AE229" s="508"/>
      <c r="AF229" s="508"/>
      <c r="AG229" s="508"/>
      <c r="AH229" s="508"/>
      <c r="AI229" s="508"/>
      <c r="AJ229" s="508"/>
      <c r="AK229" s="508"/>
      <c r="AL229" s="508"/>
      <c r="AM229" s="508"/>
      <c r="AN229" s="508"/>
      <c r="AO229" s="508"/>
      <c r="AP229" s="508"/>
    </row>
    <row r="230" spans="1:42" ht="15" x14ac:dyDescent="0.25">
      <c r="A230" s="528"/>
      <c r="B230" s="528"/>
      <c r="C230" s="528"/>
      <c r="D230" s="528"/>
      <c r="E230" s="528"/>
      <c r="F230" s="528"/>
      <c r="G230" s="528"/>
      <c r="H230" s="528"/>
      <c r="I230" s="752"/>
      <c r="J230" s="528"/>
      <c r="K230" s="528"/>
      <c r="L230" s="754"/>
      <c r="M230" s="756"/>
      <c r="N230" s="753"/>
      <c r="O230" s="753"/>
      <c r="P230" s="750"/>
      <c r="Q230" s="1363"/>
      <c r="R230" s="528"/>
      <c r="S230" s="754"/>
      <c r="T230" s="756"/>
      <c r="U230" s="753"/>
      <c r="V230" s="753"/>
      <c r="W230" s="754"/>
      <c r="X230" s="754"/>
      <c r="Y230" s="528"/>
      <c r="Z230" s="528"/>
      <c r="AA230" s="528"/>
      <c r="AB230" s="508"/>
      <c r="AC230" s="508"/>
      <c r="AD230" s="508"/>
      <c r="AE230" s="508"/>
      <c r="AF230" s="508"/>
      <c r="AG230" s="508"/>
      <c r="AH230" s="508"/>
      <c r="AI230" s="508"/>
      <c r="AJ230" s="508"/>
      <c r="AK230" s="508"/>
      <c r="AL230" s="508"/>
      <c r="AM230" s="508"/>
      <c r="AN230" s="508"/>
      <c r="AO230" s="508"/>
      <c r="AP230" s="508"/>
    </row>
    <row r="231" spans="1:42" ht="12.75" customHeight="1" x14ac:dyDescent="0.2">
      <c r="A231" s="528"/>
      <c r="B231" s="528"/>
      <c r="C231" s="528"/>
      <c r="D231" s="528"/>
      <c r="E231" s="528"/>
      <c r="F231" s="528"/>
      <c r="G231" s="528"/>
      <c r="H231" s="528"/>
      <c r="I231" s="528"/>
      <c r="J231" s="528"/>
      <c r="K231" s="528"/>
      <c r="L231" s="754"/>
      <c r="M231" s="756"/>
      <c r="N231" s="753"/>
      <c r="O231" s="753"/>
      <c r="P231" s="750"/>
      <c r="Q231" s="1363"/>
      <c r="R231" s="528"/>
      <c r="S231" s="750"/>
      <c r="T231" s="756"/>
      <c r="U231" s="753"/>
      <c r="V231" s="753"/>
      <c r="W231" s="750"/>
      <c r="X231" s="750"/>
      <c r="Y231" s="528"/>
      <c r="Z231" s="528"/>
      <c r="AA231" s="528"/>
      <c r="AB231" s="508"/>
      <c r="AC231" s="508"/>
      <c r="AD231" s="508"/>
      <c r="AE231" s="508"/>
      <c r="AF231" s="508"/>
      <c r="AG231" s="508"/>
      <c r="AH231" s="508"/>
      <c r="AI231" s="508"/>
      <c r="AJ231" s="508"/>
      <c r="AK231" s="508"/>
      <c r="AL231" s="508"/>
      <c r="AM231" s="508"/>
      <c r="AN231" s="508"/>
      <c r="AO231" s="508"/>
      <c r="AP231" s="508"/>
    </row>
    <row r="232" spans="1:42" x14ac:dyDescent="0.2">
      <c r="A232" s="528"/>
      <c r="B232" s="528"/>
      <c r="C232" s="528"/>
      <c r="D232" s="528"/>
      <c r="E232" s="528"/>
      <c r="F232" s="528"/>
      <c r="G232" s="528"/>
      <c r="H232" s="528"/>
      <c r="I232" s="528"/>
      <c r="J232" s="528"/>
      <c r="K232" s="528"/>
      <c r="L232" s="754"/>
      <c r="M232" s="756"/>
      <c r="N232" s="753"/>
      <c r="O232" s="753"/>
      <c r="P232" s="750"/>
      <c r="Q232" s="1363"/>
      <c r="R232" s="528"/>
      <c r="S232" s="750"/>
      <c r="T232" s="756"/>
      <c r="U232" s="753"/>
      <c r="V232" s="753"/>
      <c r="W232" s="750"/>
      <c r="X232" s="750"/>
      <c r="Y232" s="528"/>
      <c r="Z232" s="528"/>
      <c r="AA232" s="528"/>
      <c r="AB232" s="508"/>
      <c r="AC232" s="508"/>
      <c r="AD232" s="508"/>
      <c r="AE232" s="508"/>
      <c r="AF232" s="508"/>
      <c r="AG232" s="508"/>
      <c r="AH232" s="508"/>
      <c r="AI232" s="508"/>
      <c r="AJ232" s="508"/>
      <c r="AK232" s="508"/>
      <c r="AL232" s="508"/>
      <c r="AM232" s="508"/>
      <c r="AN232" s="508"/>
      <c r="AO232" s="508"/>
      <c r="AP232" s="508"/>
    </row>
    <row r="233" spans="1:42" x14ac:dyDescent="0.2">
      <c r="A233" s="528"/>
      <c r="B233" s="528"/>
      <c r="C233" s="528"/>
      <c r="D233" s="528"/>
      <c r="E233" s="528"/>
      <c r="F233" s="528"/>
      <c r="G233" s="528"/>
      <c r="H233" s="528"/>
      <c r="I233" s="528"/>
      <c r="J233" s="528"/>
      <c r="K233" s="528"/>
      <c r="L233" s="754"/>
      <c r="M233" s="756"/>
      <c r="N233" s="753"/>
      <c r="O233" s="753"/>
      <c r="P233" s="750"/>
      <c r="Q233" s="1363"/>
      <c r="R233" s="528"/>
      <c r="S233" s="528"/>
      <c r="T233" s="528"/>
      <c r="U233" s="528"/>
      <c r="V233" s="528"/>
      <c r="W233" s="528"/>
      <c r="X233" s="754"/>
      <c r="Y233" s="528"/>
      <c r="Z233" s="528"/>
      <c r="AA233" s="528"/>
      <c r="AB233" s="508"/>
      <c r="AC233" s="508"/>
      <c r="AD233" s="508"/>
      <c r="AE233" s="508"/>
      <c r="AF233" s="508"/>
      <c r="AG233" s="508"/>
      <c r="AH233" s="508"/>
      <c r="AI233" s="508"/>
      <c r="AJ233" s="508"/>
      <c r="AK233" s="508"/>
      <c r="AL233" s="508"/>
      <c r="AM233" s="508"/>
      <c r="AN233" s="508"/>
      <c r="AO233" s="508"/>
      <c r="AP233" s="508"/>
    </row>
    <row r="234" spans="1:42" x14ac:dyDescent="0.2">
      <c r="A234" s="528"/>
      <c r="B234" s="528"/>
      <c r="C234" s="528"/>
      <c r="D234" s="528"/>
      <c r="E234" s="528"/>
      <c r="F234" s="528"/>
      <c r="G234" s="528"/>
      <c r="H234" s="528"/>
      <c r="I234" s="528"/>
      <c r="J234" s="528"/>
      <c r="K234" s="528"/>
      <c r="L234" s="754"/>
      <c r="M234" s="756"/>
      <c r="N234" s="753"/>
      <c r="O234" s="753"/>
      <c r="P234" s="750"/>
      <c r="Q234" s="1363"/>
      <c r="R234" s="528"/>
      <c r="S234" s="754"/>
      <c r="T234" s="756"/>
      <c r="U234" s="753"/>
      <c r="V234" s="753"/>
      <c r="W234" s="754"/>
      <c r="X234" s="754"/>
      <c r="Y234" s="528"/>
      <c r="Z234" s="528"/>
      <c r="AA234" s="528"/>
      <c r="AB234" s="508"/>
      <c r="AC234" s="508"/>
      <c r="AD234" s="508"/>
      <c r="AE234" s="508"/>
      <c r="AF234" s="508"/>
      <c r="AG234" s="508"/>
      <c r="AH234" s="508"/>
      <c r="AI234" s="508"/>
      <c r="AJ234" s="508"/>
      <c r="AK234" s="508"/>
      <c r="AL234" s="508"/>
      <c r="AM234" s="508"/>
      <c r="AN234" s="508"/>
      <c r="AO234" s="508"/>
      <c r="AP234" s="508"/>
    </row>
    <row r="235" spans="1:42" x14ac:dyDescent="0.2">
      <c r="A235" s="528"/>
      <c r="B235" s="528"/>
      <c r="C235" s="528"/>
      <c r="D235" s="528"/>
      <c r="E235" s="528"/>
      <c r="F235" s="528"/>
      <c r="G235" s="528"/>
      <c r="H235" s="528"/>
      <c r="I235" s="528"/>
      <c r="J235" s="528"/>
      <c r="K235" s="528"/>
      <c r="L235" s="754"/>
      <c r="M235" s="756"/>
      <c r="N235" s="753"/>
      <c r="O235" s="753"/>
      <c r="P235" s="750"/>
      <c r="Q235" s="1363"/>
      <c r="R235" s="528"/>
      <c r="S235" s="754"/>
      <c r="T235" s="756"/>
      <c r="U235" s="753"/>
      <c r="V235" s="753"/>
      <c r="W235" s="754"/>
      <c r="X235" s="754"/>
      <c r="Y235" s="528"/>
      <c r="Z235" s="528"/>
      <c r="AA235" s="528"/>
      <c r="AB235" s="508"/>
      <c r="AC235" s="508"/>
      <c r="AD235" s="508"/>
      <c r="AE235" s="508"/>
      <c r="AF235" s="508"/>
      <c r="AG235" s="508"/>
      <c r="AH235" s="508"/>
      <c r="AI235" s="508"/>
      <c r="AJ235" s="508"/>
      <c r="AK235" s="508"/>
      <c r="AL235" s="508"/>
      <c r="AM235" s="508"/>
      <c r="AN235" s="508"/>
      <c r="AO235" s="508"/>
      <c r="AP235" s="508"/>
    </row>
    <row r="236" spans="1:42" x14ac:dyDescent="0.2">
      <c r="A236" s="528"/>
      <c r="B236" s="528"/>
      <c r="C236" s="528"/>
      <c r="D236" s="528"/>
      <c r="E236" s="528"/>
      <c r="F236" s="528"/>
      <c r="G236" s="528"/>
      <c r="H236" s="528"/>
      <c r="I236" s="528"/>
      <c r="J236" s="528"/>
      <c r="K236" s="528"/>
      <c r="L236" s="754"/>
      <c r="M236" s="756"/>
      <c r="N236" s="753"/>
      <c r="O236" s="753"/>
      <c r="P236" s="750"/>
      <c r="Q236" s="1363"/>
      <c r="R236" s="528"/>
      <c r="S236" s="754"/>
      <c r="T236" s="756"/>
      <c r="U236" s="753"/>
      <c r="V236" s="753"/>
      <c r="W236" s="754"/>
      <c r="X236" s="754"/>
      <c r="Y236" s="528"/>
      <c r="Z236" s="528"/>
      <c r="AA236" s="528"/>
      <c r="AB236" s="508"/>
      <c r="AC236" s="508"/>
      <c r="AD236" s="508"/>
      <c r="AE236" s="508"/>
      <c r="AF236" s="508"/>
      <c r="AG236" s="508"/>
      <c r="AH236" s="508"/>
      <c r="AI236" s="508"/>
      <c r="AJ236" s="508"/>
      <c r="AK236" s="508"/>
      <c r="AL236" s="508"/>
      <c r="AM236" s="508"/>
      <c r="AN236" s="508"/>
      <c r="AO236" s="508"/>
      <c r="AP236" s="508"/>
    </row>
    <row r="237" spans="1:42" x14ac:dyDescent="0.2">
      <c r="A237" s="528"/>
      <c r="B237" s="528"/>
      <c r="C237" s="528"/>
      <c r="D237" s="528"/>
      <c r="E237" s="528"/>
      <c r="F237" s="528"/>
      <c r="G237" s="528"/>
      <c r="H237" s="528"/>
      <c r="I237" s="528"/>
      <c r="J237" s="528"/>
      <c r="K237" s="528"/>
      <c r="L237" s="754"/>
      <c r="M237" s="756"/>
      <c r="N237" s="753"/>
      <c r="O237" s="753"/>
      <c r="P237" s="750"/>
      <c r="Q237" s="1363"/>
      <c r="R237" s="528"/>
      <c r="S237" s="754"/>
      <c r="T237" s="756"/>
      <c r="U237" s="753"/>
      <c r="V237" s="753"/>
      <c r="W237" s="754"/>
      <c r="X237" s="754"/>
      <c r="Y237" s="528"/>
      <c r="Z237" s="528"/>
      <c r="AA237" s="528"/>
      <c r="AB237" s="508"/>
      <c r="AC237" s="508"/>
      <c r="AD237" s="508"/>
      <c r="AE237" s="508"/>
      <c r="AF237" s="508"/>
      <c r="AG237" s="508"/>
      <c r="AH237" s="508"/>
      <c r="AI237" s="508"/>
      <c r="AJ237" s="508"/>
      <c r="AK237" s="508"/>
      <c r="AL237" s="508"/>
      <c r="AM237" s="508"/>
      <c r="AN237" s="508"/>
      <c r="AO237" s="508"/>
      <c r="AP237" s="508"/>
    </row>
    <row r="238" spans="1:42" ht="12.75" customHeight="1" x14ac:dyDescent="0.2">
      <c r="A238" s="528"/>
      <c r="B238" s="528"/>
      <c r="C238" s="528"/>
      <c r="D238" s="528"/>
      <c r="E238" s="528"/>
      <c r="F238" s="528"/>
      <c r="G238" s="528"/>
      <c r="H238" s="528"/>
      <c r="I238" s="528"/>
      <c r="J238" s="528"/>
      <c r="K238" s="528"/>
      <c r="L238" s="754"/>
      <c r="M238" s="756"/>
      <c r="N238" s="753"/>
      <c r="O238" s="753"/>
      <c r="P238" s="750"/>
      <c r="Q238" s="1363"/>
      <c r="R238" s="528"/>
      <c r="S238" s="754"/>
      <c r="T238" s="756"/>
      <c r="U238" s="753"/>
      <c r="V238" s="753"/>
      <c r="W238" s="754"/>
      <c r="X238" s="754"/>
      <c r="Y238" s="528"/>
      <c r="Z238" s="528"/>
      <c r="AA238" s="528"/>
      <c r="AB238" s="508"/>
      <c r="AC238" s="508"/>
      <c r="AD238" s="508"/>
      <c r="AE238" s="508"/>
      <c r="AF238" s="508"/>
      <c r="AG238" s="508"/>
      <c r="AH238" s="508"/>
      <c r="AI238" s="508"/>
      <c r="AJ238" s="508"/>
      <c r="AK238" s="508"/>
      <c r="AL238" s="508"/>
      <c r="AM238" s="508"/>
      <c r="AN238" s="508"/>
      <c r="AO238" s="508"/>
      <c r="AP238" s="508"/>
    </row>
    <row r="239" spans="1:42" x14ac:dyDescent="0.2">
      <c r="A239" s="528"/>
      <c r="B239" s="528"/>
      <c r="C239" s="528"/>
      <c r="D239" s="528"/>
      <c r="E239" s="528"/>
      <c r="F239" s="528"/>
      <c r="G239" s="528"/>
      <c r="H239" s="528"/>
      <c r="I239" s="528"/>
      <c r="J239" s="528"/>
      <c r="K239" s="528"/>
      <c r="L239" s="754"/>
      <c r="M239" s="756"/>
      <c r="N239" s="753"/>
      <c r="O239" s="753"/>
      <c r="P239" s="750"/>
      <c r="Q239" s="1363"/>
      <c r="R239" s="528"/>
      <c r="S239" s="754"/>
      <c r="T239" s="756"/>
      <c r="U239" s="753"/>
      <c r="V239" s="753"/>
      <c r="W239" s="754"/>
      <c r="X239" s="754"/>
      <c r="Y239" s="528"/>
      <c r="Z239" s="528"/>
      <c r="AA239" s="528"/>
      <c r="AB239" s="508"/>
      <c r="AC239" s="508"/>
      <c r="AD239" s="508"/>
      <c r="AE239" s="508"/>
      <c r="AF239" s="508"/>
      <c r="AG239" s="508"/>
      <c r="AH239" s="508"/>
      <c r="AI239" s="508"/>
      <c r="AJ239" s="508"/>
      <c r="AK239" s="508"/>
      <c r="AL239" s="508"/>
      <c r="AM239" s="508"/>
      <c r="AN239" s="508"/>
      <c r="AO239" s="508"/>
      <c r="AP239" s="508"/>
    </row>
    <row r="240" spans="1:42" x14ac:dyDescent="0.2">
      <c r="A240" s="528"/>
      <c r="B240" s="528"/>
      <c r="C240" s="528"/>
      <c r="D240" s="528"/>
      <c r="E240" s="528"/>
      <c r="F240" s="528"/>
      <c r="G240" s="528"/>
      <c r="H240" s="528"/>
      <c r="I240" s="528"/>
      <c r="J240" s="528"/>
      <c r="K240" s="528"/>
      <c r="L240" s="754"/>
      <c r="M240" s="756"/>
      <c r="N240" s="753"/>
      <c r="O240" s="753"/>
      <c r="P240" s="750"/>
      <c r="Q240" s="1363"/>
      <c r="R240" s="528"/>
      <c r="S240" s="754"/>
      <c r="T240" s="756"/>
      <c r="U240" s="753"/>
      <c r="V240" s="753"/>
      <c r="W240" s="754"/>
      <c r="X240" s="754"/>
      <c r="Y240" s="528"/>
      <c r="Z240" s="528"/>
      <c r="AA240" s="528"/>
      <c r="AB240" s="508"/>
      <c r="AC240" s="508"/>
      <c r="AD240" s="508"/>
      <c r="AE240" s="508"/>
      <c r="AF240" s="508"/>
      <c r="AG240" s="508"/>
      <c r="AH240" s="508"/>
      <c r="AI240" s="508"/>
      <c r="AJ240" s="508"/>
      <c r="AK240" s="508"/>
      <c r="AL240" s="508"/>
      <c r="AM240" s="508"/>
      <c r="AN240" s="508"/>
      <c r="AO240" s="508"/>
      <c r="AP240" s="508"/>
    </row>
    <row r="241" spans="1:42" x14ac:dyDescent="0.2">
      <c r="A241" s="528"/>
      <c r="B241" s="528"/>
      <c r="C241" s="528"/>
      <c r="D241" s="528"/>
      <c r="E241" s="528"/>
      <c r="F241" s="528"/>
      <c r="G241" s="528"/>
      <c r="H241" s="528"/>
      <c r="I241" s="528"/>
      <c r="J241" s="528"/>
      <c r="K241" s="528"/>
      <c r="L241" s="754"/>
      <c r="M241" s="756"/>
      <c r="N241" s="753"/>
      <c r="O241" s="753"/>
      <c r="P241" s="750"/>
      <c r="Q241" s="1363"/>
      <c r="R241" s="528"/>
      <c r="S241" s="754"/>
      <c r="T241" s="756"/>
      <c r="U241" s="753"/>
      <c r="V241" s="753"/>
      <c r="W241" s="754"/>
      <c r="X241" s="754"/>
      <c r="Y241" s="528"/>
      <c r="Z241" s="528"/>
      <c r="AA241" s="528"/>
      <c r="AB241" s="508"/>
      <c r="AC241" s="508"/>
      <c r="AD241" s="508"/>
      <c r="AE241" s="508"/>
      <c r="AF241" s="508"/>
      <c r="AG241" s="508"/>
      <c r="AH241" s="508"/>
      <c r="AI241" s="508"/>
      <c r="AJ241" s="508"/>
      <c r="AK241" s="508"/>
      <c r="AL241" s="508"/>
      <c r="AM241" s="508"/>
      <c r="AN241" s="508"/>
      <c r="AO241" s="508"/>
      <c r="AP241" s="508"/>
    </row>
    <row r="242" spans="1:42" x14ac:dyDescent="0.2">
      <c r="A242" s="528"/>
      <c r="B242" s="528"/>
      <c r="C242" s="528"/>
      <c r="D242" s="528"/>
      <c r="E242" s="528"/>
      <c r="F242" s="528"/>
      <c r="G242" s="528"/>
      <c r="H242" s="528"/>
      <c r="I242" s="528"/>
      <c r="J242" s="528"/>
      <c r="K242" s="528"/>
      <c r="L242" s="754"/>
      <c r="M242" s="756"/>
      <c r="N242" s="753"/>
      <c r="O242" s="753"/>
      <c r="P242" s="750"/>
      <c r="Q242" s="1363"/>
      <c r="R242" s="528"/>
      <c r="S242" s="753"/>
      <c r="T242" s="753"/>
      <c r="U242" s="753"/>
      <c r="V242" s="753"/>
      <c r="W242" s="753"/>
      <c r="X242" s="753"/>
      <c r="Y242" s="528"/>
      <c r="Z242" s="528"/>
      <c r="AA242" s="528"/>
      <c r="AB242" s="508"/>
      <c r="AC242" s="508"/>
      <c r="AD242" s="508"/>
      <c r="AE242" s="508"/>
      <c r="AF242" s="508"/>
      <c r="AG242" s="508"/>
      <c r="AH242" s="508"/>
      <c r="AI242" s="508"/>
      <c r="AJ242" s="508"/>
      <c r="AK242" s="508"/>
      <c r="AL242" s="508"/>
      <c r="AM242" s="508"/>
      <c r="AN242" s="508"/>
      <c r="AO242" s="508"/>
      <c r="AP242" s="508"/>
    </row>
    <row r="243" spans="1:42" x14ac:dyDescent="0.2">
      <c r="A243" s="528"/>
      <c r="B243" s="528"/>
      <c r="C243" s="528"/>
      <c r="D243" s="528"/>
      <c r="E243" s="528"/>
      <c r="F243" s="528"/>
      <c r="G243" s="528"/>
      <c r="H243" s="528"/>
      <c r="I243" s="528"/>
      <c r="J243" s="528"/>
      <c r="K243" s="528"/>
      <c r="L243" s="754"/>
      <c r="M243" s="756"/>
      <c r="N243" s="753"/>
      <c r="O243" s="753"/>
      <c r="P243" s="750"/>
      <c r="Q243" s="1363"/>
      <c r="R243" s="528"/>
      <c r="S243" s="753"/>
      <c r="T243" s="753"/>
      <c r="U243" s="753"/>
      <c r="V243" s="753"/>
      <c r="W243" s="753"/>
      <c r="X243" s="753"/>
      <c r="Y243" s="528"/>
      <c r="Z243" s="528"/>
      <c r="AA243" s="528"/>
      <c r="AB243" s="508"/>
      <c r="AC243" s="508"/>
      <c r="AD243" s="508"/>
      <c r="AE243" s="508"/>
      <c r="AF243" s="508"/>
      <c r="AG243" s="508"/>
      <c r="AH243" s="508"/>
      <c r="AI243" s="508"/>
      <c r="AJ243" s="508"/>
      <c r="AK243" s="508"/>
      <c r="AL243" s="508"/>
      <c r="AM243" s="508"/>
      <c r="AN243" s="508"/>
      <c r="AO243" s="508"/>
      <c r="AP243" s="508"/>
    </row>
    <row r="244" spans="1:42" ht="12.75" customHeight="1" x14ac:dyDescent="0.2">
      <c r="A244" s="528"/>
      <c r="B244" s="528"/>
      <c r="C244" s="528"/>
      <c r="D244" s="528"/>
      <c r="E244" s="528"/>
      <c r="F244" s="528"/>
      <c r="G244" s="528"/>
      <c r="H244" s="528"/>
      <c r="I244" s="528"/>
      <c r="J244" s="528"/>
      <c r="K244" s="528"/>
      <c r="L244" s="754"/>
      <c r="M244" s="756"/>
      <c r="N244" s="753"/>
      <c r="O244" s="753"/>
      <c r="P244" s="750"/>
      <c r="Q244" s="1363"/>
      <c r="R244" s="528"/>
      <c r="S244" s="753"/>
      <c r="T244" s="753"/>
      <c r="U244" s="753"/>
      <c r="V244" s="753"/>
      <c r="W244" s="753"/>
      <c r="X244" s="753"/>
      <c r="Y244" s="528"/>
      <c r="Z244" s="528"/>
      <c r="AA244" s="528"/>
      <c r="AB244" s="508"/>
      <c r="AC244" s="508"/>
      <c r="AD244" s="508"/>
      <c r="AE244" s="508"/>
      <c r="AF244" s="508"/>
      <c r="AG244" s="508"/>
      <c r="AH244" s="508"/>
      <c r="AI244" s="508"/>
      <c r="AJ244" s="508"/>
      <c r="AK244" s="508"/>
      <c r="AL244" s="508"/>
      <c r="AM244" s="508"/>
      <c r="AN244" s="508"/>
      <c r="AO244" s="508"/>
      <c r="AP244" s="508"/>
    </row>
    <row r="245" spans="1:42" x14ac:dyDescent="0.2">
      <c r="A245" s="528"/>
      <c r="B245" s="528"/>
      <c r="C245" s="528"/>
      <c r="D245" s="528"/>
      <c r="E245" s="528"/>
      <c r="F245" s="528"/>
      <c r="G245" s="528"/>
      <c r="H245" s="528"/>
      <c r="I245" s="528"/>
      <c r="J245" s="528"/>
      <c r="K245" s="528"/>
      <c r="L245" s="754"/>
      <c r="M245" s="756"/>
      <c r="N245" s="753"/>
      <c r="O245" s="753"/>
      <c r="P245" s="750"/>
      <c r="Q245" s="1363"/>
      <c r="R245" s="528"/>
      <c r="S245" s="528"/>
      <c r="T245" s="528"/>
      <c r="U245" s="528"/>
      <c r="V245" s="528"/>
      <c r="W245" s="528"/>
      <c r="X245" s="528"/>
      <c r="Y245" s="528"/>
      <c r="Z245" s="528"/>
      <c r="AA245" s="528"/>
      <c r="AB245" s="508"/>
      <c r="AC245" s="508"/>
      <c r="AD245" s="508"/>
      <c r="AE245" s="508"/>
      <c r="AF245" s="508"/>
      <c r="AG245" s="508"/>
      <c r="AH245" s="508"/>
      <c r="AI245" s="508"/>
      <c r="AJ245" s="508"/>
      <c r="AK245" s="508"/>
      <c r="AL245" s="508"/>
      <c r="AM245" s="508"/>
      <c r="AN245" s="508"/>
      <c r="AO245" s="508"/>
      <c r="AP245" s="508"/>
    </row>
    <row r="246" spans="1:42" x14ac:dyDescent="0.2">
      <c r="A246" s="528"/>
      <c r="B246" s="528"/>
      <c r="C246" s="528"/>
      <c r="D246" s="528"/>
      <c r="E246" s="528"/>
      <c r="F246" s="528"/>
      <c r="G246" s="528"/>
      <c r="H246" s="528"/>
      <c r="I246" s="528"/>
      <c r="J246" s="528"/>
      <c r="K246" s="528"/>
      <c r="L246" s="754"/>
      <c r="M246" s="756"/>
      <c r="N246" s="753"/>
      <c r="O246" s="753"/>
      <c r="P246" s="750"/>
      <c r="Q246" s="1363"/>
      <c r="R246" s="528"/>
      <c r="S246" s="528"/>
      <c r="T246" s="528"/>
      <c r="U246" s="528"/>
      <c r="V246" s="528"/>
      <c r="W246" s="528"/>
      <c r="X246" s="528"/>
      <c r="Y246" s="528"/>
      <c r="Z246" s="528"/>
      <c r="AA246" s="528"/>
      <c r="AB246" s="508"/>
      <c r="AC246" s="508"/>
      <c r="AD246" s="508"/>
      <c r="AE246" s="508"/>
      <c r="AF246" s="508"/>
      <c r="AG246" s="508"/>
      <c r="AH246" s="508"/>
      <c r="AI246" s="508"/>
      <c r="AJ246" s="508"/>
      <c r="AK246" s="508"/>
      <c r="AL246" s="508"/>
      <c r="AM246" s="508"/>
      <c r="AN246" s="508"/>
      <c r="AO246" s="508"/>
      <c r="AP246" s="508"/>
    </row>
    <row r="247" spans="1:42" x14ac:dyDescent="0.2">
      <c r="A247" s="528"/>
      <c r="B247" s="528"/>
      <c r="C247" s="528"/>
      <c r="D247" s="528"/>
      <c r="E247" s="528"/>
      <c r="F247" s="528"/>
      <c r="G247" s="528"/>
      <c r="H247" s="528"/>
      <c r="I247" s="528"/>
      <c r="J247" s="528"/>
      <c r="K247" s="528"/>
      <c r="L247" s="754"/>
      <c r="M247" s="756"/>
      <c r="N247" s="753"/>
      <c r="O247" s="753"/>
      <c r="P247" s="750"/>
      <c r="Q247" s="1363"/>
      <c r="R247" s="528"/>
      <c r="S247" s="528"/>
      <c r="T247" s="528"/>
      <c r="U247" s="528"/>
      <c r="V247" s="528"/>
      <c r="W247" s="528"/>
      <c r="X247" s="528"/>
      <c r="Y247" s="528"/>
      <c r="Z247" s="528"/>
      <c r="AA247" s="528"/>
      <c r="AB247" s="508"/>
      <c r="AC247" s="508"/>
      <c r="AD247" s="508"/>
      <c r="AE247" s="508"/>
      <c r="AF247" s="508"/>
      <c r="AG247" s="508"/>
      <c r="AH247" s="508"/>
      <c r="AI247" s="508"/>
      <c r="AJ247" s="508"/>
      <c r="AK247" s="508"/>
      <c r="AL247" s="508"/>
      <c r="AM247" s="508"/>
      <c r="AN247" s="508"/>
      <c r="AO247" s="508"/>
      <c r="AP247" s="508"/>
    </row>
    <row r="248" spans="1:42" x14ac:dyDescent="0.2">
      <c r="A248" s="528"/>
      <c r="B248" s="528"/>
      <c r="C248" s="528"/>
      <c r="D248" s="528"/>
      <c r="E248" s="528"/>
      <c r="F248" s="528"/>
      <c r="G248" s="528"/>
      <c r="H248" s="528"/>
      <c r="I248" s="528"/>
      <c r="J248" s="528"/>
      <c r="K248" s="528"/>
      <c r="L248" s="754"/>
      <c r="M248" s="756"/>
      <c r="N248" s="753"/>
      <c r="O248" s="753"/>
      <c r="P248" s="750"/>
      <c r="Q248" s="1363"/>
      <c r="R248" s="528"/>
      <c r="S248" s="528"/>
      <c r="T248" s="528"/>
      <c r="U248" s="528"/>
      <c r="V248" s="528"/>
      <c r="W248" s="528"/>
      <c r="X248" s="528"/>
      <c r="Y248" s="528"/>
      <c r="Z248" s="528"/>
      <c r="AA248" s="528"/>
      <c r="AB248" s="508"/>
      <c r="AC248" s="508"/>
      <c r="AD248" s="508"/>
      <c r="AE248" s="508"/>
      <c r="AF248" s="508"/>
      <c r="AG248" s="508"/>
      <c r="AH248" s="508"/>
      <c r="AI248" s="508"/>
      <c r="AJ248" s="508"/>
      <c r="AK248" s="508"/>
      <c r="AL248" s="508"/>
      <c r="AM248" s="508"/>
      <c r="AN248" s="508"/>
      <c r="AO248" s="508"/>
      <c r="AP248" s="508"/>
    </row>
    <row r="249" spans="1:42" x14ac:dyDescent="0.2">
      <c r="A249" s="528"/>
      <c r="B249" s="528"/>
      <c r="C249" s="528"/>
      <c r="D249" s="528"/>
      <c r="E249" s="528"/>
      <c r="F249" s="528"/>
      <c r="G249" s="528"/>
      <c r="H249" s="528"/>
      <c r="I249" s="528"/>
      <c r="J249" s="528"/>
      <c r="K249" s="528"/>
      <c r="L249" s="754"/>
      <c r="M249" s="756"/>
      <c r="N249" s="753"/>
      <c r="O249" s="753"/>
      <c r="P249" s="750"/>
      <c r="Q249" s="1363"/>
      <c r="R249" s="528"/>
      <c r="S249" s="528"/>
      <c r="T249" s="528"/>
      <c r="U249" s="528"/>
      <c r="V249" s="528"/>
      <c r="W249" s="528"/>
      <c r="X249" s="528"/>
      <c r="Y249" s="528"/>
      <c r="Z249" s="528"/>
      <c r="AA249" s="528"/>
      <c r="AB249" s="508"/>
      <c r="AC249" s="508"/>
      <c r="AD249" s="508"/>
      <c r="AE249" s="508"/>
      <c r="AF249" s="508"/>
      <c r="AG249" s="508"/>
      <c r="AH249" s="508"/>
      <c r="AI249" s="508"/>
      <c r="AJ249" s="508"/>
      <c r="AK249" s="508"/>
      <c r="AL249" s="508"/>
      <c r="AM249" s="508"/>
      <c r="AN249" s="508"/>
      <c r="AO249" s="508"/>
      <c r="AP249" s="508"/>
    </row>
    <row r="250" spans="1:42" x14ac:dyDescent="0.2">
      <c r="A250" s="528"/>
      <c r="B250" s="528"/>
      <c r="C250" s="528"/>
      <c r="D250" s="528"/>
      <c r="E250" s="528"/>
      <c r="F250" s="528"/>
      <c r="G250" s="528"/>
      <c r="H250" s="528"/>
      <c r="I250" s="528"/>
      <c r="J250" s="528"/>
      <c r="K250" s="528"/>
      <c r="L250" s="754"/>
      <c r="M250" s="756"/>
      <c r="N250" s="753"/>
      <c r="O250" s="753"/>
      <c r="P250" s="750"/>
      <c r="Q250" s="1363"/>
      <c r="R250" s="528"/>
      <c r="S250" s="528"/>
      <c r="T250" s="528"/>
      <c r="U250" s="528"/>
      <c r="V250" s="528"/>
      <c r="W250" s="528"/>
      <c r="X250" s="528"/>
      <c r="Y250" s="528"/>
      <c r="Z250" s="528"/>
      <c r="AA250" s="528"/>
      <c r="AB250" s="508"/>
      <c r="AC250" s="508"/>
      <c r="AD250" s="508"/>
      <c r="AE250" s="508"/>
      <c r="AF250" s="508"/>
      <c r="AG250" s="508"/>
      <c r="AH250" s="508"/>
      <c r="AI250" s="508"/>
      <c r="AJ250" s="508"/>
      <c r="AK250" s="508"/>
      <c r="AL250" s="508"/>
      <c r="AM250" s="508"/>
      <c r="AN250" s="508"/>
      <c r="AO250" s="508"/>
      <c r="AP250" s="508"/>
    </row>
    <row r="251" spans="1:42" x14ac:dyDescent="0.2">
      <c r="A251" s="528"/>
      <c r="B251" s="528"/>
      <c r="C251" s="528"/>
      <c r="D251" s="528"/>
      <c r="E251" s="528"/>
      <c r="F251" s="528"/>
      <c r="G251" s="528"/>
      <c r="H251" s="528"/>
      <c r="I251" s="528"/>
      <c r="J251" s="528"/>
      <c r="K251" s="528"/>
      <c r="L251" s="754"/>
      <c r="M251" s="756"/>
      <c r="N251" s="753"/>
      <c r="O251" s="753"/>
      <c r="P251" s="750"/>
      <c r="Q251" s="1363"/>
      <c r="R251" s="528"/>
      <c r="S251" s="528"/>
      <c r="T251" s="528"/>
      <c r="U251" s="528"/>
      <c r="V251" s="528"/>
      <c r="W251" s="528"/>
      <c r="X251" s="528"/>
      <c r="Y251" s="528"/>
      <c r="Z251" s="528"/>
      <c r="AA251" s="528"/>
      <c r="AB251" s="508"/>
      <c r="AC251" s="508"/>
      <c r="AD251" s="508"/>
      <c r="AE251" s="508"/>
      <c r="AF251" s="508"/>
      <c r="AG251" s="508"/>
      <c r="AH251" s="508"/>
      <c r="AI251" s="508"/>
      <c r="AJ251" s="508"/>
      <c r="AK251" s="508"/>
      <c r="AL251" s="508"/>
      <c r="AM251" s="508"/>
      <c r="AN251" s="508"/>
      <c r="AO251" s="508"/>
      <c r="AP251" s="508"/>
    </row>
    <row r="252" spans="1:42" x14ac:dyDescent="0.2">
      <c r="A252" s="528"/>
      <c r="B252" s="528"/>
      <c r="C252" s="528"/>
      <c r="D252" s="528"/>
      <c r="E252" s="528"/>
      <c r="F252" s="528"/>
      <c r="G252" s="528"/>
      <c r="H252" s="528"/>
      <c r="I252" s="528"/>
      <c r="J252" s="528"/>
      <c r="K252" s="528"/>
      <c r="L252" s="754"/>
      <c r="M252" s="756"/>
      <c r="N252" s="753"/>
      <c r="O252" s="753"/>
      <c r="P252" s="750"/>
      <c r="Q252" s="1363"/>
      <c r="R252" s="528"/>
      <c r="S252" s="528"/>
      <c r="T252" s="528"/>
      <c r="U252" s="528"/>
      <c r="V252" s="528"/>
      <c r="W252" s="528"/>
      <c r="X252" s="528"/>
      <c r="Y252" s="528"/>
      <c r="Z252" s="528"/>
      <c r="AA252" s="528"/>
      <c r="AB252" s="508"/>
      <c r="AC252" s="508"/>
      <c r="AD252" s="508"/>
      <c r="AE252" s="508"/>
      <c r="AF252" s="508"/>
      <c r="AG252" s="508"/>
      <c r="AH252" s="508"/>
      <c r="AI252" s="508"/>
      <c r="AJ252" s="508"/>
      <c r="AK252" s="508"/>
      <c r="AL252" s="508"/>
      <c r="AM252" s="508"/>
      <c r="AN252" s="508"/>
      <c r="AO252" s="508"/>
      <c r="AP252" s="508"/>
    </row>
    <row r="253" spans="1:42" ht="15" x14ac:dyDescent="0.25">
      <c r="A253" s="528"/>
      <c r="B253" s="528"/>
      <c r="C253" s="528"/>
      <c r="D253" s="528"/>
      <c r="E253" s="528"/>
      <c r="F253" s="528"/>
      <c r="G253" s="528"/>
      <c r="H253" s="528"/>
      <c r="I253" s="528"/>
      <c r="J253" s="528"/>
      <c r="K253" s="528"/>
      <c r="L253" s="754"/>
      <c r="M253" s="756"/>
      <c r="N253" s="753"/>
      <c r="O253" s="753"/>
      <c r="P253" s="752"/>
      <c r="Q253" s="739"/>
      <c r="R253" s="528"/>
      <c r="S253" s="528"/>
      <c r="T253" s="528"/>
      <c r="U253" s="528"/>
      <c r="V253" s="528"/>
      <c r="W253" s="528"/>
      <c r="X253" s="528"/>
      <c r="Y253" s="528"/>
      <c r="Z253" s="528"/>
      <c r="AA253" s="528"/>
      <c r="AB253" s="508"/>
      <c r="AC253" s="508"/>
      <c r="AD253" s="508"/>
      <c r="AE253" s="508"/>
      <c r="AF253" s="508"/>
      <c r="AG253" s="508"/>
      <c r="AH253" s="508"/>
      <c r="AI253" s="508"/>
      <c r="AJ253" s="508"/>
      <c r="AK253" s="508"/>
      <c r="AL253" s="508"/>
      <c r="AM253" s="508"/>
      <c r="AN253" s="508"/>
      <c r="AO253" s="508"/>
      <c r="AP253" s="508"/>
    </row>
    <row r="254" spans="1:42" x14ac:dyDescent="0.2">
      <c r="A254" s="528"/>
      <c r="B254" s="528"/>
      <c r="C254" s="528"/>
      <c r="D254" s="528"/>
      <c r="E254" s="528"/>
      <c r="F254" s="528"/>
      <c r="G254" s="528"/>
      <c r="H254" s="528"/>
      <c r="I254" s="528"/>
      <c r="J254" s="528"/>
      <c r="K254" s="528"/>
      <c r="L254" s="1364"/>
      <c r="M254" s="1364"/>
      <c r="N254" s="1364"/>
      <c r="O254" s="1364"/>
      <c r="P254" s="1364"/>
      <c r="Q254" s="1364"/>
      <c r="R254" s="528"/>
      <c r="S254" s="528"/>
      <c r="T254" s="528"/>
      <c r="U254" s="528"/>
      <c r="V254" s="528"/>
      <c r="W254" s="528"/>
      <c r="X254" s="528"/>
      <c r="Y254" s="528"/>
      <c r="Z254" s="528"/>
      <c r="AA254" s="528"/>
      <c r="AB254" s="508"/>
      <c r="AC254" s="508"/>
      <c r="AD254" s="508"/>
      <c r="AE254" s="508"/>
      <c r="AF254" s="508"/>
      <c r="AG254" s="508"/>
      <c r="AH254" s="508"/>
      <c r="AI254" s="508"/>
      <c r="AJ254" s="508"/>
      <c r="AK254" s="508"/>
      <c r="AL254" s="508"/>
      <c r="AM254" s="508"/>
      <c r="AN254" s="508"/>
      <c r="AO254" s="508"/>
      <c r="AP254" s="508"/>
    </row>
    <row r="255" spans="1:42" x14ac:dyDescent="0.2">
      <c r="A255" s="528"/>
      <c r="B255" s="528"/>
      <c r="C255" s="528"/>
      <c r="D255" s="528"/>
      <c r="E255" s="528"/>
      <c r="F255" s="528"/>
      <c r="G255" s="528"/>
      <c r="H255" s="528"/>
      <c r="I255" s="528"/>
      <c r="J255" s="528"/>
      <c r="K255" s="528"/>
      <c r="L255" s="754"/>
      <c r="M255" s="756"/>
      <c r="N255" s="753"/>
      <c r="O255" s="753"/>
      <c r="P255" s="750"/>
      <c r="Q255" s="757"/>
      <c r="R255" s="528"/>
      <c r="S255" s="528"/>
      <c r="T255" s="528"/>
      <c r="U255" s="528"/>
      <c r="V255" s="528"/>
      <c r="W255" s="528"/>
      <c r="X255" s="528"/>
      <c r="Y255" s="528"/>
      <c r="Z255" s="528"/>
      <c r="AA255" s="528"/>
      <c r="AB255" s="508"/>
      <c r="AC255" s="508"/>
      <c r="AD255" s="508"/>
      <c r="AE255" s="508"/>
      <c r="AF255" s="508"/>
      <c r="AG255" s="508"/>
      <c r="AH255" s="508"/>
      <c r="AI255" s="508"/>
      <c r="AJ255" s="508"/>
      <c r="AK255" s="508"/>
      <c r="AL255" s="508"/>
      <c r="AM255" s="508"/>
      <c r="AN255" s="508"/>
      <c r="AO255" s="508"/>
      <c r="AP255" s="508"/>
    </row>
    <row r="256" spans="1:42" x14ac:dyDescent="0.2">
      <c r="A256" s="528"/>
      <c r="B256" s="528"/>
      <c r="C256" s="528"/>
      <c r="D256" s="528"/>
      <c r="E256" s="528"/>
      <c r="F256" s="528"/>
      <c r="G256" s="528"/>
      <c r="H256" s="528"/>
      <c r="I256" s="528"/>
      <c r="J256" s="528"/>
      <c r="K256" s="528"/>
      <c r="L256" s="754"/>
      <c r="M256" s="756"/>
      <c r="N256" s="753"/>
      <c r="O256" s="753"/>
      <c r="P256" s="750"/>
      <c r="Q256" s="753"/>
      <c r="R256" s="528"/>
      <c r="S256" s="528"/>
      <c r="T256" s="528"/>
      <c r="U256" s="528"/>
      <c r="V256" s="528"/>
      <c r="W256" s="528"/>
      <c r="X256" s="528"/>
      <c r="Y256" s="528"/>
      <c r="Z256" s="528"/>
      <c r="AA256" s="528"/>
      <c r="AB256" s="508"/>
      <c r="AC256" s="508"/>
      <c r="AD256" s="508"/>
      <c r="AE256" s="508"/>
      <c r="AF256" s="508"/>
      <c r="AG256" s="508"/>
      <c r="AH256" s="508"/>
      <c r="AI256" s="508"/>
      <c r="AJ256" s="508"/>
      <c r="AK256" s="508"/>
      <c r="AL256" s="508"/>
      <c r="AM256" s="508"/>
      <c r="AN256" s="508"/>
      <c r="AO256" s="508"/>
      <c r="AP256" s="508"/>
    </row>
    <row r="257" spans="1:42" x14ac:dyDescent="0.2">
      <c r="A257" s="528"/>
      <c r="B257" s="528"/>
      <c r="C257" s="528"/>
      <c r="D257" s="528"/>
      <c r="E257" s="528"/>
      <c r="F257" s="528"/>
      <c r="G257" s="528"/>
      <c r="H257" s="528"/>
      <c r="I257" s="528"/>
      <c r="J257" s="528"/>
      <c r="K257" s="528"/>
      <c r="L257" s="754"/>
      <c r="M257" s="756"/>
      <c r="N257" s="753"/>
      <c r="O257" s="753"/>
      <c r="P257" s="750"/>
      <c r="Q257" s="753"/>
      <c r="R257" s="528"/>
      <c r="S257" s="528"/>
      <c r="T257" s="528"/>
      <c r="U257" s="528"/>
      <c r="V257" s="528"/>
      <c r="W257" s="528"/>
      <c r="X257" s="528"/>
      <c r="Y257" s="528"/>
      <c r="Z257" s="528"/>
      <c r="AA257" s="528"/>
      <c r="AB257" s="508"/>
      <c r="AC257" s="508"/>
      <c r="AD257" s="508"/>
      <c r="AE257" s="508"/>
      <c r="AF257" s="508"/>
      <c r="AG257" s="508"/>
      <c r="AH257" s="508"/>
      <c r="AI257" s="508"/>
      <c r="AJ257" s="508"/>
      <c r="AK257" s="508"/>
      <c r="AL257" s="508"/>
      <c r="AM257" s="508"/>
      <c r="AN257" s="508"/>
      <c r="AO257" s="508"/>
      <c r="AP257" s="508"/>
    </row>
    <row r="258" spans="1:42" x14ac:dyDescent="0.2">
      <c r="A258" s="528"/>
      <c r="B258" s="528"/>
      <c r="C258" s="528"/>
      <c r="D258" s="528"/>
      <c r="E258" s="528"/>
      <c r="F258" s="528"/>
      <c r="G258" s="528"/>
      <c r="H258" s="528"/>
      <c r="I258" s="528"/>
      <c r="J258" s="528"/>
      <c r="K258" s="528"/>
      <c r="L258" s="754"/>
      <c r="M258" s="756"/>
      <c r="N258" s="753"/>
      <c r="O258" s="753"/>
      <c r="P258" s="750"/>
      <c r="Q258" s="753"/>
      <c r="R258" s="528"/>
      <c r="S258" s="528"/>
      <c r="T258" s="528"/>
      <c r="U258" s="528"/>
      <c r="V258" s="528"/>
      <c r="W258" s="528"/>
      <c r="X258" s="528"/>
      <c r="Y258" s="528"/>
      <c r="Z258" s="528"/>
      <c r="AA258" s="528"/>
      <c r="AB258" s="508"/>
      <c r="AC258" s="508"/>
      <c r="AD258" s="508"/>
      <c r="AE258" s="508"/>
      <c r="AF258" s="508"/>
      <c r="AG258" s="508"/>
      <c r="AH258" s="508"/>
      <c r="AI258" s="508"/>
      <c r="AJ258" s="508"/>
      <c r="AK258" s="508"/>
      <c r="AL258" s="508"/>
      <c r="AM258" s="508"/>
      <c r="AN258" s="508"/>
      <c r="AO258" s="508"/>
      <c r="AP258" s="508"/>
    </row>
    <row r="259" spans="1:42" x14ac:dyDescent="0.2">
      <c r="A259" s="528"/>
      <c r="B259" s="528"/>
      <c r="C259" s="528"/>
      <c r="D259" s="528"/>
      <c r="E259" s="528"/>
      <c r="F259" s="528"/>
      <c r="G259" s="528"/>
      <c r="H259" s="528"/>
      <c r="I259" s="528"/>
      <c r="J259" s="528"/>
      <c r="K259" s="528"/>
      <c r="L259" s="754"/>
      <c r="M259" s="756"/>
      <c r="N259" s="753"/>
      <c r="O259" s="753"/>
      <c r="P259" s="750"/>
      <c r="Q259" s="753"/>
      <c r="R259" s="528"/>
      <c r="S259" s="528"/>
      <c r="T259" s="528"/>
      <c r="U259" s="528"/>
      <c r="V259" s="528"/>
      <c r="W259" s="528"/>
      <c r="X259" s="528"/>
      <c r="Y259" s="528"/>
      <c r="Z259" s="528"/>
      <c r="AA259" s="528"/>
      <c r="AB259" s="508"/>
      <c r="AC259" s="508"/>
      <c r="AD259" s="508"/>
      <c r="AE259" s="508"/>
      <c r="AF259" s="508"/>
      <c r="AG259" s="508"/>
      <c r="AH259" s="508"/>
      <c r="AI259" s="508"/>
      <c r="AJ259" s="508"/>
      <c r="AK259" s="508"/>
      <c r="AL259" s="508"/>
      <c r="AM259" s="508"/>
      <c r="AN259" s="508"/>
      <c r="AO259" s="508"/>
      <c r="AP259" s="508"/>
    </row>
    <row r="260" spans="1:42" x14ac:dyDescent="0.2">
      <c r="A260" s="528"/>
      <c r="B260" s="528"/>
      <c r="C260" s="528"/>
      <c r="D260" s="528"/>
      <c r="E260" s="528"/>
      <c r="F260" s="528"/>
      <c r="G260" s="528"/>
      <c r="H260" s="528"/>
      <c r="I260" s="528"/>
      <c r="J260" s="528"/>
      <c r="K260" s="528"/>
      <c r="L260" s="754"/>
      <c r="M260" s="756"/>
      <c r="N260" s="753"/>
      <c r="O260" s="753"/>
      <c r="P260" s="750"/>
      <c r="Q260" s="753"/>
      <c r="R260" s="528"/>
      <c r="S260" s="528"/>
      <c r="T260" s="528"/>
      <c r="U260" s="528"/>
      <c r="V260" s="528"/>
      <c r="W260" s="528"/>
      <c r="X260" s="528"/>
      <c r="Y260" s="528"/>
      <c r="Z260" s="528"/>
      <c r="AA260" s="528"/>
      <c r="AB260" s="508"/>
      <c r="AC260" s="508"/>
      <c r="AD260" s="508"/>
      <c r="AE260" s="508"/>
      <c r="AF260" s="508"/>
      <c r="AG260" s="508"/>
      <c r="AH260" s="508"/>
      <c r="AI260" s="508"/>
      <c r="AJ260" s="508"/>
      <c r="AK260" s="508"/>
      <c r="AL260" s="508"/>
      <c r="AM260" s="508"/>
      <c r="AN260" s="508"/>
      <c r="AO260" s="508"/>
      <c r="AP260" s="508"/>
    </row>
    <row r="261" spans="1:42" ht="15" x14ac:dyDescent="0.25">
      <c r="A261" s="528"/>
      <c r="B261" s="528"/>
      <c r="C261" s="528"/>
      <c r="D261" s="528"/>
      <c r="E261" s="528"/>
      <c r="F261" s="528"/>
      <c r="G261" s="528"/>
      <c r="H261" s="528"/>
      <c r="I261" s="528"/>
      <c r="J261" s="528"/>
      <c r="K261" s="528"/>
      <c r="L261" s="753"/>
      <c r="M261" s="753"/>
      <c r="N261" s="753"/>
      <c r="O261" s="753"/>
      <c r="P261" s="752"/>
      <c r="Q261" s="752"/>
      <c r="R261" s="528"/>
      <c r="S261" s="528"/>
      <c r="T261" s="528"/>
      <c r="U261" s="528"/>
      <c r="V261" s="528"/>
      <c r="W261" s="528"/>
      <c r="X261" s="528"/>
      <c r="Y261" s="528"/>
      <c r="Z261" s="528"/>
      <c r="AA261" s="528"/>
      <c r="AB261" s="508"/>
      <c r="AC261" s="508"/>
      <c r="AD261" s="508"/>
      <c r="AE261" s="508"/>
      <c r="AF261" s="508"/>
      <c r="AG261" s="508"/>
      <c r="AH261" s="508"/>
      <c r="AI261" s="508"/>
      <c r="AJ261" s="508"/>
      <c r="AK261" s="508"/>
      <c r="AL261" s="508"/>
      <c r="AM261" s="508"/>
      <c r="AN261" s="508"/>
      <c r="AO261" s="508"/>
      <c r="AP261" s="508"/>
    </row>
    <row r="262" spans="1:42" x14ac:dyDescent="0.2">
      <c r="A262" s="528"/>
      <c r="B262" s="528"/>
      <c r="C262" s="528"/>
      <c r="D262" s="528"/>
      <c r="E262" s="528"/>
      <c r="F262" s="528"/>
      <c r="G262" s="528"/>
      <c r="H262" s="528"/>
      <c r="I262" s="528"/>
      <c r="J262" s="528"/>
      <c r="K262" s="528"/>
      <c r="L262" s="528"/>
      <c r="M262" s="528"/>
      <c r="N262" s="528"/>
      <c r="O262" s="528"/>
      <c r="P262" s="528"/>
      <c r="Q262" s="528"/>
      <c r="R262" s="528"/>
      <c r="S262" s="528"/>
      <c r="T262" s="528"/>
      <c r="U262" s="528"/>
      <c r="V262" s="528"/>
      <c r="W262" s="528"/>
      <c r="X262" s="528"/>
      <c r="Y262" s="528"/>
      <c r="Z262" s="528"/>
      <c r="AA262" s="528"/>
      <c r="AB262" s="508"/>
      <c r="AC262" s="508"/>
      <c r="AD262" s="508"/>
      <c r="AE262" s="508"/>
      <c r="AF262" s="508"/>
      <c r="AG262" s="508"/>
      <c r="AH262" s="508"/>
      <c r="AI262" s="508"/>
      <c r="AJ262" s="508"/>
      <c r="AK262" s="508"/>
      <c r="AL262" s="508"/>
      <c r="AM262" s="508"/>
      <c r="AN262" s="508"/>
      <c r="AO262" s="508"/>
      <c r="AP262" s="508"/>
    </row>
    <row r="263" spans="1:42" x14ac:dyDescent="0.2">
      <c r="A263" s="528"/>
      <c r="B263" s="528"/>
      <c r="C263" s="528"/>
      <c r="D263" s="528"/>
      <c r="E263" s="528"/>
      <c r="F263" s="528"/>
      <c r="G263" s="528"/>
      <c r="H263" s="528"/>
      <c r="I263" s="528"/>
      <c r="J263" s="528"/>
      <c r="K263" s="528"/>
      <c r="L263" s="528"/>
      <c r="M263" s="528"/>
      <c r="N263" s="528"/>
      <c r="O263" s="528"/>
      <c r="P263" s="528"/>
      <c r="Q263" s="528"/>
      <c r="R263" s="528"/>
      <c r="S263" s="528"/>
      <c r="T263" s="528"/>
      <c r="U263" s="528"/>
      <c r="V263" s="528"/>
      <c r="W263" s="528"/>
      <c r="X263" s="528"/>
      <c r="Y263" s="528"/>
      <c r="Z263" s="528"/>
      <c r="AA263" s="528"/>
      <c r="AB263" s="508"/>
      <c r="AC263" s="508"/>
      <c r="AD263" s="508"/>
      <c r="AE263" s="508"/>
      <c r="AF263" s="508"/>
      <c r="AG263" s="508"/>
      <c r="AH263" s="508"/>
      <c r="AI263" s="508"/>
      <c r="AJ263" s="508"/>
      <c r="AK263" s="508"/>
      <c r="AL263" s="508"/>
      <c r="AM263" s="508"/>
      <c r="AN263" s="508"/>
      <c r="AO263" s="508"/>
      <c r="AP263" s="508"/>
    </row>
    <row r="264" spans="1:42" x14ac:dyDescent="0.2">
      <c r="A264" s="528"/>
      <c r="B264" s="528"/>
      <c r="C264" s="528"/>
      <c r="D264" s="528"/>
      <c r="E264" s="528"/>
      <c r="F264" s="528"/>
      <c r="G264" s="528"/>
      <c r="H264" s="528"/>
      <c r="I264" s="528"/>
      <c r="J264" s="528"/>
      <c r="K264" s="528"/>
      <c r="L264" s="528"/>
      <c r="M264" s="528"/>
      <c r="N264" s="528"/>
      <c r="O264" s="528"/>
      <c r="P264" s="528"/>
      <c r="Q264" s="528"/>
      <c r="R264" s="528"/>
      <c r="S264" s="528"/>
      <c r="T264" s="528"/>
      <c r="U264" s="528"/>
      <c r="V264" s="528"/>
      <c r="W264" s="528"/>
      <c r="X264" s="528"/>
      <c r="Y264" s="528"/>
      <c r="Z264" s="528"/>
      <c r="AA264" s="528"/>
      <c r="AB264" s="508"/>
      <c r="AC264" s="508"/>
      <c r="AD264" s="508"/>
      <c r="AE264" s="508"/>
      <c r="AF264" s="508"/>
      <c r="AG264" s="508"/>
      <c r="AH264" s="508"/>
      <c r="AI264" s="508"/>
      <c r="AJ264" s="508"/>
      <c r="AK264" s="508"/>
      <c r="AL264" s="508"/>
      <c r="AM264" s="508"/>
      <c r="AN264" s="508"/>
      <c r="AO264" s="508"/>
      <c r="AP264" s="508"/>
    </row>
    <row r="265" spans="1:42" x14ac:dyDescent="0.2">
      <c r="A265" s="528"/>
      <c r="B265" s="528"/>
      <c r="C265" s="528"/>
      <c r="D265" s="528"/>
      <c r="E265" s="528"/>
      <c r="F265" s="528"/>
      <c r="G265" s="528"/>
      <c r="H265" s="528"/>
      <c r="I265" s="528"/>
      <c r="J265" s="528"/>
      <c r="K265" s="528"/>
      <c r="L265" s="528"/>
      <c r="M265" s="528"/>
      <c r="N265" s="528"/>
      <c r="O265" s="528"/>
      <c r="P265" s="528"/>
      <c r="Q265" s="528"/>
      <c r="R265" s="528"/>
      <c r="S265" s="528"/>
      <c r="T265" s="528"/>
      <c r="U265" s="528"/>
      <c r="V265" s="528"/>
      <c r="W265" s="528"/>
      <c r="X265" s="528"/>
      <c r="Y265" s="528"/>
      <c r="Z265" s="528"/>
      <c r="AA265" s="528"/>
      <c r="AB265" s="508"/>
      <c r="AC265" s="508"/>
      <c r="AD265" s="508"/>
      <c r="AE265" s="508"/>
      <c r="AF265" s="508"/>
      <c r="AG265" s="508"/>
      <c r="AH265" s="508"/>
      <c r="AI265" s="508"/>
      <c r="AJ265" s="508"/>
      <c r="AK265" s="508"/>
      <c r="AL265" s="508"/>
      <c r="AM265" s="508"/>
      <c r="AN265" s="508"/>
      <c r="AO265" s="508"/>
      <c r="AP265" s="508"/>
    </row>
    <row r="266" spans="1:42" x14ac:dyDescent="0.2">
      <c r="A266" s="528"/>
      <c r="B266" s="528"/>
      <c r="C266" s="528"/>
      <c r="D266" s="528"/>
      <c r="E266" s="528"/>
      <c r="F266" s="528"/>
      <c r="G266" s="528"/>
      <c r="H266" s="528"/>
      <c r="I266" s="528"/>
      <c r="J266" s="528"/>
      <c r="K266" s="528"/>
      <c r="L266" s="528"/>
      <c r="M266" s="528"/>
      <c r="N266" s="528"/>
      <c r="O266" s="528"/>
      <c r="P266" s="528"/>
      <c r="Q266" s="528"/>
      <c r="R266" s="528"/>
      <c r="S266" s="528"/>
      <c r="T266" s="528"/>
      <c r="U266" s="528"/>
      <c r="V266" s="528"/>
      <c r="W266" s="528"/>
      <c r="X266" s="528"/>
      <c r="Y266" s="528"/>
      <c r="Z266" s="528"/>
      <c r="AA266" s="528"/>
      <c r="AB266" s="508"/>
      <c r="AC266" s="508"/>
      <c r="AD266" s="508"/>
      <c r="AE266" s="508"/>
      <c r="AF266" s="508"/>
      <c r="AG266" s="508"/>
      <c r="AH266" s="508"/>
      <c r="AI266" s="508"/>
      <c r="AJ266" s="508"/>
      <c r="AK266" s="508"/>
      <c r="AL266" s="508"/>
      <c r="AM266" s="508"/>
      <c r="AN266" s="508"/>
      <c r="AO266" s="508"/>
      <c r="AP266" s="508"/>
    </row>
    <row r="267" spans="1:42" x14ac:dyDescent="0.2">
      <c r="A267" s="528"/>
      <c r="B267" s="528"/>
      <c r="C267" s="528"/>
      <c r="D267" s="528"/>
      <c r="E267" s="528"/>
      <c r="F267" s="528"/>
      <c r="G267" s="528"/>
      <c r="H267" s="528"/>
      <c r="I267" s="528"/>
      <c r="J267" s="528"/>
      <c r="K267" s="528"/>
      <c r="L267" s="528"/>
      <c r="M267" s="528"/>
      <c r="N267" s="528"/>
      <c r="O267" s="528"/>
      <c r="P267" s="528"/>
      <c r="Q267" s="528"/>
      <c r="R267" s="528"/>
      <c r="S267" s="528"/>
      <c r="T267" s="528"/>
      <c r="U267" s="528"/>
      <c r="V267" s="528"/>
      <c r="W267" s="528"/>
      <c r="X267" s="528"/>
      <c r="Y267" s="528"/>
      <c r="Z267" s="528"/>
      <c r="AA267" s="528"/>
      <c r="AB267" s="508"/>
      <c r="AC267" s="508"/>
      <c r="AD267" s="508"/>
      <c r="AE267" s="508"/>
      <c r="AF267" s="508"/>
      <c r="AG267" s="508"/>
      <c r="AH267" s="508"/>
      <c r="AI267" s="508"/>
      <c r="AJ267" s="508"/>
      <c r="AK267" s="508"/>
      <c r="AL267" s="508"/>
      <c r="AM267" s="508"/>
      <c r="AN267" s="508"/>
      <c r="AO267" s="508"/>
      <c r="AP267" s="508"/>
    </row>
    <row r="268" spans="1:42" x14ac:dyDescent="0.2">
      <c r="A268" s="730"/>
      <c r="B268" s="730"/>
      <c r="C268" s="730"/>
      <c r="D268" s="730"/>
      <c r="E268" s="730"/>
      <c r="F268" s="730"/>
      <c r="G268" s="730"/>
      <c r="H268" s="730"/>
      <c r="I268" s="730"/>
      <c r="J268" s="528"/>
      <c r="K268" s="528"/>
      <c r="L268" s="528"/>
      <c r="M268" s="528"/>
      <c r="N268" s="528"/>
      <c r="O268" s="528"/>
      <c r="P268" s="528"/>
      <c r="Q268" s="528"/>
      <c r="R268" s="528"/>
      <c r="S268" s="528"/>
      <c r="T268" s="528"/>
      <c r="U268" s="528"/>
      <c r="V268" s="528"/>
      <c r="W268" s="528"/>
      <c r="X268" s="528"/>
      <c r="Y268" s="528"/>
      <c r="Z268" s="528"/>
      <c r="AA268" s="528"/>
      <c r="AB268" s="508"/>
      <c r="AC268" s="508"/>
      <c r="AD268" s="508"/>
      <c r="AE268" s="508"/>
      <c r="AF268" s="508"/>
      <c r="AG268" s="508"/>
      <c r="AH268" s="508"/>
      <c r="AI268" s="508"/>
      <c r="AJ268" s="508"/>
      <c r="AK268" s="508"/>
      <c r="AL268" s="508"/>
      <c r="AM268" s="508"/>
      <c r="AN268" s="508"/>
      <c r="AO268" s="508"/>
      <c r="AP268" s="508"/>
    </row>
    <row r="269" spans="1:42" x14ac:dyDescent="0.2">
      <c r="A269" s="754"/>
      <c r="B269" s="528"/>
      <c r="C269" s="528"/>
      <c r="D269" s="528"/>
      <c r="E269" s="528"/>
      <c r="F269" s="528"/>
      <c r="G269" s="528"/>
      <c r="H269" s="528"/>
      <c r="I269" s="528"/>
      <c r="J269" s="528"/>
      <c r="K269" s="528"/>
      <c r="L269" s="758"/>
      <c r="M269" s="528"/>
      <c r="N269" s="528"/>
      <c r="O269" s="528"/>
      <c r="P269" s="528"/>
      <c r="Q269" s="528"/>
      <c r="R269" s="528"/>
      <c r="S269" s="528"/>
      <c r="T269" s="528"/>
      <c r="U269" s="759"/>
      <c r="V269" s="528"/>
      <c r="W269" s="528"/>
      <c r="X269" s="760"/>
      <c r="Y269" s="760"/>
      <c r="Z269" s="760"/>
      <c r="AA269" s="760"/>
      <c r="AB269" s="1028"/>
      <c r="AC269" s="508"/>
      <c r="AD269" s="508"/>
      <c r="AE269" s="508"/>
      <c r="AF269" s="508"/>
      <c r="AG269" s="508"/>
      <c r="AH269" s="508"/>
      <c r="AI269" s="508"/>
      <c r="AJ269" s="508"/>
      <c r="AK269" s="508"/>
      <c r="AL269" s="508"/>
      <c r="AM269" s="508"/>
      <c r="AN269" s="508"/>
      <c r="AO269" s="508"/>
      <c r="AP269" s="508"/>
    </row>
    <row r="270" spans="1:42" x14ac:dyDescent="0.2">
      <c r="A270" s="754"/>
      <c r="B270" s="750"/>
      <c r="C270" s="750"/>
      <c r="D270" s="750"/>
      <c r="E270" s="750"/>
      <c r="F270" s="750"/>
      <c r="G270" s="750"/>
      <c r="H270" s="750"/>
      <c r="I270" s="528"/>
      <c r="J270" s="528"/>
      <c r="K270" s="528"/>
      <c r="L270" s="758"/>
      <c r="M270" s="528"/>
      <c r="N270" s="528"/>
      <c r="O270" s="528"/>
      <c r="P270" s="528"/>
      <c r="Q270" s="528"/>
      <c r="R270" s="528"/>
      <c r="S270" s="528"/>
      <c r="T270" s="528"/>
      <c r="U270" s="759"/>
      <c r="V270" s="528"/>
      <c r="W270" s="528"/>
      <c r="X270" s="761"/>
      <c r="Y270" s="761"/>
      <c r="Z270" s="761"/>
      <c r="AA270" s="761"/>
      <c r="AB270" s="1029"/>
      <c r="AC270" s="508"/>
      <c r="AD270" s="508"/>
      <c r="AE270" s="508"/>
      <c r="AF270" s="508"/>
      <c r="AG270" s="508"/>
      <c r="AH270" s="508"/>
      <c r="AI270" s="508"/>
      <c r="AJ270" s="508"/>
      <c r="AK270" s="508"/>
      <c r="AL270" s="508"/>
      <c r="AM270" s="508"/>
      <c r="AN270" s="508"/>
      <c r="AO270" s="508"/>
      <c r="AP270" s="508"/>
    </row>
    <row r="271" spans="1:42" x14ac:dyDescent="0.2">
      <c r="A271" s="750"/>
      <c r="B271" s="751"/>
      <c r="C271" s="751"/>
      <c r="D271" s="751"/>
      <c r="E271" s="751"/>
      <c r="F271" s="751"/>
      <c r="G271" s="751"/>
      <c r="H271" s="751"/>
      <c r="I271" s="528"/>
      <c r="J271" s="528"/>
      <c r="K271" s="528"/>
      <c r="L271" s="758"/>
      <c r="M271" s="528"/>
      <c r="N271" s="528"/>
      <c r="O271" s="528"/>
      <c r="P271" s="528"/>
      <c r="Q271" s="528"/>
      <c r="R271" s="528"/>
      <c r="S271" s="528"/>
      <c r="T271" s="528"/>
      <c r="U271" s="759"/>
      <c r="V271" s="528"/>
      <c r="W271" s="528"/>
      <c r="X271" s="528"/>
      <c r="Y271" s="528"/>
      <c r="Z271" s="528"/>
      <c r="AA271" s="528"/>
      <c r="AB271" s="508"/>
      <c r="AC271" s="508"/>
      <c r="AD271" s="508"/>
      <c r="AE271" s="508"/>
      <c r="AF271" s="508"/>
      <c r="AG271" s="508"/>
      <c r="AH271" s="508"/>
      <c r="AI271" s="508"/>
      <c r="AJ271" s="508"/>
      <c r="AK271" s="508"/>
      <c r="AL271" s="508"/>
      <c r="AM271" s="508"/>
      <c r="AN271" s="508"/>
      <c r="AO271" s="508"/>
      <c r="AP271" s="508"/>
    </row>
    <row r="272" spans="1:42" x14ac:dyDescent="0.2">
      <c r="A272" s="750"/>
      <c r="B272" s="750"/>
      <c r="C272" s="750"/>
      <c r="D272" s="750"/>
      <c r="E272" s="750"/>
      <c r="F272" s="750"/>
      <c r="G272" s="750"/>
      <c r="H272" s="750"/>
      <c r="I272" s="528"/>
      <c r="J272" s="528"/>
      <c r="K272" s="528"/>
      <c r="L272" s="758"/>
      <c r="M272" s="528"/>
      <c r="N272" s="528"/>
      <c r="O272" s="528"/>
      <c r="P272" s="528"/>
      <c r="Q272" s="528"/>
      <c r="R272" s="528"/>
      <c r="S272" s="528"/>
      <c r="T272" s="528"/>
      <c r="U272" s="759"/>
      <c r="V272" s="528"/>
      <c r="W272" s="528"/>
      <c r="X272" s="760"/>
      <c r="Y272" s="528"/>
      <c r="Z272" s="528"/>
      <c r="AA272" s="528"/>
      <c r="AB272" s="508"/>
      <c r="AC272" s="508"/>
      <c r="AD272" s="508"/>
      <c r="AE272" s="508"/>
      <c r="AF272" s="508"/>
      <c r="AG272" s="508"/>
      <c r="AH272" s="508"/>
      <c r="AI272" s="508"/>
      <c r="AJ272" s="508"/>
      <c r="AK272" s="508"/>
      <c r="AL272" s="508"/>
      <c r="AM272" s="508"/>
      <c r="AN272" s="508"/>
      <c r="AO272" s="508"/>
      <c r="AP272" s="508"/>
    </row>
    <row r="273" spans="1:42" x14ac:dyDescent="0.2">
      <c r="A273" s="754"/>
      <c r="B273" s="762"/>
      <c r="C273" s="762"/>
      <c r="D273" s="762"/>
      <c r="E273" s="762"/>
      <c r="F273" s="762"/>
      <c r="G273" s="762"/>
      <c r="H273" s="762"/>
      <c r="I273" s="528"/>
      <c r="J273" s="528"/>
      <c r="K273" s="528"/>
      <c r="L273" s="758"/>
      <c r="M273" s="528"/>
      <c r="N273" s="528"/>
      <c r="O273" s="528"/>
      <c r="P273" s="528"/>
      <c r="Q273" s="528"/>
      <c r="R273" s="528"/>
      <c r="S273" s="528"/>
      <c r="T273" s="528"/>
      <c r="U273" s="759"/>
      <c r="V273" s="528"/>
      <c r="W273" s="528"/>
      <c r="X273" s="759"/>
      <c r="Y273" s="528"/>
      <c r="Z273" s="528"/>
      <c r="AA273" s="528"/>
      <c r="AB273" s="508"/>
      <c r="AC273" s="508"/>
      <c r="AD273" s="508"/>
      <c r="AE273" s="508"/>
      <c r="AF273" s="508"/>
      <c r="AG273" s="508"/>
      <c r="AH273" s="508"/>
      <c r="AI273" s="508"/>
      <c r="AJ273" s="508"/>
      <c r="AK273" s="508"/>
      <c r="AL273" s="508"/>
      <c r="AM273" s="508"/>
      <c r="AN273" s="508"/>
      <c r="AO273" s="508"/>
      <c r="AP273" s="508"/>
    </row>
    <row r="274" spans="1:42" ht="15" x14ac:dyDescent="0.25">
      <c r="A274" s="528"/>
      <c r="B274" s="762"/>
      <c r="C274" s="762"/>
      <c r="D274" s="762"/>
      <c r="E274" s="763"/>
      <c r="F274" s="762"/>
      <c r="G274" s="762"/>
      <c r="H274" s="762"/>
      <c r="I274" s="763"/>
      <c r="J274" s="528"/>
      <c r="K274" s="528"/>
      <c r="L274" s="758"/>
      <c r="M274" s="528"/>
      <c r="N274" s="528"/>
      <c r="O274" s="528"/>
      <c r="P274" s="528"/>
      <c r="Q274" s="528"/>
      <c r="R274" s="528"/>
      <c r="S274" s="528"/>
      <c r="T274" s="528"/>
      <c r="U274" s="759"/>
      <c r="V274" s="528"/>
      <c r="W274" s="528"/>
      <c r="X274" s="528"/>
      <c r="Y274" s="528"/>
      <c r="Z274" s="528"/>
      <c r="AA274" s="528"/>
      <c r="AB274" s="508"/>
      <c r="AC274" s="508"/>
      <c r="AD274" s="508"/>
      <c r="AE274" s="508"/>
      <c r="AF274" s="508"/>
      <c r="AG274" s="508"/>
      <c r="AH274" s="508"/>
      <c r="AI274" s="508"/>
      <c r="AJ274" s="508"/>
      <c r="AK274" s="508"/>
      <c r="AL274" s="508"/>
      <c r="AM274" s="508"/>
      <c r="AN274" s="508"/>
      <c r="AO274" s="508"/>
      <c r="AP274" s="508"/>
    </row>
    <row r="275" spans="1:42" ht="15" x14ac:dyDescent="0.25">
      <c r="A275" s="528"/>
      <c r="B275" s="528"/>
      <c r="C275" s="528"/>
      <c r="D275" s="528"/>
      <c r="E275" s="755"/>
      <c r="F275" s="528"/>
      <c r="G275" s="528"/>
      <c r="H275" s="528"/>
      <c r="I275" s="755"/>
      <c r="J275" s="528"/>
      <c r="K275" s="528"/>
      <c r="L275" s="758"/>
      <c r="M275" s="528"/>
      <c r="N275" s="528"/>
      <c r="O275" s="528"/>
      <c r="P275" s="528"/>
      <c r="Q275" s="528"/>
      <c r="R275" s="528"/>
      <c r="S275" s="528"/>
      <c r="T275" s="528"/>
      <c r="U275" s="528"/>
      <c r="V275" s="528"/>
      <c r="W275" s="528"/>
      <c r="X275" s="528"/>
      <c r="Y275" s="528"/>
      <c r="Z275" s="528"/>
      <c r="AA275" s="528"/>
      <c r="AB275" s="508"/>
      <c r="AC275" s="508"/>
      <c r="AD275" s="508"/>
      <c r="AE275" s="508"/>
      <c r="AF275" s="508"/>
      <c r="AG275" s="508"/>
      <c r="AH275" s="508"/>
      <c r="AI275" s="508"/>
      <c r="AJ275" s="508"/>
      <c r="AK275" s="508"/>
      <c r="AL275" s="508"/>
      <c r="AM275" s="508"/>
      <c r="AN275" s="508"/>
      <c r="AO275" s="508"/>
      <c r="AP275" s="508"/>
    </row>
    <row r="276" spans="1:42" ht="15" x14ac:dyDescent="0.25">
      <c r="A276" s="754"/>
      <c r="B276" s="750"/>
      <c r="C276" s="750"/>
      <c r="D276" s="750"/>
      <c r="E276" s="752"/>
      <c r="F276" s="750"/>
      <c r="G276" s="750"/>
      <c r="H276" s="750"/>
      <c r="I276" s="755"/>
      <c r="J276" s="528"/>
      <c r="K276" s="528"/>
      <c r="L276" s="758"/>
      <c r="M276" s="528"/>
      <c r="N276" s="528"/>
      <c r="O276" s="528"/>
      <c r="P276" s="528"/>
      <c r="Q276" s="528"/>
      <c r="R276" s="528"/>
      <c r="S276" s="528"/>
      <c r="T276" s="528"/>
      <c r="U276" s="528"/>
      <c r="V276" s="528"/>
      <c r="W276" s="528"/>
      <c r="X276" s="732"/>
      <c r="Y276" s="732"/>
      <c r="Z276" s="1360"/>
      <c r="AA276" s="1360"/>
      <c r="AB276" s="508"/>
      <c r="AC276" s="508"/>
      <c r="AD276" s="508"/>
      <c r="AE276" s="508"/>
      <c r="AF276" s="508"/>
      <c r="AG276" s="508"/>
      <c r="AH276" s="508"/>
      <c r="AI276" s="508"/>
      <c r="AJ276" s="508"/>
      <c r="AK276" s="508"/>
      <c r="AL276" s="508"/>
      <c r="AM276" s="508"/>
      <c r="AN276" s="508"/>
      <c r="AO276" s="508"/>
      <c r="AP276" s="508"/>
    </row>
    <row r="277" spans="1:42" ht="15" x14ac:dyDescent="0.25">
      <c r="A277" s="750"/>
      <c r="B277" s="751"/>
      <c r="C277" s="751"/>
      <c r="D277" s="751"/>
      <c r="E277" s="755"/>
      <c r="F277" s="751"/>
      <c r="G277" s="751"/>
      <c r="H277" s="751"/>
      <c r="I277" s="755"/>
      <c r="J277" s="528"/>
      <c r="K277" s="528"/>
      <c r="L277" s="758"/>
      <c r="M277" s="528"/>
      <c r="N277" s="528"/>
      <c r="O277" s="528"/>
      <c r="P277" s="528"/>
      <c r="Q277" s="528"/>
      <c r="R277" s="528"/>
      <c r="S277" s="528"/>
      <c r="T277" s="528"/>
      <c r="U277" s="759"/>
      <c r="V277" s="528"/>
      <c r="W277" s="528"/>
      <c r="X277" s="1359"/>
      <c r="Y277" s="1359"/>
      <c r="Z277" s="1359"/>
      <c r="AA277" s="1359"/>
      <c r="AB277" s="508"/>
      <c r="AC277" s="508"/>
      <c r="AD277" s="508"/>
      <c r="AE277" s="508"/>
      <c r="AF277" s="508"/>
      <c r="AG277" s="508"/>
      <c r="AH277" s="508"/>
      <c r="AI277" s="508"/>
      <c r="AJ277" s="508"/>
      <c r="AK277" s="508"/>
      <c r="AL277" s="508"/>
      <c r="AM277" s="508"/>
      <c r="AN277" s="508"/>
      <c r="AO277" s="508"/>
      <c r="AP277" s="508"/>
    </row>
    <row r="278" spans="1:42" ht="15" x14ac:dyDescent="0.25">
      <c r="A278" s="750"/>
      <c r="B278" s="750"/>
      <c r="C278" s="750"/>
      <c r="D278" s="750"/>
      <c r="E278" s="752"/>
      <c r="F278" s="750"/>
      <c r="G278" s="750"/>
      <c r="H278" s="750"/>
      <c r="I278" s="755"/>
      <c r="J278" s="528"/>
      <c r="K278" s="528"/>
      <c r="L278" s="758"/>
      <c r="M278" s="528"/>
      <c r="N278" s="528"/>
      <c r="O278" s="528"/>
      <c r="P278" s="528"/>
      <c r="Q278" s="528"/>
      <c r="R278" s="528"/>
      <c r="S278" s="528"/>
      <c r="T278" s="528"/>
      <c r="U278" s="528"/>
      <c r="V278" s="528"/>
      <c r="W278" s="528"/>
      <c r="X278" s="528"/>
      <c r="Y278" s="528"/>
      <c r="Z278" s="528"/>
      <c r="AA278" s="528"/>
      <c r="AB278" s="508"/>
      <c r="AC278" s="508"/>
      <c r="AD278" s="508"/>
      <c r="AE278" s="508"/>
      <c r="AF278" s="508"/>
      <c r="AG278" s="508"/>
      <c r="AH278" s="508"/>
      <c r="AI278" s="508"/>
      <c r="AJ278" s="508"/>
      <c r="AK278" s="508"/>
      <c r="AL278" s="508"/>
      <c r="AM278" s="508"/>
      <c r="AN278" s="508"/>
      <c r="AO278" s="508"/>
      <c r="AP278" s="508"/>
    </row>
    <row r="279" spans="1:42" ht="15" x14ac:dyDescent="0.25">
      <c r="A279" s="754"/>
      <c r="B279" s="762"/>
      <c r="C279" s="762"/>
      <c r="D279" s="762"/>
      <c r="E279" s="763"/>
      <c r="F279" s="762"/>
      <c r="G279" s="762"/>
      <c r="H279" s="762"/>
      <c r="I279" s="755"/>
      <c r="J279" s="528"/>
      <c r="K279" s="528"/>
      <c r="L279" s="758"/>
      <c r="M279" s="528"/>
      <c r="N279" s="528"/>
      <c r="O279" s="528"/>
      <c r="P279" s="528"/>
      <c r="Q279" s="528"/>
      <c r="R279" s="528"/>
      <c r="S279" s="528"/>
      <c r="T279" s="528"/>
      <c r="U279" s="528"/>
      <c r="V279" s="528"/>
      <c r="W279" s="528"/>
      <c r="X279" s="528"/>
      <c r="Y279" s="528"/>
      <c r="Z279" s="528"/>
      <c r="AA279" s="528"/>
      <c r="AB279" s="508"/>
      <c r="AC279" s="508"/>
      <c r="AD279" s="508"/>
      <c r="AE279" s="508"/>
      <c r="AF279" s="508"/>
      <c r="AG279" s="508"/>
      <c r="AH279" s="508"/>
      <c r="AI279" s="508"/>
      <c r="AJ279" s="508"/>
      <c r="AK279" s="508"/>
      <c r="AL279" s="508"/>
      <c r="AM279" s="508"/>
      <c r="AN279" s="508"/>
      <c r="AO279" s="508"/>
      <c r="AP279" s="508"/>
    </row>
    <row r="280" spans="1:42" ht="15" x14ac:dyDescent="0.25">
      <c r="A280" s="528"/>
      <c r="B280" s="762"/>
      <c r="C280" s="762"/>
      <c r="D280" s="762"/>
      <c r="E280" s="763"/>
      <c r="F280" s="762"/>
      <c r="G280" s="762"/>
      <c r="H280" s="762"/>
      <c r="I280" s="763"/>
      <c r="J280" s="528"/>
      <c r="K280" s="528"/>
      <c r="L280" s="758"/>
      <c r="M280" s="528"/>
      <c r="N280" s="528"/>
      <c r="O280" s="528"/>
      <c r="P280" s="528"/>
      <c r="Q280" s="528"/>
      <c r="R280" s="528"/>
      <c r="S280" s="528"/>
      <c r="T280" s="528"/>
      <c r="U280" s="528"/>
      <c r="V280" s="528"/>
      <c r="W280" s="528"/>
      <c r="X280" s="732"/>
      <c r="Y280" s="758"/>
      <c r="Z280" s="758"/>
      <c r="AA280" s="758"/>
      <c r="AB280" s="1030"/>
      <c r="AC280" s="508"/>
      <c r="AD280" s="508"/>
      <c r="AE280" s="508"/>
      <c r="AF280" s="508"/>
      <c r="AG280" s="508"/>
      <c r="AH280" s="508"/>
      <c r="AI280" s="508"/>
      <c r="AJ280" s="508"/>
      <c r="AK280" s="508"/>
      <c r="AL280" s="508"/>
      <c r="AM280" s="508"/>
      <c r="AN280" s="508"/>
      <c r="AO280" s="508"/>
      <c r="AP280" s="508"/>
    </row>
    <row r="281" spans="1:42" ht="15" x14ac:dyDescent="0.25">
      <c r="A281" s="528"/>
      <c r="B281" s="528"/>
      <c r="C281" s="528"/>
      <c r="D281" s="528"/>
      <c r="E281" s="755"/>
      <c r="F281" s="528"/>
      <c r="G281" s="528"/>
      <c r="H281" s="528"/>
      <c r="I281" s="755"/>
      <c r="J281" s="528"/>
      <c r="K281" s="528"/>
      <c r="L281" s="528"/>
      <c r="M281" s="528"/>
      <c r="N281" s="528"/>
      <c r="O281" s="528"/>
      <c r="P281" s="528"/>
      <c r="Q281" s="528"/>
      <c r="R281" s="528"/>
      <c r="S281" s="528"/>
      <c r="T281" s="528"/>
      <c r="U281" s="759"/>
      <c r="V281" s="528"/>
      <c r="W281" s="528"/>
      <c r="X281" s="761"/>
      <c r="Y281" s="761"/>
      <c r="Z281" s="1359"/>
      <c r="AA281" s="1359"/>
      <c r="AB281" s="1029"/>
      <c r="AC281" s="508"/>
      <c r="AD281" s="508"/>
      <c r="AE281" s="508"/>
      <c r="AF281" s="508"/>
      <c r="AG281" s="508"/>
      <c r="AH281" s="508"/>
      <c r="AI281" s="508"/>
      <c r="AJ281" s="508"/>
      <c r="AK281" s="508"/>
      <c r="AL281" s="508"/>
      <c r="AM281" s="508"/>
      <c r="AN281" s="508"/>
      <c r="AO281" s="508"/>
      <c r="AP281" s="508"/>
    </row>
    <row r="282" spans="1:42" ht="15" x14ac:dyDescent="0.25">
      <c r="A282" s="754"/>
      <c r="B282" s="750"/>
      <c r="C282" s="750"/>
      <c r="D282" s="750"/>
      <c r="E282" s="752"/>
      <c r="F282" s="750"/>
      <c r="G282" s="750"/>
      <c r="H282" s="750"/>
      <c r="I282" s="755"/>
      <c r="J282" s="528"/>
      <c r="K282" s="528"/>
      <c r="L282" s="528"/>
      <c r="M282" s="528"/>
      <c r="N282" s="528"/>
      <c r="O282" s="528"/>
      <c r="P282" s="528"/>
      <c r="Q282" s="528"/>
      <c r="R282" s="528"/>
      <c r="S282" s="528"/>
      <c r="T282" s="528"/>
      <c r="U282" s="528"/>
      <c r="V282" s="528"/>
      <c r="W282" s="528"/>
      <c r="X282" s="528"/>
      <c r="Y282" s="528"/>
      <c r="Z282" s="528"/>
      <c r="AA282" s="528"/>
      <c r="AB282" s="508"/>
      <c r="AC282" s="508"/>
      <c r="AD282" s="508"/>
      <c r="AE282" s="508"/>
      <c r="AF282" s="508"/>
      <c r="AG282" s="508"/>
      <c r="AH282" s="508"/>
      <c r="AI282" s="508"/>
      <c r="AJ282" s="508"/>
      <c r="AK282" s="508"/>
      <c r="AL282" s="508"/>
      <c r="AM282" s="508"/>
      <c r="AN282" s="508"/>
      <c r="AO282" s="508"/>
      <c r="AP282" s="508"/>
    </row>
    <row r="283" spans="1:42" ht="15" x14ac:dyDescent="0.25">
      <c r="A283" s="750"/>
      <c r="B283" s="751"/>
      <c r="C283" s="751"/>
      <c r="D283" s="751"/>
      <c r="E283" s="755"/>
      <c r="F283" s="751"/>
      <c r="G283" s="751"/>
      <c r="H283" s="751"/>
      <c r="I283" s="755"/>
      <c r="J283" s="528"/>
      <c r="K283" s="528"/>
      <c r="L283" s="528"/>
      <c r="M283" s="528"/>
      <c r="N283" s="528"/>
      <c r="O283" s="528"/>
      <c r="P283" s="528"/>
      <c r="Q283" s="528"/>
      <c r="R283" s="528"/>
      <c r="S283" s="528"/>
      <c r="T283" s="528"/>
      <c r="U283" s="528"/>
      <c r="V283" s="528"/>
      <c r="W283" s="528"/>
      <c r="X283" s="528"/>
      <c r="Y283" s="528"/>
      <c r="Z283" s="528"/>
      <c r="AA283" s="528"/>
      <c r="AB283" s="508"/>
      <c r="AC283" s="508"/>
      <c r="AD283" s="508"/>
      <c r="AE283" s="508"/>
      <c r="AF283" s="508"/>
      <c r="AG283" s="508"/>
      <c r="AH283" s="508"/>
      <c r="AI283" s="508"/>
      <c r="AJ283" s="508"/>
      <c r="AK283" s="508"/>
      <c r="AL283" s="508"/>
      <c r="AM283" s="508"/>
      <c r="AN283" s="508"/>
      <c r="AO283" s="508"/>
      <c r="AP283" s="508"/>
    </row>
    <row r="284" spans="1:42" ht="15" x14ac:dyDescent="0.25">
      <c r="A284" s="750"/>
      <c r="B284" s="750"/>
      <c r="C284" s="750"/>
      <c r="D284" s="750"/>
      <c r="E284" s="752"/>
      <c r="F284" s="750"/>
      <c r="G284" s="750"/>
      <c r="H284" s="750"/>
      <c r="I284" s="755"/>
      <c r="J284" s="528"/>
      <c r="K284" s="528"/>
      <c r="L284" s="528"/>
      <c r="M284" s="528"/>
      <c r="N284" s="528"/>
      <c r="O284" s="528"/>
      <c r="P284" s="528"/>
      <c r="Q284" s="528"/>
      <c r="R284" s="528"/>
      <c r="S284" s="528"/>
      <c r="T284" s="528"/>
      <c r="U284" s="528"/>
      <c r="V284" s="528"/>
      <c r="W284" s="528"/>
      <c r="X284" s="528"/>
      <c r="Y284" s="528"/>
      <c r="Z284" s="528"/>
      <c r="AA284" s="528"/>
      <c r="AB284" s="508"/>
      <c r="AC284" s="508"/>
      <c r="AD284" s="508"/>
      <c r="AE284" s="508"/>
      <c r="AF284" s="508"/>
      <c r="AG284" s="508"/>
      <c r="AH284" s="508"/>
      <c r="AI284" s="508"/>
      <c r="AJ284" s="508"/>
      <c r="AK284" s="508"/>
      <c r="AL284" s="508"/>
      <c r="AM284" s="508"/>
      <c r="AN284" s="508"/>
      <c r="AO284" s="508"/>
      <c r="AP284" s="508"/>
    </row>
    <row r="285" spans="1:42" ht="15" x14ac:dyDescent="0.25">
      <c r="A285" s="754"/>
      <c r="B285" s="762"/>
      <c r="C285" s="762"/>
      <c r="D285" s="762"/>
      <c r="E285" s="763"/>
      <c r="F285" s="762"/>
      <c r="G285" s="762"/>
      <c r="H285" s="762"/>
      <c r="I285" s="755"/>
      <c r="J285" s="528"/>
      <c r="K285" s="528"/>
      <c r="L285" s="758"/>
      <c r="M285" s="528"/>
      <c r="N285" s="528"/>
      <c r="O285" s="528"/>
      <c r="P285" s="528"/>
      <c r="Q285" s="528"/>
      <c r="R285" s="528"/>
      <c r="S285" s="528"/>
      <c r="T285" s="528"/>
      <c r="U285" s="528"/>
      <c r="V285" s="528"/>
      <c r="W285" s="528"/>
      <c r="X285" s="528"/>
      <c r="Y285" s="528"/>
      <c r="Z285" s="528"/>
      <c r="AA285" s="528"/>
      <c r="AB285" s="508"/>
      <c r="AC285" s="508"/>
      <c r="AD285" s="508"/>
      <c r="AE285" s="508"/>
      <c r="AF285" s="508"/>
      <c r="AG285" s="508"/>
      <c r="AH285" s="508"/>
      <c r="AI285" s="508"/>
      <c r="AJ285" s="508"/>
      <c r="AK285" s="508"/>
      <c r="AL285" s="508"/>
      <c r="AM285" s="508"/>
      <c r="AN285" s="508"/>
      <c r="AO285" s="508"/>
      <c r="AP285" s="508"/>
    </row>
    <row r="286" spans="1:42" ht="15" x14ac:dyDescent="0.25">
      <c r="A286" s="528"/>
      <c r="B286" s="762"/>
      <c r="C286" s="762"/>
      <c r="D286" s="762"/>
      <c r="E286" s="763"/>
      <c r="F286" s="762"/>
      <c r="G286" s="762"/>
      <c r="H286" s="762"/>
      <c r="I286" s="763"/>
      <c r="J286" s="528"/>
      <c r="K286" s="528"/>
      <c r="L286" s="758"/>
      <c r="M286" s="528"/>
      <c r="N286" s="528"/>
      <c r="O286" s="528"/>
      <c r="P286" s="528"/>
      <c r="Q286" s="528"/>
      <c r="R286" s="528"/>
      <c r="S286" s="528"/>
      <c r="T286" s="528"/>
      <c r="U286" s="528"/>
      <c r="V286" s="528"/>
      <c r="W286" s="528"/>
      <c r="X286" s="732"/>
      <c r="Y286" s="732"/>
      <c r="Z286" s="1360"/>
      <c r="AA286" s="1360"/>
      <c r="AB286" s="1031"/>
      <c r="AC286" s="1031"/>
      <c r="AD286" s="1031"/>
      <c r="AE286" s="1031"/>
      <c r="AF286" s="1031"/>
      <c r="AG286" s="1031"/>
      <c r="AH286" s="1031"/>
      <c r="AI286" s="508"/>
      <c r="AJ286" s="508"/>
      <c r="AK286" s="508"/>
      <c r="AL286" s="508"/>
      <c r="AM286" s="508"/>
      <c r="AN286" s="508"/>
      <c r="AO286" s="508"/>
      <c r="AP286" s="508"/>
    </row>
    <row r="287" spans="1:42" ht="15" x14ac:dyDescent="0.25">
      <c r="A287" s="528"/>
      <c r="B287" s="528"/>
      <c r="C287" s="528"/>
      <c r="D287" s="528"/>
      <c r="E287" s="755"/>
      <c r="F287" s="528"/>
      <c r="G287" s="528"/>
      <c r="H287" s="528"/>
      <c r="I287" s="755"/>
      <c r="J287" s="528"/>
      <c r="K287" s="528"/>
      <c r="L287" s="758"/>
      <c r="M287" s="528"/>
      <c r="N287" s="528"/>
      <c r="O287" s="528"/>
      <c r="P287" s="528"/>
      <c r="Q287" s="528"/>
      <c r="R287" s="528"/>
      <c r="S287" s="528"/>
      <c r="T287" s="528"/>
      <c r="U287" s="759"/>
      <c r="V287" s="528"/>
      <c r="W287" s="528"/>
      <c r="X287" s="764"/>
      <c r="Y287" s="764"/>
      <c r="Z287" s="1359"/>
      <c r="AA287" s="1359"/>
      <c r="AB287" s="1361"/>
      <c r="AC287" s="1361"/>
      <c r="AD287" s="1032"/>
      <c r="AE287" s="508"/>
      <c r="AF287" s="1032"/>
      <c r="AG287" s="1361"/>
      <c r="AH287" s="1361"/>
      <c r="AI287" s="508"/>
      <c r="AJ287" s="508"/>
      <c r="AK287" s="508"/>
      <c r="AL287" s="508"/>
      <c r="AM287" s="508"/>
      <c r="AN287" s="508"/>
      <c r="AO287" s="508"/>
      <c r="AP287" s="508"/>
    </row>
    <row r="288" spans="1:42" ht="15" x14ac:dyDescent="0.25">
      <c r="A288" s="754"/>
      <c r="B288" s="750"/>
      <c r="C288" s="750"/>
      <c r="D288" s="750"/>
      <c r="E288" s="752"/>
      <c r="F288" s="750"/>
      <c r="G288" s="750"/>
      <c r="H288" s="750"/>
      <c r="I288" s="755"/>
      <c r="J288" s="528"/>
      <c r="K288" s="528"/>
      <c r="L288" s="758"/>
      <c r="M288" s="528"/>
      <c r="N288" s="528"/>
      <c r="O288" s="528"/>
      <c r="P288" s="528"/>
      <c r="Q288" s="528"/>
      <c r="R288" s="528"/>
      <c r="S288" s="528"/>
      <c r="T288" s="528"/>
      <c r="U288" s="528"/>
      <c r="V288" s="528"/>
      <c r="W288" s="528"/>
      <c r="X288" s="528"/>
      <c r="Y288" s="528"/>
      <c r="Z288" s="528"/>
      <c r="AA288" s="528"/>
      <c r="AB288" s="508"/>
      <c r="AC288" s="508"/>
      <c r="AD288" s="508"/>
      <c r="AE288" s="508"/>
      <c r="AF288" s="508"/>
      <c r="AG288" s="508"/>
      <c r="AH288" s="508"/>
      <c r="AI288" s="508"/>
      <c r="AJ288" s="508"/>
      <c r="AK288" s="508"/>
      <c r="AL288" s="508"/>
      <c r="AM288" s="508"/>
      <c r="AN288" s="508"/>
      <c r="AO288" s="508"/>
      <c r="AP288" s="508"/>
    </row>
    <row r="289" spans="1:28" ht="15" x14ac:dyDescent="0.25">
      <c r="A289" s="750"/>
      <c r="B289" s="751"/>
      <c r="C289" s="751"/>
      <c r="D289" s="751"/>
      <c r="E289" s="755"/>
      <c r="F289" s="751"/>
      <c r="G289" s="751"/>
      <c r="H289" s="751"/>
      <c r="I289" s="755"/>
      <c r="J289" s="528"/>
      <c r="K289" s="528"/>
      <c r="L289" s="758"/>
      <c r="M289" s="528"/>
      <c r="N289" s="528"/>
      <c r="O289" s="528"/>
      <c r="P289" s="528"/>
      <c r="Q289" s="528"/>
      <c r="R289" s="528"/>
      <c r="S289" s="528"/>
      <c r="T289" s="528"/>
      <c r="U289" s="528"/>
      <c r="V289" s="528"/>
      <c r="W289" s="528"/>
      <c r="X289" s="528"/>
      <c r="Y289" s="528"/>
      <c r="Z289" s="528"/>
      <c r="AA289" s="528"/>
      <c r="AB289" s="508"/>
    </row>
    <row r="290" spans="1:28" ht="15" x14ac:dyDescent="0.25">
      <c r="A290" s="750"/>
      <c r="B290" s="750"/>
      <c r="C290" s="750"/>
      <c r="D290" s="750"/>
      <c r="E290" s="752"/>
      <c r="F290" s="750"/>
      <c r="G290" s="750"/>
      <c r="H290" s="750"/>
      <c r="I290" s="755"/>
      <c r="J290" s="528"/>
      <c r="K290" s="528"/>
      <c r="L290" s="758"/>
      <c r="M290" s="528"/>
      <c r="N290" s="528"/>
      <c r="O290" s="528"/>
      <c r="P290" s="528"/>
      <c r="Q290" s="528"/>
      <c r="R290" s="528"/>
      <c r="S290" s="528"/>
      <c r="T290" s="528"/>
      <c r="U290" s="528"/>
      <c r="V290" s="528"/>
      <c r="W290" s="528"/>
      <c r="X290" s="528"/>
      <c r="Y290" s="528"/>
      <c r="Z290" s="528"/>
      <c r="AA290" s="528"/>
      <c r="AB290" s="508"/>
    </row>
    <row r="291" spans="1:28" ht="15" x14ac:dyDescent="0.25">
      <c r="A291" s="754"/>
      <c r="B291" s="762"/>
      <c r="C291" s="762"/>
      <c r="D291" s="762"/>
      <c r="E291" s="763"/>
      <c r="F291" s="762"/>
      <c r="G291" s="762"/>
      <c r="H291" s="762"/>
      <c r="I291" s="755"/>
      <c r="J291" s="528"/>
      <c r="K291" s="528"/>
      <c r="L291" s="758"/>
      <c r="M291" s="528"/>
      <c r="N291" s="528"/>
      <c r="O291" s="528"/>
      <c r="P291" s="528"/>
      <c r="Q291" s="528"/>
      <c r="R291" s="528"/>
      <c r="S291" s="528"/>
      <c r="T291" s="528"/>
      <c r="U291" s="528"/>
      <c r="V291" s="528"/>
      <c r="W291" s="528"/>
      <c r="X291" s="528"/>
      <c r="Y291" s="528"/>
      <c r="Z291" s="528"/>
      <c r="AA291" s="528"/>
      <c r="AB291" s="508"/>
    </row>
    <row r="292" spans="1:28" ht="15" x14ac:dyDescent="0.25">
      <c r="A292" s="528"/>
      <c r="B292" s="762"/>
      <c r="C292" s="762"/>
      <c r="D292" s="762"/>
      <c r="E292" s="763"/>
      <c r="F292" s="762"/>
      <c r="G292" s="762"/>
      <c r="H292" s="762"/>
      <c r="I292" s="763"/>
      <c r="J292" s="528"/>
      <c r="K292" s="528"/>
      <c r="L292" s="758"/>
      <c r="M292" s="528"/>
      <c r="N292" s="528"/>
      <c r="O292" s="528"/>
      <c r="P292" s="528"/>
      <c r="Q292" s="528"/>
      <c r="R292" s="528"/>
      <c r="S292" s="528"/>
      <c r="T292" s="528"/>
      <c r="U292" s="528"/>
      <c r="V292" s="528"/>
      <c r="W292" s="528"/>
      <c r="X292" s="528"/>
      <c r="Y292" s="528"/>
      <c r="Z292" s="528"/>
      <c r="AA292" s="528"/>
      <c r="AB292" s="508"/>
    </row>
    <row r="293" spans="1:28" ht="15" x14ac:dyDescent="0.25">
      <c r="A293" s="528"/>
      <c r="B293" s="528"/>
      <c r="C293" s="528"/>
      <c r="D293" s="528"/>
      <c r="E293" s="755"/>
      <c r="F293" s="528"/>
      <c r="G293" s="528"/>
      <c r="H293" s="528"/>
      <c r="I293" s="755"/>
      <c r="J293" s="528"/>
      <c r="K293" s="528"/>
      <c r="L293" s="758"/>
      <c r="M293" s="528"/>
      <c r="N293" s="528"/>
      <c r="O293" s="528"/>
      <c r="P293" s="528"/>
      <c r="Q293" s="528"/>
      <c r="R293" s="528"/>
      <c r="S293" s="528"/>
      <c r="T293" s="528"/>
      <c r="U293" s="528"/>
      <c r="V293" s="528"/>
      <c r="W293" s="528"/>
      <c r="X293" s="528"/>
      <c r="Y293" s="528"/>
      <c r="Z293" s="528"/>
      <c r="AA293" s="528"/>
    </row>
    <row r="294" spans="1:28" ht="15" x14ac:dyDescent="0.25">
      <c r="A294" s="754"/>
      <c r="B294" s="750"/>
      <c r="C294" s="750"/>
      <c r="D294" s="750"/>
      <c r="E294" s="752"/>
      <c r="F294" s="750"/>
      <c r="G294" s="750"/>
      <c r="H294" s="750"/>
      <c r="I294" s="755"/>
      <c r="J294" s="528"/>
      <c r="K294" s="528"/>
      <c r="L294" s="758"/>
      <c r="M294" s="528"/>
      <c r="N294" s="528"/>
      <c r="O294" s="528"/>
      <c r="P294" s="528"/>
      <c r="Q294" s="528"/>
      <c r="R294" s="528"/>
      <c r="S294" s="528"/>
      <c r="T294" s="528"/>
      <c r="U294" s="528"/>
      <c r="V294" s="528"/>
      <c r="W294" s="528"/>
      <c r="X294" s="528"/>
      <c r="Y294" s="528"/>
      <c r="Z294" s="528"/>
      <c r="AA294" s="528"/>
    </row>
    <row r="295" spans="1:28" ht="15" x14ac:dyDescent="0.25">
      <c r="A295" s="750"/>
      <c r="B295" s="751"/>
      <c r="C295" s="751"/>
      <c r="D295" s="751"/>
      <c r="E295" s="755"/>
      <c r="F295" s="751"/>
      <c r="G295" s="751"/>
      <c r="H295" s="751"/>
      <c r="I295" s="755"/>
      <c r="J295" s="528"/>
      <c r="K295" s="528"/>
      <c r="L295" s="758"/>
      <c r="M295" s="528"/>
      <c r="N295" s="528"/>
      <c r="O295" s="528"/>
      <c r="P295" s="528"/>
      <c r="Q295" s="528"/>
      <c r="R295" s="528"/>
      <c r="S295" s="528"/>
      <c r="T295" s="528"/>
      <c r="U295" s="528"/>
      <c r="V295" s="528"/>
      <c r="W295" s="528"/>
      <c r="X295" s="528"/>
      <c r="Y295" s="528"/>
      <c r="Z295" s="528"/>
      <c r="AA295" s="528"/>
    </row>
    <row r="296" spans="1:28" ht="15" x14ac:dyDescent="0.25">
      <c r="A296" s="750"/>
      <c r="B296" s="750"/>
      <c r="C296" s="750"/>
      <c r="D296" s="750"/>
      <c r="E296" s="752"/>
      <c r="F296" s="750"/>
      <c r="G296" s="750"/>
      <c r="H296" s="750"/>
      <c r="I296" s="755"/>
      <c r="J296" s="528"/>
      <c r="K296" s="528"/>
      <c r="L296" s="758"/>
      <c r="M296" s="528"/>
      <c r="N296" s="528"/>
      <c r="O296" s="528"/>
      <c r="P296" s="528"/>
      <c r="Q296" s="528"/>
      <c r="R296" s="528"/>
      <c r="S296" s="528"/>
      <c r="T296" s="528"/>
      <c r="U296" s="528"/>
      <c r="V296" s="528"/>
      <c r="W296" s="528"/>
      <c r="X296" s="528"/>
      <c r="Y296" s="528"/>
      <c r="Z296" s="528"/>
      <c r="AA296" s="528"/>
    </row>
    <row r="297" spans="1:28" ht="15" x14ac:dyDescent="0.25">
      <c r="A297" s="754"/>
      <c r="B297" s="762"/>
      <c r="C297" s="762"/>
      <c r="D297" s="762"/>
      <c r="E297" s="763"/>
      <c r="F297" s="762"/>
      <c r="G297" s="762"/>
      <c r="H297" s="762"/>
      <c r="I297" s="755"/>
      <c r="J297" s="528"/>
      <c r="K297" s="528"/>
      <c r="L297" s="758"/>
      <c r="M297" s="528"/>
      <c r="N297" s="528"/>
      <c r="O297" s="528"/>
      <c r="P297" s="528"/>
      <c r="Q297" s="528"/>
      <c r="R297" s="528"/>
      <c r="S297" s="528"/>
      <c r="T297" s="528"/>
      <c r="U297" s="528"/>
      <c r="V297" s="528"/>
      <c r="W297" s="528"/>
      <c r="X297" s="528"/>
      <c r="Y297" s="528"/>
      <c r="Z297" s="528"/>
      <c r="AA297" s="528"/>
    </row>
    <row r="298" spans="1:28" ht="15" x14ac:dyDescent="0.25">
      <c r="A298" s="528"/>
      <c r="B298" s="762"/>
      <c r="C298" s="762"/>
      <c r="D298" s="762"/>
      <c r="E298" s="763"/>
      <c r="F298" s="762"/>
      <c r="G298" s="762"/>
      <c r="H298" s="762"/>
      <c r="I298" s="763"/>
      <c r="J298" s="528"/>
      <c r="K298" s="528"/>
      <c r="L298" s="758"/>
      <c r="M298" s="528"/>
      <c r="N298" s="528"/>
      <c r="O298" s="528"/>
      <c r="P298" s="528"/>
      <c r="Q298" s="528"/>
      <c r="R298" s="528"/>
      <c r="S298" s="528"/>
      <c r="T298" s="528"/>
      <c r="U298" s="528"/>
      <c r="V298" s="528"/>
      <c r="W298" s="528"/>
      <c r="X298" s="528"/>
      <c r="Y298" s="528"/>
      <c r="Z298" s="528"/>
      <c r="AA298" s="528"/>
    </row>
    <row r="299" spans="1:28" ht="15" x14ac:dyDescent="0.25">
      <c r="A299" s="528"/>
      <c r="B299" s="528"/>
      <c r="C299" s="528"/>
      <c r="D299" s="528"/>
      <c r="E299" s="755"/>
      <c r="F299" s="528"/>
      <c r="G299" s="528"/>
      <c r="H299" s="528"/>
      <c r="I299" s="755"/>
      <c r="J299" s="528"/>
      <c r="K299" s="528"/>
      <c r="L299" s="528"/>
      <c r="M299" s="528"/>
      <c r="N299" s="528"/>
      <c r="O299" s="528"/>
      <c r="P299" s="528"/>
      <c r="Q299" s="528"/>
      <c r="R299" s="528"/>
      <c r="S299" s="528"/>
      <c r="T299" s="528"/>
      <c r="U299" s="528"/>
      <c r="V299" s="759"/>
      <c r="W299" s="528"/>
      <c r="X299" s="528"/>
      <c r="Y299" s="528"/>
      <c r="Z299" s="528"/>
      <c r="AA299" s="528"/>
    </row>
    <row r="300" spans="1:28" ht="15" x14ac:dyDescent="0.25">
      <c r="A300" s="754"/>
      <c r="B300" s="750"/>
      <c r="C300" s="750"/>
      <c r="D300" s="750"/>
      <c r="E300" s="752"/>
      <c r="F300" s="750"/>
      <c r="G300" s="750"/>
      <c r="H300" s="750"/>
      <c r="I300" s="755"/>
      <c r="J300" s="528"/>
      <c r="K300" s="528"/>
      <c r="L300" s="528"/>
      <c r="M300" s="528"/>
      <c r="N300" s="528"/>
      <c r="O300" s="528"/>
      <c r="P300" s="528"/>
      <c r="Q300" s="528"/>
      <c r="R300" s="528"/>
      <c r="S300" s="528"/>
      <c r="T300" s="528"/>
      <c r="U300" s="528"/>
      <c r="V300" s="759"/>
      <c r="W300" s="528"/>
      <c r="X300" s="528"/>
      <c r="Y300" s="528"/>
      <c r="Z300" s="528"/>
      <c r="AA300" s="528"/>
    </row>
    <row r="301" spans="1:28" ht="15" x14ac:dyDescent="0.25">
      <c r="A301" s="750"/>
      <c r="B301" s="751"/>
      <c r="C301" s="751"/>
      <c r="D301" s="751"/>
      <c r="E301" s="755"/>
      <c r="F301" s="751"/>
      <c r="G301" s="751"/>
      <c r="H301" s="751"/>
      <c r="I301" s="755"/>
      <c r="J301" s="528"/>
      <c r="K301" s="528"/>
      <c r="L301" s="758"/>
      <c r="M301" s="528"/>
      <c r="N301" s="528"/>
      <c r="O301" s="528"/>
      <c r="P301" s="528"/>
      <c r="Q301" s="528"/>
      <c r="R301" s="528"/>
      <c r="S301" s="528"/>
      <c r="T301" s="528"/>
      <c r="U301" s="528"/>
      <c r="V301" s="759"/>
      <c r="W301" s="528"/>
      <c r="X301" s="528"/>
      <c r="Y301" s="528"/>
      <c r="Z301" s="528"/>
      <c r="AA301" s="528"/>
    </row>
    <row r="302" spans="1:28" ht="15" x14ac:dyDescent="0.25">
      <c r="A302" s="750"/>
      <c r="B302" s="750"/>
      <c r="C302" s="750"/>
      <c r="D302" s="750"/>
      <c r="E302" s="752"/>
      <c r="F302" s="750"/>
      <c r="G302" s="750"/>
      <c r="H302" s="750"/>
      <c r="I302" s="755"/>
      <c r="J302" s="528"/>
      <c r="K302" s="528"/>
      <c r="L302" s="758"/>
      <c r="M302" s="528"/>
      <c r="N302" s="528"/>
      <c r="O302" s="528"/>
      <c r="P302" s="528"/>
      <c r="Q302" s="528"/>
      <c r="R302" s="528"/>
      <c r="S302" s="528"/>
      <c r="T302" s="528"/>
      <c r="U302" s="528"/>
      <c r="V302" s="759"/>
      <c r="W302" s="528"/>
      <c r="X302" s="528"/>
      <c r="Y302" s="528"/>
      <c r="Z302" s="528"/>
      <c r="AA302" s="528"/>
    </row>
    <row r="303" spans="1:28" ht="15" x14ac:dyDescent="0.25">
      <c r="A303" s="754"/>
      <c r="B303" s="762"/>
      <c r="C303" s="762"/>
      <c r="D303" s="762"/>
      <c r="E303" s="763"/>
      <c r="F303" s="762"/>
      <c r="G303" s="762"/>
      <c r="H303" s="762"/>
      <c r="I303" s="755"/>
      <c r="J303" s="528"/>
      <c r="K303" s="528"/>
      <c r="L303" s="758"/>
      <c r="M303" s="528"/>
      <c r="N303" s="528"/>
      <c r="O303" s="528"/>
      <c r="P303" s="528"/>
      <c r="Q303" s="528"/>
      <c r="R303" s="528"/>
      <c r="S303" s="528"/>
      <c r="T303" s="528"/>
      <c r="U303" s="528"/>
      <c r="V303" s="528"/>
      <c r="W303" s="528"/>
      <c r="X303" s="528"/>
      <c r="Y303" s="528"/>
      <c r="Z303" s="528"/>
      <c r="AA303" s="528"/>
    </row>
    <row r="304" spans="1:28" ht="15" x14ac:dyDescent="0.25">
      <c r="A304" s="528"/>
      <c r="B304" s="762"/>
      <c r="C304" s="762"/>
      <c r="D304" s="762"/>
      <c r="E304" s="763"/>
      <c r="F304" s="762"/>
      <c r="G304" s="762"/>
      <c r="H304" s="762"/>
      <c r="I304" s="763"/>
      <c r="J304" s="528"/>
      <c r="K304" s="528"/>
      <c r="L304" s="758"/>
      <c r="M304" s="528"/>
      <c r="N304" s="528"/>
      <c r="O304" s="528"/>
      <c r="P304" s="528"/>
      <c r="Q304" s="528"/>
      <c r="R304" s="528"/>
      <c r="S304" s="528"/>
      <c r="T304" s="528"/>
      <c r="U304" s="528"/>
      <c r="V304" s="528"/>
      <c r="W304" s="528"/>
      <c r="X304" s="528"/>
      <c r="Y304" s="528"/>
      <c r="Z304" s="528"/>
      <c r="AA304" s="528"/>
    </row>
    <row r="305" spans="1:27" x14ac:dyDescent="0.2">
      <c r="A305" s="528"/>
      <c r="B305" s="528"/>
      <c r="C305" s="528"/>
      <c r="D305" s="528"/>
      <c r="E305" s="528"/>
      <c r="F305" s="528"/>
      <c r="G305" s="528"/>
      <c r="H305" s="528"/>
      <c r="I305" s="528"/>
      <c r="J305" s="528"/>
      <c r="K305" s="528"/>
      <c r="L305" s="758"/>
      <c r="M305" s="528"/>
      <c r="N305" s="528"/>
      <c r="O305" s="528"/>
      <c r="P305" s="528"/>
      <c r="Q305" s="528"/>
      <c r="R305" s="528"/>
      <c r="S305" s="528"/>
      <c r="T305" s="528"/>
      <c r="U305" s="528"/>
      <c r="V305" s="528"/>
      <c r="W305" s="528"/>
      <c r="X305" s="528"/>
      <c r="Y305" s="528"/>
      <c r="Z305" s="528"/>
      <c r="AA305" s="528"/>
    </row>
    <row r="306" spans="1:27" x14ac:dyDescent="0.2">
      <c r="A306" s="528"/>
      <c r="B306" s="528"/>
      <c r="C306" s="528"/>
      <c r="D306" s="528"/>
      <c r="E306" s="528"/>
      <c r="F306" s="528"/>
      <c r="G306" s="528"/>
      <c r="H306" s="528"/>
      <c r="I306" s="528"/>
      <c r="J306" s="528"/>
      <c r="K306" s="528"/>
      <c r="L306" s="758"/>
      <c r="M306" s="528"/>
      <c r="N306" s="528"/>
      <c r="O306" s="528"/>
      <c r="P306" s="528"/>
      <c r="Q306" s="528"/>
      <c r="R306" s="528"/>
      <c r="S306" s="528"/>
      <c r="T306" s="528"/>
      <c r="U306" s="528"/>
      <c r="V306" s="528"/>
      <c r="W306" s="528"/>
      <c r="X306" s="528"/>
      <c r="Y306" s="528"/>
      <c r="Z306" s="528"/>
      <c r="AA306" s="528"/>
    </row>
    <row r="307" spans="1:27" x14ac:dyDescent="0.2">
      <c r="A307" s="528"/>
      <c r="B307" s="528"/>
      <c r="C307" s="528"/>
      <c r="D307" s="528"/>
      <c r="E307" s="528"/>
      <c r="F307" s="528"/>
      <c r="G307" s="528"/>
      <c r="H307" s="528"/>
      <c r="I307" s="528"/>
      <c r="J307" s="528"/>
      <c r="K307" s="528"/>
      <c r="L307" s="758"/>
      <c r="M307" s="528"/>
      <c r="N307" s="528"/>
      <c r="O307" s="528"/>
      <c r="P307" s="528"/>
      <c r="Q307" s="528"/>
      <c r="R307" s="528"/>
      <c r="S307" s="528"/>
      <c r="T307" s="528"/>
      <c r="U307" s="528"/>
      <c r="V307" s="528"/>
      <c r="W307" s="528"/>
      <c r="X307" s="528"/>
      <c r="Y307" s="528"/>
      <c r="Z307" s="528"/>
      <c r="AA307" s="528"/>
    </row>
    <row r="308" spans="1:27" x14ac:dyDescent="0.2">
      <c r="A308" s="528"/>
      <c r="B308" s="528"/>
      <c r="C308" s="528"/>
      <c r="D308" s="528"/>
      <c r="E308" s="528"/>
      <c r="F308" s="528"/>
      <c r="G308" s="528"/>
      <c r="H308" s="528"/>
      <c r="I308" s="528"/>
      <c r="J308" s="528"/>
      <c r="K308" s="528"/>
      <c r="L308" s="758"/>
      <c r="M308" s="528"/>
      <c r="N308" s="528"/>
      <c r="O308" s="528"/>
      <c r="P308" s="528"/>
      <c r="Q308" s="528"/>
      <c r="R308" s="528"/>
      <c r="S308" s="528"/>
      <c r="T308" s="528"/>
      <c r="U308" s="528"/>
      <c r="V308" s="528"/>
      <c r="W308" s="528"/>
      <c r="X308" s="528"/>
      <c r="Y308" s="528"/>
      <c r="Z308" s="528"/>
      <c r="AA308" s="528"/>
    </row>
    <row r="309" spans="1:27" x14ac:dyDescent="0.2">
      <c r="A309" s="528"/>
      <c r="B309" s="528"/>
      <c r="C309" s="528"/>
      <c r="D309" s="528"/>
      <c r="E309" s="528"/>
      <c r="F309" s="528"/>
      <c r="G309" s="528"/>
      <c r="H309" s="528"/>
      <c r="I309" s="528"/>
      <c r="J309" s="528"/>
      <c r="K309" s="528"/>
      <c r="L309" s="758"/>
      <c r="M309" s="528"/>
      <c r="N309" s="528"/>
      <c r="O309" s="528"/>
      <c r="P309" s="528"/>
      <c r="Q309" s="528"/>
      <c r="R309" s="528"/>
      <c r="S309" s="528"/>
      <c r="T309" s="528"/>
      <c r="U309" s="528"/>
      <c r="V309" s="528"/>
      <c r="W309" s="528"/>
      <c r="X309" s="528"/>
      <c r="Y309" s="528"/>
      <c r="Z309" s="528"/>
      <c r="AA309" s="528"/>
    </row>
    <row r="310" spans="1:27" x14ac:dyDescent="0.2">
      <c r="A310" s="528"/>
      <c r="B310" s="528"/>
      <c r="C310" s="528"/>
      <c r="D310" s="528"/>
      <c r="E310" s="528"/>
      <c r="F310" s="528"/>
      <c r="G310" s="528"/>
      <c r="H310" s="528"/>
      <c r="I310" s="528"/>
      <c r="J310" s="528"/>
      <c r="K310" s="528"/>
      <c r="L310" s="758"/>
      <c r="M310" s="528"/>
      <c r="N310" s="528"/>
      <c r="O310" s="528"/>
      <c r="P310" s="528"/>
      <c r="Q310" s="528"/>
      <c r="R310" s="528"/>
      <c r="S310" s="528"/>
      <c r="T310" s="528"/>
      <c r="U310" s="528"/>
      <c r="V310" s="528"/>
      <c r="W310" s="528"/>
      <c r="X310" s="528"/>
      <c r="Y310" s="528"/>
      <c r="Z310" s="528"/>
      <c r="AA310" s="528"/>
    </row>
    <row r="311" spans="1:27" x14ac:dyDescent="0.2">
      <c r="A311" s="528"/>
      <c r="B311" s="528"/>
      <c r="C311" s="528"/>
      <c r="D311" s="528"/>
      <c r="E311" s="528"/>
      <c r="F311" s="528"/>
      <c r="G311" s="528"/>
      <c r="H311" s="528"/>
      <c r="I311" s="528"/>
      <c r="J311" s="528"/>
      <c r="K311" s="528"/>
      <c r="L311" s="758"/>
      <c r="M311" s="528"/>
      <c r="N311" s="528"/>
      <c r="O311" s="528"/>
      <c r="P311" s="528"/>
      <c r="Q311" s="528"/>
      <c r="R311" s="528"/>
      <c r="S311" s="528"/>
      <c r="T311" s="528"/>
      <c r="U311" s="528"/>
      <c r="V311" s="528"/>
      <c r="W311" s="528"/>
      <c r="X311" s="528"/>
      <c r="Y311" s="528"/>
      <c r="Z311" s="528"/>
      <c r="AA311" s="528"/>
    </row>
    <row r="312" spans="1:27" x14ac:dyDescent="0.2">
      <c r="A312" s="528"/>
      <c r="B312" s="528"/>
      <c r="C312" s="528"/>
      <c r="D312" s="528"/>
      <c r="E312" s="528"/>
      <c r="F312" s="528"/>
      <c r="G312" s="528"/>
      <c r="H312" s="528"/>
      <c r="I312" s="528"/>
      <c r="J312" s="528"/>
      <c r="K312" s="528"/>
      <c r="L312" s="758"/>
      <c r="M312" s="528"/>
      <c r="N312" s="528"/>
      <c r="O312" s="528"/>
      <c r="P312" s="528"/>
      <c r="Q312" s="528"/>
      <c r="R312" s="528"/>
      <c r="S312" s="528"/>
      <c r="T312" s="528"/>
      <c r="U312" s="528"/>
      <c r="V312" s="528"/>
      <c r="W312" s="528"/>
      <c r="X312" s="528"/>
      <c r="Y312" s="528"/>
      <c r="Z312" s="528"/>
      <c r="AA312" s="528"/>
    </row>
    <row r="313" spans="1:27" x14ac:dyDescent="0.2">
      <c r="A313" s="528"/>
      <c r="B313" s="528"/>
      <c r="C313" s="528"/>
      <c r="D313" s="528"/>
      <c r="E313" s="528"/>
      <c r="F313" s="528"/>
      <c r="G313" s="528"/>
      <c r="H313" s="528"/>
      <c r="I313" s="528"/>
      <c r="J313" s="528"/>
      <c r="K313" s="528"/>
      <c r="L313" s="528"/>
      <c r="M313" s="528"/>
      <c r="N313" s="528"/>
      <c r="O313" s="528"/>
      <c r="P313" s="528"/>
      <c r="Q313" s="528"/>
      <c r="R313" s="528"/>
      <c r="S313" s="528"/>
      <c r="T313" s="528"/>
      <c r="U313" s="528"/>
      <c r="V313" s="528"/>
      <c r="W313" s="528"/>
      <c r="X313" s="528"/>
      <c r="Y313" s="528"/>
      <c r="Z313" s="528"/>
      <c r="AA313" s="528"/>
    </row>
    <row r="314" spans="1:27" x14ac:dyDescent="0.2">
      <c r="A314" s="528"/>
      <c r="B314" s="528"/>
      <c r="C314" s="528"/>
      <c r="D314" s="528"/>
      <c r="E314" s="528"/>
      <c r="F314" s="528"/>
      <c r="G314" s="528"/>
      <c r="H314" s="528"/>
      <c r="I314" s="528"/>
      <c r="J314" s="528"/>
      <c r="K314" s="528"/>
      <c r="L314" s="528"/>
      <c r="M314" s="528"/>
      <c r="N314" s="528"/>
      <c r="O314" s="528"/>
      <c r="P314" s="528"/>
      <c r="Q314" s="528"/>
      <c r="R314" s="528"/>
      <c r="S314" s="528"/>
      <c r="T314" s="528"/>
      <c r="U314" s="528"/>
      <c r="V314" s="528"/>
      <c r="W314" s="528"/>
      <c r="X314" s="528"/>
      <c r="Y314" s="528"/>
      <c r="Z314" s="528"/>
      <c r="AA314" s="528"/>
    </row>
    <row r="315" spans="1:27" x14ac:dyDescent="0.2">
      <c r="A315" s="528"/>
      <c r="B315" s="528"/>
      <c r="C315" s="528"/>
      <c r="D315" s="528"/>
      <c r="E315" s="528"/>
      <c r="F315" s="528"/>
      <c r="G315" s="528"/>
      <c r="H315" s="528"/>
      <c r="I315" s="528"/>
      <c r="J315" s="528"/>
      <c r="K315" s="528"/>
      <c r="L315" s="528"/>
      <c r="M315" s="528"/>
      <c r="N315" s="528"/>
      <c r="O315" s="528"/>
      <c r="P315" s="528"/>
      <c r="Q315" s="528"/>
      <c r="R315" s="528"/>
      <c r="S315" s="528"/>
      <c r="T315" s="528"/>
      <c r="U315" s="528"/>
      <c r="V315" s="528"/>
      <c r="W315" s="528"/>
      <c r="X315" s="528"/>
      <c r="Y315" s="528"/>
      <c r="Z315" s="528"/>
      <c r="AA315" s="528"/>
    </row>
    <row r="316" spans="1:27" x14ac:dyDescent="0.2">
      <c r="A316" s="528"/>
      <c r="B316" s="528"/>
      <c r="C316" s="528"/>
      <c r="D316" s="528"/>
      <c r="E316" s="528"/>
      <c r="F316" s="528"/>
      <c r="G316" s="528"/>
      <c r="H316" s="528"/>
      <c r="I316" s="528"/>
      <c r="J316" s="528"/>
      <c r="K316" s="528"/>
      <c r="L316" s="758"/>
      <c r="M316" s="528"/>
      <c r="N316" s="528"/>
      <c r="O316" s="528"/>
      <c r="P316" s="528"/>
      <c r="Q316" s="528"/>
      <c r="R316" s="528"/>
      <c r="S316" s="528"/>
      <c r="T316" s="528"/>
      <c r="U316" s="528"/>
      <c r="V316" s="528"/>
      <c r="W316" s="528"/>
      <c r="X316" s="528"/>
      <c r="Y316" s="528"/>
      <c r="Z316" s="528"/>
      <c r="AA316" s="528"/>
    </row>
    <row r="317" spans="1:27" x14ac:dyDescent="0.2">
      <c r="A317" s="528"/>
      <c r="B317" s="528"/>
      <c r="C317" s="528"/>
      <c r="D317" s="528"/>
      <c r="E317" s="528"/>
      <c r="F317" s="528"/>
      <c r="G317" s="528"/>
      <c r="H317" s="528"/>
      <c r="I317" s="528"/>
      <c r="J317" s="528"/>
      <c r="K317" s="528"/>
      <c r="L317" s="758"/>
      <c r="M317" s="528"/>
      <c r="N317" s="528"/>
      <c r="O317" s="528"/>
      <c r="P317" s="528"/>
      <c r="Q317" s="528"/>
      <c r="R317" s="528"/>
      <c r="S317" s="528"/>
      <c r="T317" s="528"/>
      <c r="U317" s="528"/>
      <c r="V317" s="528"/>
      <c r="W317" s="528"/>
      <c r="X317" s="528"/>
      <c r="Y317" s="528"/>
      <c r="Z317" s="528"/>
      <c r="AA317" s="528"/>
    </row>
    <row r="318" spans="1:27" x14ac:dyDescent="0.2">
      <c r="A318" s="528"/>
      <c r="B318" s="528"/>
      <c r="C318" s="528"/>
      <c r="D318" s="528"/>
      <c r="E318" s="528"/>
      <c r="F318" s="528"/>
      <c r="G318" s="528"/>
      <c r="H318" s="528"/>
      <c r="I318" s="528"/>
      <c r="J318" s="528"/>
      <c r="K318" s="528"/>
      <c r="L318" s="758"/>
      <c r="M318" s="528"/>
      <c r="N318" s="528"/>
      <c r="O318" s="528"/>
      <c r="P318" s="528"/>
      <c r="Q318" s="528"/>
      <c r="R318" s="528"/>
      <c r="S318" s="528"/>
      <c r="T318" s="528"/>
      <c r="U318" s="528"/>
      <c r="V318" s="528"/>
      <c r="W318" s="528"/>
      <c r="X318" s="528"/>
      <c r="Y318" s="528"/>
      <c r="Z318" s="528"/>
      <c r="AA318" s="528"/>
    </row>
    <row r="319" spans="1:27" x14ac:dyDescent="0.2">
      <c r="A319" s="528"/>
      <c r="B319" s="528"/>
      <c r="C319" s="528"/>
      <c r="D319" s="528"/>
      <c r="E319" s="528"/>
      <c r="F319" s="528"/>
      <c r="G319" s="528"/>
      <c r="H319" s="528"/>
      <c r="I319" s="528"/>
      <c r="J319" s="528"/>
      <c r="K319" s="528"/>
      <c r="L319" s="758"/>
      <c r="M319" s="528"/>
      <c r="N319" s="528"/>
      <c r="O319" s="528"/>
      <c r="P319" s="528"/>
      <c r="Q319" s="528"/>
      <c r="R319" s="528"/>
      <c r="S319" s="528"/>
      <c r="T319" s="528"/>
      <c r="U319" s="528"/>
      <c r="V319" s="528"/>
      <c r="W319" s="528"/>
      <c r="X319" s="528"/>
      <c r="Y319" s="528"/>
      <c r="Z319" s="528"/>
      <c r="AA319" s="528"/>
    </row>
    <row r="320" spans="1:27" x14ac:dyDescent="0.2">
      <c r="A320" s="528"/>
      <c r="B320" s="528"/>
      <c r="C320" s="528"/>
      <c r="D320" s="528"/>
      <c r="E320" s="528"/>
      <c r="F320" s="528"/>
      <c r="G320" s="528"/>
      <c r="H320" s="528"/>
      <c r="I320" s="528"/>
      <c r="J320" s="528"/>
      <c r="K320" s="528"/>
      <c r="L320" s="758"/>
      <c r="M320" s="528"/>
      <c r="N320" s="528"/>
      <c r="O320" s="528"/>
      <c r="P320" s="528"/>
      <c r="Q320" s="528"/>
      <c r="R320" s="528"/>
      <c r="S320" s="528"/>
      <c r="T320" s="528"/>
      <c r="U320" s="528"/>
      <c r="V320" s="528"/>
      <c r="W320" s="528"/>
      <c r="X320" s="528"/>
      <c r="Y320" s="528"/>
      <c r="Z320" s="528"/>
      <c r="AA320" s="528"/>
    </row>
    <row r="321" spans="1:27" x14ac:dyDescent="0.2">
      <c r="A321" s="528"/>
      <c r="B321" s="528"/>
      <c r="C321" s="528"/>
      <c r="D321" s="528"/>
      <c r="E321" s="528"/>
      <c r="F321" s="528"/>
      <c r="G321" s="528"/>
      <c r="H321" s="528"/>
      <c r="I321" s="528"/>
      <c r="J321" s="528"/>
      <c r="K321" s="528"/>
      <c r="L321" s="758"/>
      <c r="M321" s="528"/>
      <c r="N321" s="528"/>
      <c r="O321" s="528"/>
      <c r="P321" s="528"/>
      <c r="Q321" s="528"/>
      <c r="R321" s="528"/>
      <c r="S321" s="528"/>
      <c r="T321" s="528"/>
      <c r="U321" s="528"/>
      <c r="V321" s="528"/>
      <c r="W321" s="528"/>
      <c r="X321" s="528"/>
      <c r="Y321" s="528"/>
      <c r="Z321" s="528"/>
      <c r="AA321" s="528"/>
    </row>
    <row r="322" spans="1:27" x14ac:dyDescent="0.2">
      <c r="A322" s="528"/>
      <c r="B322" s="528"/>
      <c r="C322" s="528"/>
      <c r="D322" s="528"/>
      <c r="E322" s="528"/>
      <c r="F322" s="528"/>
      <c r="G322" s="528"/>
      <c r="H322" s="528"/>
      <c r="I322" s="528"/>
      <c r="J322" s="528"/>
      <c r="K322" s="528"/>
      <c r="L322" s="758"/>
      <c r="M322" s="528"/>
      <c r="N322" s="528"/>
      <c r="O322" s="528"/>
      <c r="P322" s="528"/>
      <c r="Q322" s="528"/>
      <c r="R322" s="528"/>
      <c r="S322" s="528"/>
      <c r="T322" s="528"/>
      <c r="U322" s="528"/>
      <c r="V322" s="528"/>
      <c r="W322" s="528"/>
      <c r="X322" s="528"/>
      <c r="Y322" s="528"/>
      <c r="Z322" s="528"/>
      <c r="AA322" s="528"/>
    </row>
    <row r="323" spans="1:27" x14ac:dyDescent="0.2">
      <c r="A323" s="528"/>
      <c r="B323" s="528"/>
      <c r="C323" s="528"/>
      <c r="D323" s="528"/>
      <c r="E323" s="528"/>
      <c r="F323" s="528"/>
      <c r="G323" s="528"/>
      <c r="H323" s="528"/>
      <c r="I323" s="528"/>
      <c r="J323" s="528"/>
      <c r="K323" s="528"/>
      <c r="L323" s="758"/>
      <c r="M323" s="528"/>
      <c r="N323" s="528"/>
      <c r="O323" s="528"/>
      <c r="P323" s="528"/>
      <c r="Q323" s="528"/>
      <c r="R323" s="528"/>
      <c r="S323" s="528"/>
      <c r="T323" s="528"/>
      <c r="U323" s="528"/>
      <c r="V323" s="528"/>
      <c r="W323" s="528"/>
      <c r="X323" s="528"/>
      <c r="Y323" s="528"/>
      <c r="Z323" s="528"/>
      <c r="AA323" s="528"/>
    </row>
    <row r="324" spans="1:27" x14ac:dyDescent="0.2">
      <c r="A324" s="528"/>
      <c r="B324" s="528"/>
      <c r="C324" s="528"/>
      <c r="D324" s="528"/>
      <c r="E324" s="528"/>
      <c r="F324" s="528"/>
      <c r="G324" s="528"/>
      <c r="H324" s="528"/>
      <c r="I324" s="528"/>
      <c r="J324" s="528"/>
      <c r="K324" s="528"/>
      <c r="L324" s="758"/>
      <c r="M324" s="528"/>
      <c r="N324" s="528"/>
      <c r="O324" s="528"/>
      <c r="P324" s="528"/>
      <c r="Q324" s="528"/>
      <c r="R324" s="528"/>
      <c r="S324" s="528"/>
      <c r="T324" s="528"/>
      <c r="U324" s="528"/>
      <c r="V324" s="528"/>
      <c r="W324" s="528"/>
      <c r="X324" s="528"/>
      <c r="Y324" s="528"/>
      <c r="Z324" s="528"/>
      <c r="AA324" s="528"/>
    </row>
    <row r="325" spans="1:27" x14ac:dyDescent="0.2">
      <c r="A325" s="528"/>
      <c r="B325" s="528"/>
      <c r="C325" s="528"/>
      <c r="D325" s="528"/>
      <c r="E325" s="528"/>
      <c r="F325" s="528"/>
      <c r="G325" s="528"/>
      <c r="H325" s="528"/>
      <c r="I325" s="528"/>
      <c r="J325" s="528"/>
      <c r="K325" s="528"/>
      <c r="L325" s="758"/>
      <c r="M325" s="528"/>
      <c r="N325" s="528"/>
      <c r="O325" s="528"/>
      <c r="P325" s="528"/>
      <c r="Q325" s="528"/>
      <c r="R325" s="528"/>
      <c r="S325" s="528"/>
      <c r="T325" s="528"/>
      <c r="U325" s="528"/>
      <c r="V325" s="528"/>
      <c r="W325" s="528"/>
      <c r="X325" s="528"/>
      <c r="Y325" s="528"/>
      <c r="Z325" s="528"/>
      <c r="AA325" s="528"/>
    </row>
    <row r="326" spans="1:27" x14ac:dyDescent="0.2">
      <c r="A326" s="528"/>
      <c r="B326" s="528"/>
      <c r="C326" s="528"/>
      <c r="D326" s="528"/>
      <c r="E326" s="528"/>
      <c r="F326" s="528"/>
      <c r="G326" s="528"/>
      <c r="H326" s="528"/>
      <c r="I326" s="528"/>
      <c r="J326" s="528"/>
      <c r="K326" s="528"/>
      <c r="L326" s="758"/>
      <c r="M326" s="528"/>
      <c r="N326" s="528"/>
      <c r="O326" s="528"/>
      <c r="P326" s="528"/>
      <c r="Q326" s="528"/>
      <c r="R326" s="528"/>
      <c r="S326" s="528"/>
      <c r="T326" s="528"/>
      <c r="U326" s="528"/>
      <c r="V326" s="528"/>
      <c r="W326" s="528"/>
      <c r="X326" s="528"/>
      <c r="Y326" s="528"/>
      <c r="Z326" s="528"/>
      <c r="AA326" s="528"/>
    </row>
    <row r="327" spans="1:27" x14ac:dyDescent="0.2">
      <c r="A327" s="528"/>
      <c r="B327" s="528"/>
      <c r="C327" s="528"/>
      <c r="D327" s="528"/>
      <c r="E327" s="528"/>
      <c r="F327" s="528"/>
      <c r="G327" s="528"/>
      <c r="H327" s="528"/>
      <c r="I327" s="528"/>
      <c r="J327" s="528"/>
      <c r="K327" s="528"/>
      <c r="L327" s="758"/>
      <c r="M327" s="528"/>
      <c r="N327" s="528"/>
      <c r="O327" s="528"/>
      <c r="P327" s="528"/>
      <c r="Q327" s="528"/>
      <c r="R327" s="528"/>
      <c r="S327" s="528"/>
      <c r="T327" s="528"/>
      <c r="U327" s="528"/>
      <c r="V327" s="528"/>
      <c r="W327" s="528"/>
      <c r="X327" s="528"/>
      <c r="Y327" s="528"/>
      <c r="Z327" s="528"/>
      <c r="AA327" s="528"/>
    </row>
    <row r="328" spans="1:27" x14ac:dyDescent="0.2">
      <c r="A328" s="528"/>
      <c r="B328" s="528"/>
      <c r="C328" s="528"/>
      <c r="D328" s="528"/>
      <c r="E328" s="528"/>
      <c r="F328" s="528"/>
      <c r="G328" s="528"/>
      <c r="H328" s="528"/>
      <c r="I328" s="528"/>
      <c r="J328" s="528"/>
      <c r="K328" s="528"/>
      <c r="L328" s="758"/>
      <c r="M328" s="528"/>
      <c r="N328" s="528"/>
      <c r="O328" s="528"/>
      <c r="P328" s="528"/>
      <c r="Q328" s="528"/>
      <c r="R328" s="528"/>
      <c r="S328" s="528"/>
      <c r="T328" s="528"/>
      <c r="U328" s="528"/>
      <c r="V328" s="528"/>
      <c r="W328" s="528"/>
      <c r="X328" s="528"/>
      <c r="Y328" s="528"/>
      <c r="Z328" s="528"/>
      <c r="AA328" s="528"/>
    </row>
    <row r="329" spans="1:27" x14ac:dyDescent="0.2">
      <c r="A329" s="528"/>
      <c r="B329" s="528"/>
      <c r="C329" s="528"/>
      <c r="D329" s="528"/>
      <c r="E329" s="528"/>
      <c r="F329" s="528"/>
      <c r="G329" s="528"/>
      <c r="H329" s="528"/>
      <c r="I329" s="528"/>
      <c r="J329" s="528"/>
      <c r="K329" s="528"/>
      <c r="L329" s="758"/>
      <c r="M329" s="528"/>
      <c r="N329" s="528"/>
      <c r="O329" s="528"/>
      <c r="P329" s="528"/>
      <c r="Q329" s="528"/>
      <c r="R329" s="528"/>
      <c r="S329" s="528"/>
      <c r="T329" s="528"/>
      <c r="U329" s="528"/>
      <c r="V329" s="528"/>
      <c r="W329" s="528"/>
      <c r="X329" s="528"/>
      <c r="Y329" s="528"/>
      <c r="Z329" s="528"/>
      <c r="AA329" s="528"/>
    </row>
    <row r="330" spans="1:27" x14ac:dyDescent="0.2">
      <c r="A330" s="528"/>
      <c r="B330" s="528"/>
      <c r="C330" s="528"/>
      <c r="D330" s="528"/>
      <c r="E330" s="528"/>
      <c r="F330" s="528"/>
      <c r="G330" s="528"/>
      <c r="H330" s="528"/>
      <c r="I330" s="528"/>
      <c r="J330" s="528"/>
      <c r="K330" s="528"/>
      <c r="L330" s="758"/>
      <c r="M330" s="528"/>
      <c r="N330" s="528"/>
      <c r="O330" s="528"/>
      <c r="P330" s="528"/>
      <c r="Q330" s="528"/>
      <c r="R330" s="528"/>
      <c r="S330" s="528"/>
      <c r="T330" s="528"/>
      <c r="U330" s="528"/>
      <c r="V330" s="528"/>
      <c r="W330" s="528"/>
      <c r="X330" s="528"/>
      <c r="Y330" s="528"/>
      <c r="Z330" s="528"/>
      <c r="AA330" s="528"/>
    </row>
    <row r="331" spans="1:27" x14ac:dyDescent="0.2">
      <c r="A331" s="528"/>
      <c r="B331" s="528"/>
      <c r="C331" s="528"/>
      <c r="D331" s="528"/>
      <c r="E331" s="528"/>
      <c r="F331" s="528"/>
      <c r="G331" s="528"/>
      <c r="H331" s="528"/>
      <c r="I331" s="528"/>
      <c r="J331" s="528"/>
      <c r="K331" s="528"/>
      <c r="L331" s="758"/>
      <c r="M331" s="528"/>
      <c r="N331" s="528"/>
      <c r="O331" s="528"/>
      <c r="P331" s="528"/>
      <c r="Q331" s="528"/>
      <c r="R331" s="528"/>
      <c r="S331" s="528"/>
      <c r="T331" s="528"/>
      <c r="U331" s="528"/>
      <c r="V331" s="528"/>
      <c r="W331" s="528"/>
      <c r="X331" s="528"/>
      <c r="Y331" s="528"/>
      <c r="Z331" s="528"/>
      <c r="AA331" s="528"/>
    </row>
    <row r="332" spans="1:27" x14ac:dyDescent="0.2">
      <c r="A332" s="528"/>
      <c r="B332" s="528"/>
      <c r="C332" s="528"/>
      <c r="D332" s="528"/>
      <c r="E332" s="528"/>
      <c r="F332" s="528"/>
      <c r="G332" s="528"/>
      <c r="H332" s="528"/>
      <c r="I332" s="528"/>
      <c r="J332" s="528"/>
      <c r="K332" s="528"/>
      <c r="L332" s="758"/>
      <c r="M332" s="528"/>
      <c r="N332" s="528"/>
      <c r="O332" s="528"/>
      <c r="P332" s="528"/>
      <c r="Q332" s="528"/>
      <c r="R332" s="528"/>
      <c r="S332" s="528"/>
      <c r="T332" s="528"/>
      <c r="U332" s="528"/>
      <c r="V332" s="528"/>
      <c r="W332" s="528"/>
      <c r="X332" s="528"/>
      <c r="Y332" s="528"/>
      <c r="Z332" s="528"/>
      <c r="AA332" s="528"/>
    </row>
    <row r="333" spans="1:27" x14ac:dyDescent="0.2">
      <c r="A333" s="528"/>
      <c r="B333" s="528"/>
      <c r="C333" s="528"/>
      <c r="D333" s="528"/>
      <c r="E333" s="528"/>
      <c r="F333" s="528"/>
      <c r="G333" s="528"/>
      <c r="H333" s="528"/>
      <c r="I333" s="528"/>
      <c r="J333" s="528"/>
      <c r="K333" s="528"/>
      <c r="L333" s="528"/>
      <c r="M333" s="528"/>
      <c r="N333" s="528"/>
      <c r="O333" s="528"/>
      <c r="P333" s="528"/>
      <c r="Q333" s="528"/>
      <c r="R333" s="528"/>
      <c r="S333" s="528"/>
      <c r="T333" s="528"/>
      <c r="U333" s="528"/>
      <c r="V333" s="528"/>
      <c r="W333" s="528"/>
      <c r="X333" s="528"/>
      <c r="Y333" s="528"/>
      <c r="Z333" s="528"/>
      <c r="AA333" s="528"/>
    </row>
    <row r="334" spans="1:27" x14ac:dyDescent="0.2">
      <c r="A334" s="528"/>
      <c r="B334" s="528"/>
      <c r="C334" s="528"/>
      <c r="D334" s="528"/>
      <c r="E334" s="528"/>
      <c r="F334" s="528"/>
      <c r="G334" s="528"/>
      <c r="H334" s="528"/>
      <c r="I334" s="528"/>
      <c r="J334" s="528"/>
      <c r="K334" s="528"/>
      <c r="L334" s="528"/>
      <c r="M334" s="528"/>
      <c r="N334" s="528"/>
      <c r="O334" s="528"/>
      <c r="P334" s="528"/>
      <c r="Q334" s="528"/>
      <c r="R334" s="528"/>
      <c r="S334" s="528"/>
      <c r="T334" s="528"/>
      <c r="U334" s="528"/>
      <c r="V334" s="528"/>
      <c r="W334" s="528"/>
      <c r="X334" s="528"/>
      <c r="Y334" s="528"/>
      <c r="Z334" s="528"/>
      <c r="AA334" s="528"/>
    </row>
    <row r="335" spans="1:27" x14ac:dyDescent="0.2">
      <c r="A335" s="528"/>
      <c r="B335" s="528"/>
      <c r="C335" s="528"/>
      <c r="D335" s="528"/>
      <c r="E335" s="528"/>
      <c r="F335" s="528"/>
      <c r="G335" s="528"/>
      <c r="H335" s="528"/>
      <c r="I335" s="528"/>
      <c r="J335" s="528"/>
      <c r="K335" s="528"/>
      <c r="L335" s="528"/>
      <c r="M335" s="528"/>
      <c r="N335" s="528"/>
      <c r="O335" s="528"/>
      <c r="P335" s="528"/>
      <c r="Q335" s="528"/>
      <c r="R335" s="528"/>
      <c r="S335" s="528"/>
      <c r="T335" s="528"/>
      <c r="U335" s="528"/>
      <c r="V335" s="528"/>
      <c r="W335" s="528"/>
      <c r="X335" s="528"/>
      <c r="Y335" s="528"/>
      <c r="Z335" s="528"/>
      <c r="AA335" s="528"/>
    </row>
    <row r="336" spans="1:27" x14ac:dyDescent="0.2">
      <c r="A336" s="528"/>
      <c r="B336" s="528"/>
      <c r="C336" s="528"/>
      <c r="D336" s="528"/>
      <c r="E336" s="528"/>
      <c r="F336" s="528"/>
      <c r="G336" s="528"/>
      <c r="H336" s="528"/>
      <c r="I336" s="528"/>
      <c r="J336" s="528"/>
      <c r="K336" s="528"/>
      <c r="L336" s="528"/>
      <c r="M336" s="528"/>
      <c r="N336" s="528"/>
      <c r="O336" s="528"/>
      <c r="P336" s="528"/>
      <c r="Q336" s="528"/>
      <c r="R336" s="528"/>
      <c r="S336" s="528"/>
      <c r="T336" s="528"/>
      <c r="U336" s="528"/>
      <c r="V336" s="528"/>
      <c r="W336" s="528"/>
      <c r="X336" s="528"/>
      <c r="Y336" s="528"/>
      <c r="Z336" s="528"/>
      <c r="AA336" s="528"/>
    </row>
    <row r="337" spans="1:27" x14ac:dyDescent="0.2">
      <c r="A337" s="528"/>
      <c r="B337" s="528"/>
      <c r="C337" s="528"/>
      <c r="D337" s="528"/>
      <c r="E337" s="528"/>
      <c r="F337" s="528"/>
      <c r="G337" s="528"/>
      <c r="H337" s="528"/>
      <c r="I337" s="528"/>
      <c r="J337" s="528"/>
      <c r="K337" s="528"/>
      <c r="L337" s="528"/>
      <c r="M337" s="528"/>
      <c r="N337" s="528"/>
      <c r="O337" s="528"/>
      <c r="P337" s="528"/>
      <c r="Q337" s="528"/>
      <c r="R337" s="528"/>
      <c r="S337" s="528"/>
      <c r="T337" s="528"/>
      <c r="U337" s="528"/>
      <c r="V337" s="528"/>
      <c r="W337" s="528"/>
      <c r="X337" s="528"/>
      <c r="Y337" s="528"/>
      <c r="Z337" s="528"/>
      <c r="AA337" s="528"/>
    </row>
    <row r="338" spans="1:27" x14ac:dyDescent="0.2">
      <c r="A338" s="528"/>
      <c r="B338" s="528"/>
      <c r="C338" s="528"/>
      <c r="D338" s="528"/>
      <c r="E338" s="528"/>
      <c r="F338" s="528"/>
      <c r="G338" s="528"/>
      <c r="H338" s="528"/>
      <c r="I338" s="528"/>
      <c r="J338" s="528"/>
      <c r="K338" s="528"/>
      <c r="L338" s="528"/>
      <c r="M338" s="528"/>
      <c r="N338" s="528"/>
      <c r="O338" s="528"/>
      <c r="P338" s="528"/>
      <c r="Q338" s="528"/>
      <c r="R338" s="528"/>
      <c r="S338" s="528"/>
      <c r="T338" s="528"/>
      <c r="U338" s="528"/>
      <c r="V338" s="528"/>
      <c r="W338" s="528"/>
      <c r="X338" s="528"/>
      <c r="Y338" s="528"/>
      <c r="Z338" s="528"/>
      <c r="AA338" s="528"/>
    </row>
    <row r="339" spans="1:27" x14ac:dyDescent="0.2">
      <c r="A339" s="528"/>
      <c r="B339" s="528"/>
      <c r="C339" s="528"/>
      <c r="D339" s="528"/>
      <c r="E339" s="528"/>
      <c r="F339" s="528"/>
      <c r="G339" s="528"/>
      <c r="H339" s="528"/>
      <c r="I339" s="528"/>
      <c r="J339" s="528"/>
      <c r="K339" s="528"/>
      <c r="L339" s="528"/>
      <c r="M339" s="528"/>
      <c r="N339" s="528"/>
      <c r="O339" s="528"/>
      <c r="P339" s="528"/>
      <c r="Q339" s="528"/>
      <c r="R339" s="528"/>
      <c r="S339" s="528"/>
      <c r="T339" s="528"/>
      <c r="U339" s="528"/>
      <c r="V339" s="528"/>
      <c r="W339" s="528"/>
      <c r="X339" s="528"/>
      <c r="Y339" s="528"/>
      <c r="Z339" s="528"/>
      <c r="AA339" s="528"/>
    </row>
    <row r="340" spans="1:27" x14ac:dyDescent="0.2">
      <c r="A340" s="528"/>
      <c r="B340" s="528"/>
      <c r="C340" s="528"/>
      <c r="D340" s="528"/>
      <c r="E340" s="528"/>
      <c r="F340" s="528"/>
      <c r="G340" s="528"/>
      <c r="H340" s="528"/>
      <c r="I340" s="528"/>
      <c r="J340" s="528"/>
      <c r="K340" s="528"/>
      <c r="L340" s="528"/>
      <c r="M340" s="528"/>
      <c r="N340" s="528"/>
      <c r="O340" s="528"/>
      <c r="P340" s="528"/>
      <c r="Q340" s="528"/>
      <c r="R340" s="528"/>
      <c r="S340" s="528"/>
      <c r="T340" s="528"/>
      <c r="U340" s="528"/>
      <c r="V340" s="528"/>
      <c r="W340" s="528"/>
      <c r="X340" s="528"/>
      <c r="Y340" s="528"/>
      <c r="Z340" s="528"/>
      <c r="AA340" s="528"/>
    </row>
    <row r="341" spans="1:27" x14ac:dyDescent="0.2">
      <c r="A341" s="528"/>
      <c r="B341" s="528"/>
      <c r="C341" s="528"/>
      <c r="D341" s="528"/>
      <c r="E341" s="528"/>
      <c r="F341" s="528"/>
      <c r="G341" s="528"/>
      <c r="H341" s="528"/>
      <c r="I341" s="528"/>
      <c r="J341" s="528"/>
      <c r="K341" s="528"/>
      <c r="L341" s="528"/>
      <c r="M341" s="528"/>
      <c r="N341" s="528"/>
      <c r="O341" s="528"/>
      <c r="P341" s="528"/>
      <c r="Q341" s="528"/>
      <c r="R341" s="528"/>
      <c r="S341" s="528"/>
      <c r="T341" s="528"/>
      <c r="U341" s="528"/>
      <c r="V341" s="528"/>
      <c r="W341" s="528"/>
      <c r="X341" s="528"/>
      <c r="Y341" s="528"/>
      <c r="Z341" s="528"/>
      <c r="AA341" s="528"/>
    </row>
    <row r="342" spans="1:27" x14ac:dyDescent="0.2">
      <c r="A342" s="528"/>
      <c r="B342" s="528"/>
      <c r="C342" s="528"/>
      <c r="D342" s="528"/>
      <c r="E342" s="528"/>
      <c r="F342" s="528"/>
      <c r="G342" s="528"/>
      <c r="H342" s="528"/>
      <c r="I342" s="528"/>
      <c r="J342" s="528"/>
      <c r="K342" s="528"/>
      <c r="L342" s="528"/>
      <c r="M342" s="528"/>
      <c r="N342" s="528"/>
      <c r="O342" s="528"/>
      <c r="P342" s="528"/>
      <c r="Q342" s="528"/>
      <c r="R342" s="528"/>
      <c r="S342" s="528"/>
      <c r="T342" s="528"/>
      <c r="U342" s="528"/>
      <c r="V342" s="528"/>
      <c r="W342" s="528"/>
      <c r="X342" s="528"/>
      <c r="Y342" s="528"/>
      <c r="Z342" s="528"/>
      <c r="AA342" s="528"/>
    </row>
    <row r="343" spans="1:27" x14ac:dyDescent="0.2">
      <c r="A343" s="528"/>
      <c r="B343" s="528"/>
      <c r="C343" s="528"/>
      <c r="D343" s="528"/>
      <c r="E343" s="528"/>
      <c r="F343" s="528"/>
      <c r="G343" s="528"/>
      <c r="H343" s="528"/>
      <c r="I343" s="528"/>
      <c r="J343" s="528"/>
      <c r="K343" s="528"/>
      <c r="L343" s="528"/>
      <c r="M343" s="528"/>
      <c r="N343" s="528"/>
      <c r="O343" s="528"/>
      <c r="P343" s="528"/>
      <c r="Q343" s="528"/>
      <c r="R343" s="528"/>
      <c r="S343" s="528"/>
      <c r="T343" s="528"/>
      <c r="U343" s="528"/>
      <c r="V343" s="528"/>
      <c r="W343" s="528"/>
      <c r="X343" s="528"/>
      <c r="Y343" s="528"/>
      <c r="Z343" s="528"/>
      <c r="AA343" s="528"/>
    </row>
    <row r="344" spans="1:27" x14ac:dyDescent="0.2">
      <c r="A344" s="528"/>
      <c r="B344" s="528"/>
      <c r="C344" s="528"/>
      <c r="D344" s="528"/>
      <c r="E344" s="528"/>
      <c r="F344" s="528"/>
      <c r="G344" s="528"/>
      <c r="H344" s="528"/>
      <c r="I344" s="528"/>
      <c r="J344" s="528"/>
      <c r="K344" s="528"/>
      <c r="L344" s="528"/>
      <c r="M344" s="528"/>
      <c r="N344" s="528"/>
      <c r="O344" s="528"/>
      <c r="P344" s="528"/>
      <c r="Q344" s="528"/>
      <c r="R344" s="528"/>
      <c r="S344" s="528"/>
      <c r="T344" s="528"/>
      <c r="U344" s="528"/>
      <c r="V344" s="528"/>
      <c r="W344" s="528"/>
      <c r="X344" s="528"/>
      <c r="Y344" s="528"/>
      <c r="Z344" s="528"/>
      <c r="AA344" s="528"/>
    </row>
    <row r="345" spans="1:27" x14ac:dyDescent="0.2">
      <c r="A345" s="528"/>
      <c r="B345" s="528"/>
      <c r="C345" s="528"/>
      <c r="D345" s="528"/>
      <c r="E345" s="528"/>
      <c r="F345" s="528"/>
      <c r="G345" s="528"/>
      <c r="H345" s="528"/>
      <c r="I345" s="528"/>
      <c r="J345" s="528"/>
      <c r="K345" s="528"/>
      <c r="L345" s="528"/>
      <c r="M345" s="528"/>
      <c r="N345" s="528"/>
      <c r="O345" s="528"/>
      <c r="P345" s="528"/>
      <c r="Q345" s="528"/>
      <c r="R345" s="528"/>
      <c r="S345" s="528"/>
      <c r="T345" s="528"/>
      <c r="U345" s="528"/>
      <c r="V345" s="528"/>
      <c r="W345" s="528"/>
      <c r="X345" s="528"/>
      <c r="Y345" s="528"/>
      <c r="Z345" s="528"/>
      <c r="AA345" s="528"/>
    </row>
    <row r="346" spans="1:27" x14ac:dyDescent="0.2">
      <c r="A346" s="528"/>
      <c r="B346" s="528"/>
      <c r="C346" s="528"/>
      <c r="D346" s="528"/>
      <c r="E346" s="528"/>
      <c r="F346" s="528"/>
      <c r="G346" s="528"/>
      <c r="H346" s="528"/>
      <c r="I346" s="528"/>
      <c r="J346" s="528"/>
      <c r="K346" s="528"/>
      <c r="L346" s="528"/>
      <c r="M346" s="528"/>
      <c r="N346" s="528"/>
      <c r="O346" s="528"/>
      <c r="P346" s="528"/>
      <c r="Q346" s="528"/>
      <c r="R346" s="528"/>
      <c r="S346" s="528"/>
      <c r="T346" s="528"/>
      <c r="U346" s="528"/>
      <c r="V346" s="528"/>
      <c r="W346" s="528"/>
      <c r="X346" s="528"/>
      <c r="Y346" s="528"/>
      <c r="Z346" s="528"/>
      <c r="AA346" s="528"/>
    </row>
    <row r="347" spans="1:27" x14ac:dyDescent="0.2">
      <c r="A347" s="528"/>
      <c r="B347" s="528"/>
      <c r="C347" s="528"/>
      <c r="D347" s="528"/>
      <c r="E347" s="528"/>
      <c r="F347" s="528"/>
      <c r="G347" s="528"/>
      <c r="H347" s="528"/>
      <c r="I347" s="528"/>
      <c r="J347" s="528"/>
      <c r="K347" s="528"/>
      <c r="L347" s="528"/>
      <c r="M347" s="528"/>
      <c r="N347" s="528"/>
      <c r="O347" s="528"/>
      <c r="P347" s="528"/>
      <c r="Q347" s="528"/>
      <c r="R347" s="528"/>
      <c r="S347" s="528"/>
      <c r="T347" s="528"/>
      <c r="U347" s="528"/>
      <c r="V347" s="528"/>
      <c r="W347" s="528"/>
      <c r="X347" s="528"/>
      <c r="Y347" s="528"/>
      <c r="Z347" s="528"/>
      <c r="AA347" s="528"/>
    </row>
    <row r="348" spans="1:27" x14ac:dyDescent="0.2">
      <c r="A348" s="528"/>
      <c r="B348" s="528"/>
      <c r="C348" s="528"/>
      <c r="D348" s="528"/>
      <c r="E348" s="528"/>
      <c r="F348" s="528"/>
      <c r="G348" s="528"/>
      <c r="H348" s="528"/>
      <c r="I348" s="528"/>
      <c r="J348" s="528"/>
      <c r="K348" s="528"/>
      <c r="L348" s="528"/>
      <c r="M348" s="528"/>
      <c r="N348" s="528"/>
      <c r="O348" s="528"/>
      <c r="P348" s="528"/>
      <c r="Q348" s="528"/>
      <c r="R348" s="528"/>
      <c r="S348" s="528"/>
      <c r="T348" s="528"/>
      <c r="U348" s="528"/>
      <c r="V348" s="528"/>
      <c r="W348" s="528"/>
      <c r="X348" s="528"/>
      <c r="Y348" s="528"/>
      <c r="Z348" s="528"/>
      <c r="AA348" s="528"/>
    </row>
    <row r="349" spans="1:27" x14ac:dyDescent="0.2">
      <c r="A349" s="528"/>
      <c r="B349" s="528"/>
      <c r="C349" s="528"/>
      <c r="D349" s="528"/>
      <c r="E349" s="528"/>
      <c r="F349" s="528"/>
      <c r="G349" s="528"/>
      <c r="H349" s="528"/>
      <c r="I349" s="528"/>
      <c r="J349" s="528"/>
      <c r="K349" s="528"/>
      <c r="L349" s="528"/>
      <c r="M349" s="528"/>
      <c r="N349" s="528"/>
      <c r="O349" s="528"/>
      <c r="P349" s="528"/>
      <c r="Q349" s="528"/>
      <c r="R349" s="528"/>
      <c r="S349" s="528"/>
      <c r="T349" s="528"/>
      <c r="U349" s="528"/>
      <c r="V349" s="528"/>
      <c r="W349" s="528"/>
      <c r="X349" s="528"/>
      <c r="Y349" s="528"/>
      <c r="Z349" s="528"/>
      <c r="AA349" s="528"/>
    </row>
    <row r="350" spans="1:27" x14ac:dyDescent="0.2">
      <c r="A350" s="528"/>
      <c r="B350" s="528"/>
      <c r="C350" s="528"/>
      <c r="D350" s="528"/>
      <c r="E350" s="528"/>
      <c r="F350" s="528"/>
      <c r="G350" s="528"/>
      <c r="H350" s="528"/>
      <c r="I350" s="528"/>
      <c r="J350" s="528"/>
      <c r="K350" s="528"/>
      <c r="L350" s="528"/>
      <c r="M350" s="528"/>
      <c r="N350" s="528"/>
      <c r="O350" s="528"/>
      <c r="P350" s="528"/>
      <c r="Q350" s="528"/>
      <c r="R350" s="528"/>
      <c r="S350" s="528"/>
      <c r="T350" s="528"/>
      <c r="U350" s="528"/>
      <c r="V350" s="528"/>
      <c r="W350" s="528"/>
      <c r="X350" s="528"/>
      <c r="Y350" s="528"/>
      <c r="Z350" s="528"/>
      <c r="AA350" s="528"/>
    </row>
    <row r="351" spans="1:27" x14ac:dyDescent="0.2">
      <c r="A351" s="528"/>
      <c r="B351" s="528"/>
      <c r="C351" s="528"/>
      <c r="D351" s="528"/>
      <c r="E351" s="528"/>
      <c r="F351" s="528"/>
      <c r="G351" s="528"/>
      <c r="H351" s="528"/>
      <c r="I351" s="528"/>
      <c r="J351" s="528"/>
      <c r="K351" s="528"/>
      <c r="L351" s="528"/>
      <c r="M351" s="528"/>
      <c r="N351" s="528"/>
      <c r="O351" s="528"/>
      <c r="P351" s="528"/>
      <c r="Q351" s="528"/>
      <c r="R351" s="528"/>
      <c r="S351" s="528"/>
      <c r="T351" s="528"/>
      <c r="U351" s="528"/>
      <c r="V351" s="528"/>
      <c r="W351" s="528"/>
      <c r="X351" s="528"/>
      <c r="Y351" s="528"/>
      <c r="Z351" s="528"/>
      <c r="AA351" s="528"/>
    </row>
    <row r="352" spans="1:27" x14ac:dyDescent="0.2">
      <c r="A352" s="528"/>
      <c r="B352" s="528"/>
      <c r="C352" s="528"/>
      <c r="D352" s="528"/>
      <c r="E352" s="528"/>
      <c r="F352" s="528"/>
      <c r="G352" s="528"/>
      <c r="H352" s="528"/>
      <c r="I352" s="528"/>
      <c r="J352" s="528"/>
      <c r="K352" s="528"/>
      <c r="L352" s="528"/>
      <c r="M352" s="528"/>
      <c r="N352" s="528"/>
      <c r="O352" s="528"/>
      <c r="P352" s="528"/>
      <c r="Q352" s="528"/>
      <c r="R352" s="528"/>
      <c r="S352" s="528"/>
      <c r="T352" s="528"/>
      <c r="U352" s="528"/>
      <c r="V352" s="528"/>
      <c r="W352" s="528"/>
      <c r="X352" s="528"/>
      <c r="Y352" s="528"/>
      <c r="Z352" s="528"/>
      <c r="AA352" s="528"/>
    </row>
    <row r="353" spans="1:27" x14ac:dyDescent="0.2">
      <c r="A353" s="528"/>
      <c r="B353" s="528"/>
      <c r="C353" s="528"/>
      <c r="D353" s="528"/>
      <c r="E353" s="528"/>
      <c r="F353" s="528"/>
      <c r="G353" s="528"/>
      <c r="H353" s="528"/>
      <c r="I353" s="528"/>
      <c r="J353" s="528"/>
      <c r="K353" s="528"/>
      <c r="L353" s="528"/>
      <c r="M353" s="528"/>
      <c r="N353" s="528"/>
      <c r="O353" s="528"/>
      <c r="P353" s="528"/>
      <c r="Q353" s="528"/>
      <c r="R353" s="528"/>
      <c r="S353" s="528"/>
      <c r="T353" s="528"/>
      <c r="U353" s="528"/>
      <c r="V353" s="528"/>
      <c r="W353" s="528"/>
      <c r="X353" s="528"/>
      <c r="Y353" s="528"/>
      <c r="Z353" s="528"/>
      <c r="AA353" s="528"/>
    </row>
    <row r="354" spans="1:27" x14ac:dyDescent="0.2">
      <c r="A354" s="528"/>
      <c r="B354" s="528"/>
      <c r="C354" s="528"/>
      <c r="D354" s="528"/>
      <c r="E354" s="528"/>
      <c r="F354" s="528"/>
      <c r="G354" s="528"/>
      <c r="H354" s="528"/>
      <c r="I354" s="528"/>
      <c r="J354" s="528"/>
      <c r="K354" s="528"/>
      <c r="L354" s="528"/>
      <c r="M354" s="528"/>
      <c r="N354" s="528"/>
      <c r="O354" s="528"/>
      <c r="P354" s="528"/>
      <c r="Q354" s="528"/>
      <c r="R354" s="528"/>
      <c r="S354" s="528"/>
      <c r="T354" s="528"/>
      <c r="U354" s="528"/>
      <c r="V354" s="528"/>
      <c r="W354" s="528"/>
      <c r="X354" s="528"/>
      <c r="Y354" s="528"/>
      <c r="Z354" s="528"/>
      <c r="AA354" s="528"/>
    </row>
  </sheetData>
  <mergeCells count="212">
    <mergeCell ref="Q18:Q19"/>
    <mergeCell ref="Q20:Q21"/>
    <mergeCell ref="F53:F54"/>
    <mergeCell ref="B55:B56"/>
    <mergeCell ref="C55:C56"/>
    <mergeCell ref="D55:D56"/>
    <mergeCell ref="F55:F56"/>
    <mergeCell ref="B57:B58"/>
    <mergeCell ref="C57:C58"/>
    <mergeCell ref="D57:D58"/>
    <mergeCell ref="F57:F58"/>
    <mergeCell ref="L26:M26"/>
    <mergeCell ref="BK42:BK50"/>
    <mergeCell ref="C39:F41"/>
    <mergeCell ref="C42:C43"/>
    <mergeCell ref="E42:E43"/>
    <mergeCell ref="F42:F43"/>
    <mergeCell ref="B44:B45"/>
    <mergeCell ref="C44:C45"/>
    <mergeCell ref="D44:D45"/>
    <mergeCell ref="F44:F45"/>
    <mergeCell ref="B46:B47"/>
    <mergeCell ref="C46:C47"/>
    <mergeCell ref="D46:D47"/>
    <mergeCell ref="F46:F47"/>
    <mergeCell ref="C50:F52"/>
    <mergeCell ref="G39:I41"/>
    <mergeCell ref="AQ41:AQ48"/>
    <mergeCell ref="AR41:AR48"/>
    <mergeCell ref="BA42:BA50"/>
    <mergeCell ref="W48:W57"/>
    <mergeCell ref="AG41:AG48"/>
    <mergeCell ref="AH41:AH48"/>
    <mergeCell ref="BK8:BK14"/>
    <mergeCell ref="BL9:BL11"/>
    <mergeCell ref="BL12:BL13"/>
    <mergeCell ref="BK15:BK41"/>
    <mergeCell ref="BL15:BL17"/>
    <mergeCell ref="BL18:BL19"/>
    <mergeCell ref="BL20:BL23"/>
    <mergeCell ref="BL24:BL25"/>
    <mergeCell ref="BL26:BL27"/>
    <mergeCell ref="BL28:BL29"/>
    <mergeCell ref="BL31:BL32"/>
    <mergeCell ref="BL34:BL35"/>
    <mergeCell ref="BL36:BL37"/>
    <mergeCell ref="BL38:BL40"/>
    <mergeCell ref="BA8:BA14"/>
    <mergeCell ref="BB9:BB11"/>
    <mergeCell ref="BB12:BB13"/>
    <mergeCell ref="BA15:BA41"/>
    <mergeCell ref="BB15:BB17"/>
    <mergeCell ref="BB18:BB19"/>
    <mergeCell ref="BB20:BB23"/>
    <mergeCell ref="BB24:BB25"/>
    <mergeCell ref="BB26:BB27"/>
    <mergeCell ref="BB28:BB29"/>
    <mergeCell ref="BB31:BB32"/>
    <mergeCell ref="BB34:BB35"/>
    <mergeCell ref="BB36:BB37"/>
    <mergeCell ref="BB38:BB40"/>
    <mergeCell ref="AQ8:AQ14"/>
    <mergeCell ref="AR9:AR11"/>
    <mergeCell ref="AR12:AR13"/>
    <mergeCell ref="AQ15:AQ40"/>
    <mergeCell ref="AR15:AR17"/>
    <mergeCell ref="AR18:AR20"/>
    <mergeCell ref="AR21:AR24"/>
    <mergeCell ref="AR25:AR26"/>
    <mergeCell ref="AR27:AR28"/>
    <mergeCell ref="AR29:AR30"/>
    <mergeCell ref="AR32:AR33"/>
    <mergeCell ref="AR35:AR36"/>
    <mergeCell ref="AR37:AR38"/>
    <mergeCell ref="AG8:AG14"/>
    <mergeCell ref="AH9:AH11"/>
    <mergeCell ref="AH12:AH13"/>
    <mergeCell ref="AG15:AG40"/>
    <mergeCell ref="AH15:AH17"/>
    <mergeCell ref="AH18:AH20"/>
    <mergeCell ref="AH21:AH24"/>
    <mergeCell ref="AH25:AH26"/>
    <mergeCell ref="AH27:AH28"/>
    <mergeCell ref="AH29:AH30"/>
    <mergeCell ref="AH32:AH33"/>
    <mergeCell ref="AH35:AH36"/>
    <mergeCell ref="AH37:AH38"/>
    <mergeCell ref="X9:X11"/>
    <mergeCell ref="X12:X13"/>
    <mergeCell ref="W15:W47"/>
    <mergeCell ref="X15:X19"/>
    <mergeCell ref="X20:X22"/>
    <mergeCell ref="X23:X26"/>
    <mergeCell ref="X27:X29"/>
    <mergeCell ref="X30:X31"/>
    <mergeCell ref="X32:X33"/>
    <mergeCell ref="X34:X35"/>
    <mergeCell ref="X36:X37"/>
    <mergeCell ref="X39:X40"/>
    <mergeCell ref="X41:X42"/>
    <mergeCell ref="X43:X46"/>
    <mergeCell ref="A54:A55"/>
    <mergeCell ref="A56:A57"/>
    <mergeCell ref="C53:C54"/>
    <mergeCell ref="E53:E54"/>
    <mergeCell ref="A43:A44"/>
    <mergeCell ref="A45:A46"/>
    <mergeCell ref="L44:L45"/>
    <mergeCell ref="K60:K69"/>
    <mergeCell ref="K27:K51"/>
    <mergeCell ref="K52:K58"/>
    <mergeCell ref="L27:L29"/>
    <mergeCell ref="L30:L31"/>
    <mergeCell ref="L32:L36"/>
    <mergeCell ref="L37:L39"/>
    <mergeCell ref="L41:L42"/>
    <mergeCell ref="L47:L48"/>
    <mergeCell ref="X158:X159"/>
    <mergeCell ref="X160:X161"/>
    <mergeCell ref="X162:X165"/>
    <mergeCell ref="W167:W176"/>
    <mergeCell ref="X149:X150"/>
    <mergeCell ref="X155:X156"/>
    <mergeCell ref="W127:W133"/>
    <mergeCell ref="X128:X130"/>
    <mergeCell ref="X131:X132"/>
    <mergeCell ref="W134:W166"/>
    <mergeCell ref="X134:X138"/>
    <mergeCell ref="X139:X141"/>
    <mergeCell ref="X142:X145"/>
    <mergeCell ref="X146:X148"/>
    <mergeCell ref="X151:X152"/>
    <mergeCell ref="X153:X154"/>
    <mergeCell ref="B104:B111"/>
    <mergeCell ref="L104:L111"/>
    <mergeCell ref="X104:AA106"/>
    <mergeCell ref="M105:M108"/>
    <mergeCell ref="X108:X109"/>
    <mergeCell ref="Z108:Z109"/>
    <mergeCell ref="AA108:AA109"/>
    <mergeCell ref="M109:M110"/>
    <mergeCell ref="W110:W111"/>
    <mergeCell ref="X110:X111"/>
    <mergeCell ref="Y110:Y111"/>
    <mergeCell ref="AA110:AA111"/>
    <mergeCell ref="AA121:AA122"/>
    <mergeCell ref="M122:M123"/>
    <mergeCell ref="W123:W124"/>
    <mergeCell ref="X123:X124"/>
    <mergeCell ref="Y123:Y124"/>
    <mergeCell ref="J4:K4"/>
    <mergeCell ref="C100:J100"/>
    <mergeCell ref="AA123:AA124"/>
    <mergeCell ref="W112:W113"/>
    <mergeCell ref="X112:X113"/>
    <mergeCell ref="Y112:Y113"/>
    <mergeCell ref="AA112:AA113"/>
    <mergeCell ref="X116:AA118"/>
    <mergeCell ref="X119:X120"/>
    <mergeCell ref="Z119:Z120"/>
    <mergeCell ref="AA119:AA120"/>
    <mergeCell ref="L112:L137"/>
    <mergeCell ref="M112:M114"/>
    <mergeCell ref="M115:M117"/>
    <mergeCell ref="W121:W122"/>
    <mergeCell ref="X121:X122"/>
    <mergeCell ref="Y121:Y122"/>
    <mergeCell ref="K20:K26"/>
    <mergeCell ref="W8:W14"/>
    <mergeCell ref="B145:B154"/>
    <mergeCell ref="B163:B169"/>
    <mergeCell ref="L163:L169"/>
    <mergeCell ref="M164:M166"/>
    <mergeCell ref="M167:M168"/>
    <mergeCell ref="B112:B144"/>
    <mergeCell ref="M124:M125"/>
    <mergeCell ref="M126:M127"/>
    <mergeCell ref="M129:M130"/>
    <mergeCell ref="M132:M133"/>
    <mergeCell ref="M134:M135"/>
    <mergeCell ref="M118:M121"/>
    <mergeCell ref="L138:L145"/>
    <mergeCell ref="M138:M145"/>
    <mergeCell ref="B170:B196"/>
    <mergeCell ref="L170:L202"/>
    <mergeCell ref="M170:M174"/>
    <mergeCell ref="M175:M177"/>
    <mergeCell ref="M178:M181"/>
    <mergeCell ref="M182:M184"/>
    <mergeCell ref="M185:M186"/>
    <mergeCell ref="M187:M188"/>
    <mergeCell ref="M189:M190"/>
    <mergeCell ref="M191:M192"/>
    <mergeCell ref="M194:M195"/>
    <mergeCell ref="M196:M197"/>
    <mergeCell ref="B197:B205"/>
    <mergeCell ref="M198:M201"/>
    <mergeCell ref="L203:L212"/>
    <mergeCell ref="X277:Y277"/>
    <mergeCell ref="Z277:AA277"/>
    <mergeCell ref="Z281:AA281"/>
    <mergeCell ref="Z286:AA286"/>
    <mergeCell ref="Z287:AA287"/>
    <mergeCell ref="AB287:AC287"/>
    <mergeCell ref="AG287:AH287"/>
    <mergeCell ref="B221:D221"/>
    <mergeCell ref="Q224:Q230"/>
    <mergeCell ref="Q231:Q237"/>
    <mergeCell ref="Q238:Q243"/>
    <mergeCell ref="Q244:Q252"/>
    <mergeCell ref="L254:Q254"/>
    <mergeCell ref="Z276:AA276"/>
  </mergeCells>
  <pageMargins left="0.7" right="0.7" top="0.75" bottom="0.75" header="0.51180555555555496" footer="0.51180555555555496"/>
  <pageSetup firstPageNumber="0" orientation="portrait" horizontalDpi="300" verticalDpi="30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3" tint="0.59999389629810485"/>
  </sheetPr>
  <dimension ref="A2:AMK62"/>
  <sheetViews>
    <sheetView zoomScale="80" zoomScaleNormal="80" workbookViewId="0">
      <selection activeCell="Q79" sqref="Q79"/>
    </sheetView>
  </sheetViews>
  <sheetFormatPr baseColWidth="10" defaultColWidth="9.140625" defaultRowHeight="12.75" x14ac:dyDescent="0.2"/>
  <cols>
    <col min="1" max="1" width="39.42578125" style="355"/>
    <col min="2" max="2" width="15.42578125" style="355"/>
    <col min="3" max="13" width="14.140625" style="355"/>
    <col min="14" max="14" width="15.42578125" style="355"/>
    <col min="15" max="15" width="14.140625" style="355"/>
    <col min="16" max="16" width="17.42578125" style="355"/>
    <col min="17" max="1025" width="11.5703125" style="355"/>
  </cols>
  <sheetData>
    <row r="2" spans="1:14" ht="15.75" x14ac:dyDescent="0.2">
      <c r="A2" s="1410" t="s">
        <v>305</v>
      </c>
      <c r="B2" s="1410"/>
      <c r="C2" s="1410"/>
      <c r="D2" s="1410"/>
    </row>
    <row r="4" spans="1:14" ht="15" x14ac:dyDescent="0.2">
      <c r="A4" s="509" t="s">
        <v>59</v>
      </c>
      <c r="B4" s="510" t="s">
        <v>306</v>
      </c>
      <c r="C4" s="510" t="s">
        <v>307</v>
      </c>
      <c r="D4" s="510" t="s">
        <v>308</v>
      </c>
      <c r="E4" s="510" t="s">
        <v>309</v>
      </c>
      <c r="F4" s="510" t="s">
        <v>310</v>
      </c>
      <c r="G4" s="510" t="s">
        <v>311</v>
      </c>
      <c r="H4" s="510" t="s">
        <v>188</v>
      </c>
      <c r="I4" s="510" t="s">
        <v>312</v>
      </c>
      <c r="J4" s="510" t="s">
        <v>313</v>
      </c>
      <c r="K4" s="510" t="s">
        <v>314</v>
      </c>
      <c r="L4" s="510" t="s">
        <v>315</v>
      </c>
      <c r="M4" s="510" t="s">
        <v>316</v>
      </c>
    </row>
    <row r="5" spans="1:14" ht="15" x14ac:dyDescent="0.25">
      <c r="A5" s="511" t="s">
        <v>317</v>
      </c>
      <c r="B5" s="512"/>
      <c r="C5" s="512"/>
      <c r="D5" s="512">
        <f>+'B) Reajuste Tarifas y Ocupación'!$I$37</f>
        <v>130</v>
      </c>
      <c r="E5" s="512">
        <f>+'B) Reajuste Tarifas y Ocupación'!$I$37</f>
        <v>130</v>
      </c>
      <c r="F5" s="512">
        <f>+'B) Reajuste Tarifas y Ocupación'!$I$37</f>
        <v>130</v>
      </c>
      <c r="G5" s="512">
        <f>+'B) Reajuste Tarifas y Ocupación'!$I$37</f>
        <v>130</v>
      </c>
      <c r="H5" s="512">
        <f>+'B) Reajuste Tarifas y Ocupación'!$I$37</f>
        <v>130</v>
      </c>
      <c r="I5" s="512">
        <f>+'B) Reajuste Tarifas y Ocupación'!$I$37</f>
        <v>130</v>
      </c>
      <c r="J5" s="512">
        <f>+'B) Reajuste Tarifas y Ocupación'!$I$37</f>
        <v>130</v>
      </c>
      <c r="K5" s="512">
        <f>+'B) Reajuste Tarifas y Ocupación'!$I$37</f>
        <v>130</v>
      </c>
      <c r="L5" s="512">
        <f>+'B) Reajuste Tarifas y Ocupación'!$I$37</f>
        <v>130</v>
      </c>
      <c r="M5" s="512">
        <f>+'B) Reajuste Tarifas y Ocupación'!$I$37</f>
        <v>130</v>
      </c>
    </row>
    <row r="6" spans="1:14" ht="15" x14ac:dyDescent="0.25">
      <c r="A6" s="511" t="s">
        <v>318</v>
      </c>
      <c r="B6" s="512">
        <f>+COUNTA('F) Remuneraciones'!$C$11:$C$33)</f>
        <v>22</v>
      </c>
      <c r="C6" s="512">
        <f>+COUNTA('F) Remuneraciones'!$C$11:$C$33)</f>
        <v>22</v>
      </c>
      <c r="D6" s="512">
        <f>+COUNTA('F) Remuneraciones'!$C$11:$C$33)</f>
        <v>22</v>
      </c>
      <c r="E6" s="512">
        <f>+COUNTA('F) Remuneraciones'!$C$11:$C$33)</f>
        <v>22</v>
      </c>
      <c r="F6" s="512">
        <f>+COUNTA('F) Remuneraciones'!$C$11:$C$33)</f>
        <v>22</v>
      </c>
      <c r="G6" s="512">
        <f>+COUNTA('F) Remuneraciones'!$C$11:$C$33)</f>
        <v>22</v>
      </c>
      <c r="H6" s="512">
        <f>+COUNTA('F) Remuneraciones'!$C$11:$C$33)</f>
        <v>22</v>
      </c>
      <c r="I6" s="512">
        <f>+COUNTA('F) Remuneraciones'!$C$11:$C$33)</f>
        <v>22</v>
      </c>
      <c r="J6" s="512">
        <f>+COUNTA('F) Remuneraciones'!$C$11:$C$33)</f>
        <v>22</v>
      </c>
      <c r="K6" s="512">
        <f>+COUNTA('F) Remuneraciones'!$C$11:$C$33)</f>
        <v>22</v>
      </c>
      <c r="L6" s="512">
        <f>+COUNTA('F) Remuneraciones'!$C$11:$C$33)</f>
        <v>22</v>
      </c>
      <c r="M6" s="512">
        <f>+COUNTA('F) Remuneraciones'!$C$11:$C$33)</f>
        <v>22</v>
      </c>
    </row>
    <row r="7" spans="1:14" ht="15" x14ac:dyDescent="0.25">
      <c r="A7" s="511"/>
      <c r="B7" s="513"/>
      <c r="C7" s="513"/>
      <c r="D7" s="513"/>
      <c r="E7" s="513"/>
      <c r="F7" s="513"/>
      <c r="G7" s="513"/>
      <c r="H7" s="513"/>
      <c r="I7" s="513"/>
      <c r="J7" s="513"/>
      <c r="K7" s="513"/>
      <c r="L7" s="513"/>
      <c r="M7" s="513"/>
    </row>
    <row r="8" spans="1:14" ht="30" x14ac:dyDescent="0.2">
      <c r="A8" s="514" t="s">
        <v>319</v>
      </c>
      <c r="B8" s="510" t="s">
        <v>306</v>
      </c>
      <c r="C8" s="510" t="s">
        <v>307</v>
      </c>
      <c r="D8" s="510" t="s">
        <v>308</v>
      </c>
      <c r="E8" s="510" t="s">
        <v>309</v>
      </c>
      <c r="F8" s="510" t="s">
        <v>310</v>
      </c>
      <c r="G8" s="510" t="s">
        <v>311</v>
      </c>
      <c r="H8" s="510" t="s">
        <v>188</v>
      </c>
      <c r="I8" s="510" t="s">
        <v>312</v>
      </c>
      <c r="J8" s="510" t="s">
        <v>313</v>
      </c>
      <c r="K8" s="510" t="s">
        <v>314</v>
      </c>
      <c r="L8" s="510" t="s">
        <v>315</v>
      </c>
      <c r="M8" s="510" t="s">
        <v>316</v>
      </c>
      <c r="N8" s="510" t="s">
        <v>320</v>
      </c>
    </row>
    <row r="9" spans="1:14" ht="15" x14ac:dyDescent="0.25">
      <c r="A9" s="515" t="s">
        <v>321</v>
      </c>
      <c r="B9" s="516">
        <f>+'A) Resumen Ingresos y Egresos'!P32</f>
        <v>1641600</v>
      </c>
      <c r="C9" s="516">
        <f>+'A) Resumen Ingresos y Egresos'!N32*0.7</f>
        <v>12966590</v>
      </c>
      <c r="D9" s="516">
        <f>+'A) Resumen Ingresos y Egresos'!N32*0.3+'A) Resumen Ingresos y Egresos'!O32*0.1</f>
        <v>24080810</v>
      </c>
      <c r="E9" s="516">
        <f>+'A) Resumen Ingresos y Egresos'!$O$32*0.1</f>
        <v>18523700</v>
      </c>
      <c r="F9" s="516">
        <f>+'A) Resumen Ingresos y Egresos'!$O$32*0.1</f>
        <v>18523700</v>
      </c>
      <c r="G9" s="516">
        <f>+'A) Resumen Ingresos y Egresos'!$O$32*0.1</f>
        <v>18523700</v>
      </c>
      <c r="H9" s="516">
        <f>+'A) Resumen Ingresos y Egresos'!$O$32*0.1</f>
        <v>18523700</v>
      </c>
      <c r="I9" s="516">
        <f>+'A) Resumen Ingresos y Egresos'!$O$32*0.1</f>
        <v>18523700</v>
      </c>
      <c r="J9" s="516">
        <f>+'A) Resumen Ingresos y Egresos'!$O$32*0.1</f>
        <v>18523700</v>
      </c>
      <c r="K9" s="516">
        <f>+'A) Resumen Ingresos y Egresos'!$O$32*0.1</f>
        <v>18523700</v>
      </c>
      <c r="L9" s="516">
        <f>+'A) Resumen Ingresos y Egresos'!$O$32*0.1</f>
        <v>18523700</v>
      </c>
      <c r="M9" s="516">
        <f>+'A) Resumen Ingresos y Egresos'!$O$32*0.1</f>
        <v>18523700</v>
      </c>
      <c r="N9" s="517">
        <f>SUM(B9:M9)</f>
        <v>205402300</v>
      </c>
    </row>
    <row r="10" spans="1:14" ht="15" x14ac:dyDescent="0.25">
      <c r="A10" s="515" t="s">
        <v>322</v>
      </c>
      <c r="B10" s="516">
        <f>SUM('F) Remuneraciones'!$H$11:$H$33)/12</f>
        <v>11582851.241666667</v>
      </c>
      <c r="C10" s="516">
        <f>SUM('F) Remuneraciones'!$H$11:$H$33)/12</f>
        <v>11582851.241666667</v>
      </c>
      <c r="D10" s="516">
        <f>SUM('F) Remuneraciones'!$H$11:$H$33)/12</f>
        <v>11582851.241666667</v>
      </c>
      <c r="E10" s="516">
        <f>SUM('F) Remuneraciones'!$H$11:$H$33)/12</f>
        <v>11582851.241666667</v>
      </c>
      <c r="F10" s="516">
        <f>SUM('F) Remuneraciones'!$H$11:$H$33)/12</f>
        <v>11582851.241666667</v>
      </c>
      <c r="G10" s="516">
        <f>SUM('F) Remuneraciones'!$H$11:$H$33)/12</f>
        <v>11582851.241666667</v>
      </c>
      <c r="H10" s="516">
        <f>SUM('F) Remuneraciones'!$H$11:$H$33)/12</f>
        <v>11582851.241666667</v>
      </c>
      <c r="I10" s="516">
        <f>SUM('F) Remuneraciones'!$H$11:$H$33)/12</f>
        <v>11582851.241666667</v>
      </c>
      <c r="J10" s="516">
        <f>SUM('F) Remuneraciones'!$H$11:$H$33)/12</f>
        <v>11582851.241666667</v>
      </c>
      <c r="K10" s="516">
        <f>SUM('F) Remuneraciones'!$H$11:$H$33)/12</f>
        <v>11582851.241666667</v>
      </c>
      <c r="L10" s="516">
        <f>SUM('F) Remuneraciones'!$H$11:$H$33)/12</f>
        <v>11582851.241666667</v>
      </c>
      <c r="M10" s="516">
        <f>SUM('F) Remuneraciones'!$H$11:$H$33)/12</f>
        <v>11582851.241666667</v>
      </c>
      <c r="N10" s="517">
        <f>SUM(B10:M10)</f>
        <v>138994214.90000004</v>
      </c>
    </row>
    <row r="11" spans="1:14" ht="15" x14ac:dyDescent="0.25">
      <c r="A11" s="515" t="s">
        <v>323</v>
      </c>
      <c r="B11" s="516">
        <f>SUM('F) Remuneraciones'!I11:I33)*0.5</f>
        <v>2332969</v>
      </c>
      <c r="C11" s="516">
        <v>0</v>
      </c>
      <c r="D11" s="516">
        <v>0</v>
      </c>
      <c r="E11" s="516">
        <v>0</v>
      </c>
      <c r="F11" s="516">
        <v>0</v>
      </c>
      <c r="G11" s="516">
        <v>0</v>
      </c>
      <c r="H11" s="516">
        <v>0</v>
      </c>
      <c r="I11" s="516">
        <v>0</v>
      </c>
      <c r="J11" s="516">
        <f>SUM('F) Remuneraciones'!J11:J33)*0.5</f>
        <v>1334580</v>
      </c>
      <c r="K11" s="516">
        <v>0</v>
      </c>
      <c r="L11" s="516">
        <v>0</v>
      </c>
      <c r="M11" s="516">
        <f>+B11+J11</f>
        <v>3667549</v>
      </c>
      <c r="N11" s="517">
        <f>SUM(B11:M11)</f>
        <v>7335098</v>
      </c>
    </row>
    <row r="12" spans="1:14" ht="15" x14ac:dyDescent="0.25">
      <c r="A12" s="515" t="s">
        <v>324</v>
      </c>
      <c r="B12" s="516">
        <f>(+'C) Costos Directos'!$H$75-'C) Costos Directos'!$D$14)*0.05</f>
        <v>3655677.4104338456</v>
      </c>
      <c r="C12" s="516">
        <f>(+'C) Costos Directos'!$H$75-'C) Costos Directos'!$D$14)*0.05</f>
        <v>3655677.4104338456</v>
      </c>
      <c r="D12" s="516">
        <f>(+'C) Costos Directos'!$H$75-'C) Costos Directos'!$D$14)*0.09</f>
        <v>6580219.338780921</v>
      </c>
      <c r="E12" s="516">
        <f>(+'C) Costos Directos'!$H$75-'C) Costos Directos'!$D$14)*0.09</f>
        <v>6580219.338780921</v>
      </c>
      <c r="F12" s="516">
        <f>(+'C) Costos Directos'!$H$75-'C) Costos Directos'!$D$14)*0.09</f>
        <v>6580219.338780921</v>
      </c>
      <c r="G12" s="516">
        <f>(+'C) Costos Directos'!$H$75-'C) Costos Directos'!$D$14)*0.09</f>
        <v>6580219.338780921</v>
      </c>
      <c r="H12" s="516">
        <f>(+'C) Costos Directos'!$H$75-'C) Costos Directos'!$D$14)*0.09</f>
        <v>6580219.338780921</v>
      </c>
      <c r="I12" s="516">
        <f>(+'C) Costos Directos'!$H$75-'C) Costos Directos'!$D$14)*0.09</f>
        <v>6580219.338780921</v>
      </c>
      <c r="J12" s="516">
        <f>(+'C) Costos Directos'!$H$75-'C) Costos Directos'!$D$14)*0.09</f>
        <v>6580219.338780921</v>
      </c>
      <c r="K12" s="516">
        <f>(+'C) Costos Directos'!$H$75-'C) Costos Directos'!$D$14)*0.09</f>
        <v>6580219.338780921</v>
      </c>
      <c r="L12" s="516">
        <f>(+'C) Costos Directos'!$H$75-'C) Costos Directos'!$D$14)*0.09</f>
        <v>6580219.338780921</v>
      </c>
      <c r="M12" s="516">
        <f>(+'C) Costos Directos'!$H$75-'C) Costos Directos'!$D$14)*0.09</f>
        <v>6580219.338780921</v>
      </c>
      <c r="N12" s="517">
        <f>SUM(B12:M12)</f>
        <v>73113548.208676919</v>
      </c>
    </row>
    <row r="13" spans="1:14" ht="15" x14ac:dyDescent="0.25">
      <c r="A13" s="518" t="s">
        <v>325</v>
      </c>
      <c r="B13" s="519">
        <f t="shared" ref="B13:H13" si="0">+B9-B10-B11-B12</f>
        <v>-15929897.652100513</v>
      </c>
      <c r="C13" s="519">
        <f t="shared" si="0"/>
        <v>-2271938.6521005128</v>
      </c>
      <c r="D13" s="519">
        <f t="shared" si="0"/>
        <v>5917739.4195524119</v>
      </c>
      <c r="E13" s="519">
        <f t="shared" si="0"/>
        <v>360629.41955241188</v>
      </c>
      <c r="F13" s="519">
        <f t="shared" si="0"/>
        <v>360629.41955241188</v>
      </c>
      <c r="G13" s="519">
        <f t="shared" si="0"/>
        <v>360629.41955241188</v>
      </c>
      <c r="H13" s="519">
        <f t="shared" si="0"/>
        <v>360629.41955241188</v>
      </c>
      <c r="I13" s="519">
        <v>0</v>
      </c>
      <c r="J13" s="519">
        <f>+J9-J10-J11-J12</f>
        <v>-973950.58044758812</v>
      </c>
      <c r="K13" s="519">
        <f>+K9-K10-K11-K12</f>
        <v>360629.41955241188</v>
      </c>
      <c r="L13" s="519">
        <f>+L9-L10-L11-L12</f>
        <v>360629.41955241188</v>
      </c>
      <c r="M13" s="519">
        <f>+M9-M10-M11-M12</f>
        <v>-3306919.5804475881</v>
      </c>
      <c r="N13" s="519">
        <f>+N9-N10-N11-N12</f>
        <v>-14040561.108676955</v>
      </c>
    </row>
    <row r="14" spans="1:14" ht="15" x14ac:dyDescent="0.25">
      <c r="A14" s="520"/>
      <c r="B14" s="521"/>
      <c r="C14" s="521"/>
      <c r="D14" s="521"/>
      <c r="E14" s="521"/>
      <c r="F14" s="521"/>
      <c r="G14" s="521"/>
      <c r="H14" s="521"/>
      <c r="I14" s="521"/>
      <c r="J14" s="521"/>
      <c r="K14" s="521"/>
      <c r="L14" s="521"/>
      <c r="M14" s="521"/>
      <c r="N14" s="521"/>
    </row>
    <row r="15" spans="1:14" ht="15" x14ac:dyDescent="0.25">
      <c r="A15" s="520"/>
      <c r="B15" s="521"/>
      <c r="C15" s="521"/>
      <c r="D15" s="521"/>
      <c r="E15" s="521"/>
      <c r="F15" s="521"/>
      <c r="G15" s="521"/>
      <c r="H15" s="521"/>
      <c r="I15" s="521"/>
      <c r="J15" s="521"/>
      <c r="K15" s="521"/>
      <c r="L15" s="521"/>
      <c r="M15" s="521"/>
      <c r="N15" s="521"/>
    </row>
    <row r="16" spans="1:14" ht="15" x14ac:dyDescent="0.25">
      <c r="A16" s="509" t="s">
        <v>59</v>
      </c>
      <c r="B16" s="510" t="s">
        <v>306</v>
      </c>
      <c r="C16" s="510" t="s">
        <v>307</v>
      </c>
      <c r="D16" s="510" t="s">
        <v>308</v>
      </c>
      <c r="E16" s="510" t="s">
        <v>309</v>
      </c>
      <c r="F16" s="510" t="s">
        <v>310</v>
      </c>
      <c r="G16" s="510" t="s">
        <v>311</v>
      </c>
      <c r="H16" s="510" t="s">
        <v>188</v>
      </c>
      <c r="I16" s="510" t="s">
        <v>312</v>
      </c>
      <c r="J16" s="510" t="s">
        <v>313</v>
      </c>
      <c r="K16" s="510" t="s">
        <v>314</v>
      </c>
      <c r="L16" s="510" t="s">
        <v>315</v>
      </c>
      <c r="M16" s="510" t="s">
        <v>316</v>
      </c>
      <c r="N16" s="521"/>
    </row>
    <row r="17" spans="1:14" ht="15" x14ac:dyDescent="0.25">
      <c r="A17" s="511" t="s">
        <v>317</v>
      </c>
      <c r="B17" s="512"/>
      <c r="C17" s="512"/>
      <c r="D17" s="512">
        <f>+'B) Reajuste Tarifas y Ocupación'!$I$39</f>
        <v>120</v>
      </c>
      <c r="E17" s="512">
        <f>+'B) Reajuste Tarifas y Ocupación'!$I$39</f>
        <v>120</v>
      </c>
      <c r="F17" s="512">
        <f>+'B) Reajuste Tarifas y Ocupación'!$I$39</f>
        <v>120</v>
      </c>
      <c r="G17" s="512">
        <f>+'B) Reajuste Tarifas y Ocupación'!$I$39</f>
        <v>120</v>
      </c>
      <c r="H17" s="512">
        <f>+'B) Reajuste Tarifas y Ocupación'!$I$39</f>
        <v>120</v>
      </c>
      <c r="I17" s="512">
        <f>+'B) Reajuste Tarifas y Ocupación'!$I$39</f>
        <v>120</v>
      </c>
      <c r="J17" s="512">
        <f>+'B) Reajuste Tarifas y Ocupación'!$I$39</f>
        <v>120</v>
      </c>
      <c r="K17" s="512">
        <f>+'B) Reajuste Tarifas y Ocupación'!$I$39</f>
        <v>120</v>
      </c>
      <c r="L17" s="512">
        <f>+'B) Reajuste Tarifas y Ocupación'!$I$39</f>
        <v>120</v>
      </c>
      <c r="M17" s="512">
        <f>+'B) Reajuste Tarifas y Ocupación'!$I$39</f>
        <v>120</v>
      </c>
      <c r="N17" s="521"/>
    </row>
    <row r="18" spans="1:14" ht="15" x14ac:dyDescent="0.25">
      <c r="A18" s="511" t="s">
        <v>318</v>
      </c>
      <c r="B18" s="512">
        <f>+COUNTA('F) Remuneraciones'!$C$34:$C$56)</f>
        <v>20</v>
      </c>
      <c r="C18" s="512">
        <f>+COUNTA('F) Remuneraciones'!$C$34:$C$56)</f>
        <v>20</v>
      </c>
      <c r="D18" s="512">
        <f>+COUNTA('F) Remuneraciones'!$C$34:$C$56)</f>
        <v>20</v>
      </c>
      <c r="E18" s="512">
        <f>+COUNTA('F) Remuneraciones'!$C$34:$C$56)</f>
        <v>20</v>
      </c>
      <c r="F18" s="512">
        <f>+COUNTA('F) Remuneraciones'!$C$34:$C$56)</f>
        <v>20</v>
      </c>
      <c r="G18" s="512">
        <f>+COUNTA('F) Remuneraciones'!$C$34:$C$56)</f>
        <v>20</v>
      </c>
      <c r="H18" s="512">
        <f>+COUNTA('F) Remuneraciones'!$C$34:$C$56)</f>
        <v>20</v>
      </c>
      <c r="I18" s="512">
        <f>+COUNTA('F) Remuneraciones'!$C$34:$C$56)</f>
        <v>20</v>
      </c>
      <c r="J18" s="512">
        <f>+COUNTA('F) Remuneraciones'!$C$34:$C$56)</f>
        <v>20</v>
      </c>
      <c r="K18" s="512">
        <f>+COUNTA('F) Remuneraciones'!$C$34:$C$56)</f>
        <v>20</v>
      </c>
      <c r="L18" s="512">
        <f>+COUNTA('F) Remuneraciones'!$C$34:$C$56)</f>
        <v>20</v>
      </c>
      <c r="M18" s="512">
        <f>+COUNTA('F) Remuneraciones'!$C$34:$C$56)</f>
        <v>20</v>
      </c>
      <c r="N18" s="521"/>
    </row>
    <row r="19" spans="1:14" ht="15" x14ac:dyDescent="0.25">
      <c r="A19" s="511"/>
      <c r="B19" s="513"/>
      <c r="C19" s="513"/>
      <c r="D19" s="513"/>
      <c r="E19" s="513"/>
      <c r="F19" s="513"/>
      <c r="G19" s="513"/>
      <c r="H19" s="513"/>
      <c r="I19" s="513"/>
      <c r="J19" s="513"/>
      <c r="K19" s="513"/>
      <c r="L19" s="513"/>
      <c r="M19" s="513"/>
    </row>
    <row r="20" spans="1:14" ht="30" x14ac:dyDescent="0.2">
      <c r="A20" s="514" t="s">
        <v>326</v>
      </c>
      <c r="B20" s="510" t="s">
        <v>306</v>
      </c>
      <c r="C20" s="510" t="s">
        <v>307</v>
      </c>
      <c r="D20" s="510" t="s">
        <v>308</v>
      </c>
      <c r="E20" s="510" t="s">
        <v>309</v>
      </c>
      <c r="F20" s="510" t="s">
        <v>310</v>
      </c>
      <c r="G20" s="510" t="s">
        <v>311</v>
      </c>
      <c r="H20" s="510" t="s">
        <v>188</v>
      </c>
      <c r="I20" s="510" t="s">
        <v>312</v>
      </c>
      <c r="J20" s="510" t="s">
        <v>313</v>
      </c>
      <c r="K20" s="510" t="s">
        <v>314</v>
      </c>
      <c r="L20" s="510" t="s">
        <v>315</v>
      </c>
      <c r="M20" s="510" t="s">
        <v>316</v>
      </c>
      <c r="N20" s="510" t="s">
        <v>320</v>
      </c>
    </row>
    <row r="21" spans="1:14" ht="15" x14ac:dyDescent="0.25">
      <c r="A21" s="515" t="s">
        <v>321</v>
      </c>
      <c r="B21" s="516">
        <f>+'A) Resumen Ingresos y Egresos'!P39</f>
        <v>1641600</v>
      </c>
      <c r="C21" s="516">
        <f>+'A) Resumen Ingresos y Egresos'!N39*0.7</f>
        <v>12986400</v>
      </c>
      <c r="D21" s="516">
        <f>+'A) Resumen Ingresos y Egresos'!N39*0.3+'A) Resumen Ingresos y Egresos'!O39*0.1</f>
        <v>24117600</v>
      </c>
      <c r="E21" s="516">
        <f>+'A) Resumen Ingresos y Egresos'!$O$39*0.1</f>
        <v>18552000</v>
      </c>
      <c r="F21" s="516">
        <f>+'A) Resumen Ingresos y Egresos'!$O$39*0.1</f>
        <v>18552000</v>
      </c>
      <c r="G21" s="516">
        <f>+'A) Resumen Ingresos y Egresos'!$O$39*0.1</f>
        <v>18552000</v>
      </c>
      <c r="H21" s="516">
        <f>+'A) Resumen Ingresos y Egresos'!$O$39*0.1</f>
        <v>18552000</v>
      </c>
      <c r="I21" s="516">
        <f>+'A) Resumen Ingresos y Egresos'!$O$39*0.1</f>
        <v>18552000</v>
      </c>
      <c r="J21" s="516">
        <f>+'A) Resumen Ingresos y Egresos'!$O$39*0.1</f>
        <v>18552000</v>
      </c>
      <c r="K21" s="516">
        <f>+'A) Resumen Ingresos y Egresos'!$O$39*0.1</f>
        <v>18552000</v>
      </c>
      <c r="L21" s="516">
        <f>+'A) Resumen Ingresos y Egresos'!$O$39*0.1</f>
        <v>18552000</v>
      </c>
      <c r="M21" s="516">
        <f>+'A) Resumen Ingresos y Egresos'!$O$39*0.1</f>
        <v>18552000</v>
      </c>
      <c r="N21" s="517">
        <f>SUM(B21:M21)</f>
        <v>205713600</v>
      </c>
    </row>
    <row r="22" spans="1:14" ht="15" x14ac:dyDescent="0.25">
      <c r="A22" s="515" t="s">
        <v>322</v>
      </c>
      <c r="B22" s="516">
        <f>SUM('F) Remuneraciones'!$H$34:$H$56)/12</f>
        <v>9900116.4500000011</v>
      </c>
      <c r="C22" s="516">
        <f>SUM('F) Remuneraciones'!$H$34:$H$56)/12</f>
        <v>9900116.4500000011</v>
      </c>
      <c r="D22" s="516">
        <f>SUM('F) Remuneraciones'!$H$34:$H$56)/12</f>
        <v>9900116.4500000011</v>
      </c>
      <c r="E22" s="516">
        <f>SUM('F) Remuneraciones'!$H$34:$H$56)/12</f>
        <v>9900116.4500000011</v>
      </c>
      <c r="F22" s="516">
        <f>SUM('F) Remuneraciones'!$H$34:$H$56)/12</f>
        <v>9900116.4500000011</v>
      </c>
      <c r="G22" s="516">
        <f>SUM('F) Remuneraciones'!$H$34:$H$56)/12</f>
        <v>9900116.4500000011</v>
      </c>
      <c r="H22" s="516">
        <f>SUM('F) Remuneraciones'!$H$34:$H$56)/12</f>
        <v>9900116.4500000011</v>
      </c>
      <c r="I22" s="516">
        <f>SUM('F) Remuneraciones'!$H$34:$H$56)/12</f>
        <v>9900116.4500000011</v>
      </c>
      <c r="J22" s="516">
        <f>SUM('F) Remuneraciones'!$H$34:$H$56)/12</f>
        <v>9900116.4500000011</v>
      </c>
      <c r="K22" s="516">
        <f>SUM('F) Remuneraciones'!$H$34:$H$56)/12</f>
        <v>9900116.4500000011</v>
      </c>
      <c r="L22" s="516">
        <f>SUM('F) Remuneraciones'!$H$34:$H$56)/12</f>
        <v>9900116.4500000011</v>
      </c>
      <c r="M22" s="516">
        <f>SUM('F) Remuneraciones'!$H$34:$H$56)/12</f>
        <v>9900116.4500000011</v>
      </c>
      <c r="N22" s="517">
        <f>SUM(B22:M22)</f>
        <v>118801397.40000002</v>
      </c>
    </row>
    <row r="23" spans="1:14" ht="15" x14ac:dyDescent="0.25">
      <c r="A23" s="515" t="s">
        <v>323</v>
      </c>
      <c r="B23" s="516">
        <f>SUM('F) Remuneraciones'!I34:I56)*0.5</f>
        <v>2060223</v>
      </c>
      <c r="C23" s="516">
        <v>0</v>
      </c>
      <c r="D23" s="516">
        <v>0</v>
      </c>
      <c r="E23" s="516">
        <v>0</v>
      </c>
      <c r="F23" s="516">
        <v>0</v>
      </c>
      <c r="G23" s="516">
        <v>0</v>
      </c>
      <c r="H23" s="516">
        <v>0</v>
      </c>
      <c r="I23" s="516">
        <v>0</v>
      </c>
      <c r="J23" s="516">
        <f>SUM('F) Remuneraciones'!J34:J56)*0.5</f>
        <v>1258724</v>
      </c>
      <c r="K23" s="516">
        <v>0</v>
      </c>
      <c r="L23" s="516">
        <v>0</v>
      </c>
      <c r="M23" s="516">
        <f>+B23+J23</f>
        <v>3318947</v>
      </c>
      <c r="N23" s="517">
        <f>SUM(B23:M23)</f>
        <v>6637894</v>
      </c>
    </row>
    <row r="24" spans="1:14" ht="15" x14ac:dyDescent="0.25">
      <c r="A24" s="515" t="s">
        <v>324</v>
      </c>
      <c r="B24" s="516">
        <f>(+'C) Costos Directos'!$H$141-'C) Costos Directos'!$D$80)*0.05</f>
        <v>4474283.1349999988</v>
      </c>
      <c r="C24" s="516">
        <f>(+'C) Costos Directos'!$H$141-'C) Costos Directos'!$D$80)*0.05</f>
        <v>4474283.1349999988</v>
      </c>
      <c r="D24" s="516">
        <f>(+'C) Costos Directos'!$H$141-'C) Costos Directos'!$D$80)*0.09</f>
        <v>8053709.6429999974</v>
      </c>
      <c r="E24" s="516">
        <f>(+'C) Costos Directos'!$H$141-'C) Costos Directos'!$D$80)*0.09</f>
        <v>8053709.6429999974</v>
      </c>
      <c r="F24" s="516">
        <f>(+'C) Costos Directos'!$H$141-'C) Costos Directos'!$D$80)*0.09</f>
        <v>8053709.6429999974</v>
      </c>
      <c r="G24" s="516">
        <f>(+'C) Costos Directos'!$H$141-'C) Costos Directos'!$D$80)*0.09</f>
        <v>8053709.6429999974</v>
      </c>
      <c r="H24" s="516">
        <f>(+'C) Costos Directos'!$H$141-'C) Costos Directos'!$D$80)*0.09</f>
        <v>8053709.6429999974</v>
      </c>
      <c r="I24" s="516">
        <f>(+'C) Costos Directos'!$H$141-'C) Costos Directos'!$D$80)*0.09</f>
        <v>8053709.6429999974</v>
      </c>
      <c r="J24" s="516">
        <f>(+'C) Costos Directos'!$H$141-'C) Costos Directos'!$D$80)*0.09</f>
        <v>8053709.6429999974</v>
      </c>
      <c r="K24" s="516">
        <f>(+'C) Costos Directos'!$H$141-'C) Costos Directos'!$D$80)*0.09</f>
        <v>8053709.6429999974</v>
      </c>
      <c r="L24" s="516">
        <f>(+'C) Costos Directos'!$H$141-'C) Costos Directos'!$D$80)*0.09</f>
        <v>8053709.6429999974</v>
      </c>
      <c r="M24" s="516">
        <f>(+'C) Costos Directos'!$H$141-'C) Costos Directos'!$D$80)*0.09</f>
        <v>8053709.6429999974</v>
      </c>
      <c r="N24" s="517">
        <f>SUM(B24:M24)</f>
        <v>89485662.699999973</v>
      </c>
    </row>
    <row r="25" spans="1:14" ht="15" x14ac:dyDescent="0.25">
      <c r="A25" s="518" t="s">
        <v>325</v>
      </c>
      <c r="B25" s="519">
        <f t="shared" ref="B25:N25" si="1">+B21-B22-B23-B24</f>
        <v>-14793022.585000001</v>
      </c>
      <c r="C25" s="519">
        <f t="shared" si="1"/>
        <v>-1387999.585</v>
      </c>
      <c r="D25" s="519">
        <f t="shared" si="1"/>
        <v>6163773.9070000015</v>
      </c>
      <c r="E25" s="519">
        <f t="shared" si="1"/>
        <v>598173.90700000152</v>
      </c>
      <c r="F25" s="519">
        <f t="shared" si="1"/>
        <v>598173.90700000152</v>
      </c>
      <c r="G25" s="519">
        <f t="shared" si="1"/>
        <v>598173.90700000152</v>
      </c>
      <c r="H25" s="519">
        <f t="shared" si="1"/>
        <v>598173.90700000152</v>
      </c>
      <c r="I25" s="519">
        <f t="shared" si="1"/>
        <v>598173.90700000152</v>
      </c>
      <c r="J25" s="519">
        <f t="shared" si="1"/>
        <v>-660550.09299999848</v>
      </c>
      <c r="K25" s="519">
        <f t="shared" si="1"/>
        <v>598173.90700000152</v>
      </c>
      <c r="L25" s="519">
        <f t="shared" si="1"/>
        <v>598173.90700000152</v>
      </c>
      <c r="M25" s="519">
        <f t="shared" si="1"/>
        <v>-2720773.0929999985</v>
      </c>
      <c r="N25" s="519">
        <f t="shared" si="1"/>
        <v>-9211354.099999994</v>
      </c>
    </row>
    <row r="26" spans="1:14" ht="15" x14ac:dyDescent="0.25">
      <c r="A26" s="511"/>
      <c r="B26" s="513"/>
      <c r="C26" s="513"/>
      <c r="D26" s="513"/>
      <c r="E26" s="513"/>
      <c r="F26" s="513"/>
      <c r="G26" s="513"/>
      <c r="H26" s="513"/>
      <c r="I26" s="513"/>
      <c r="J26" s="513"/>
      <c r="K26" s="513"/>
      <c r="L26" s="513"/>
      <c r="M26" s="513"/>
    </row>
    <row r="28" spans="1:14" ht="15" x14ac:dyDescent="0.2">
      <c r="A28" s="509" t="s">
        <v>59</v>
      </c>
      <c r="B28" s="510" t="s">
        <v>306</v>
      </c>
      <c r="C28" s="510" t="s">
        <v>307</v>
      </c>
      <c r="D28" s="510" t="s">
        <v>308</v>
      </c>
      <c r="E28" s="510" t="s">
        <v>309</v>
      </c>
      <c r="F28" s="510" t="s">
        <v>310</v>
      </c>
      <c r="G28" s="510" t="s">
        <v>311</v>
      </c>
      <c r="H28" s="510" t="s">
        <v>188</v>
      </c>
      <c r="I28" s="510" t="s">
        <v>312</v>
      </c>
      <c r="J28" s="510" t="s">
        <v>313</v>
      </c>
      <c r="K28" s="510" t="s">
        <v>314</v>
      </c>
      <c r="L28" s="510" t="s">
        <v>315</v>
      </c>
      <c r="M28" s="510" t="s">
        <v>316</v>
      </c>
    </row>
    <row r="29" spans="1:14" ht="15" x14ac:dyDescent="0.25">
      <c r="A29" s="511" t="s">
        <v>317</v>
      </c>
      <c r="B29" s="512">
        <f>+'B) Reajuste Tarifas y Ocupación'!$I$48</f>
        <v>34</v>
      </c>
      <c r="C29" s="512">
        <f>+'B) Reajuste Tarifas y Ocupación'!$I$48</f>
        <v>34</v>
      </c>
      <c r="D29" s="512">
        <f>+'B) Reajuste Tarifas y Ocupación'!$I$48</f>
        <v>34</v>
      </c>
      <c r="E29" s="512">
        <f>+'B) Reajuste Tarifas y Ocupación'!$I$48</f>
        <v>34</v>
      </c>
      <c r="F29" s="512">
        <f>+'B) Reajuste Tarifas y Ocupación'!$I$48</f>
        <v>34</v>
      </c>
      <c r="G29" s="512">
        <f>+'B) Reajuste Tarifas y Ocupación'!$I$48</f>
        <v>34</v>
      </c>
      <c r="H29" s="512">
        <f>+'B) Reajuste Tarifas y Ocupación'!$I$48</f>
        <v>34</v>
      </c>
      <c r="I29" s="512">
        <f>+'B) Reajuste Tarifas y Ocupación'!$I$48</f>
        <v>34</v>
      </c>
      <c r="J29" s="512">
        <f>+'B) Reajuste Tarifas y Ocupación'!$I$48</f>
        <v>34</v>
      </c>
      <c r="K29" s="512">
        <f>+'B) Reajuste Tarifas y Ocupación'!$I$48</f>
        <v>34</v>
      </c>
      <c r="L29" s="512">
        <f>+'B) Reajuste Tarifas y Ocupación'!$I$48</f>
        <v>34</v>
      </c>
      <c r="M29" s="512">
        <f>+'B) Reajuste Tarifas y Ocupación'!$I$48</f>
        <v>34</v>
      </c>
    </row>
    <row r="30" spans="1:14" ht="15" x14ac:dyDescent="0.25">
      <c r="A30" s="511" t="s">
        <v>318</v>
      </c>
      <c r="B30" s="512">
        <f>+COUNTA('F) Remuneraciones'!$C$77:$C$91)</f>
        <v>11</v>
      </c>
      <c r="C30" s="512">
        <f>+COUNTA('F) Remuneraciones'!$C$77:$C$91)</f>
        <v>11</v>
      </c>
      <c r="D30" s="512">
        <f>+COUNTA('F) Remuneraciones'!$C$77:$C$91)</f>
        <v>11</v>
      </c>
      <c r="E30" s="512">
        <f>+COUNTA('F) Remuneraciones'!$C$77:$C$91)</f>
        <v>11</v>
      </c>
      <c r="F30" s="512">
        <f>+COUNTA('F) Remuneraciones'!$C$77:$C$91)</f>
        <v>11</v>
      </c>
      <c r="G30" s="512">
        <f>+COUNTA('F) Remuneraciones'!$C$77:$C$91)</f>
        <v>11</v>
      </c>
      <c r="H30" s="512">
        <f>+COUNTA('F) Remuneraciones'!$C$77:$C$91)</f>
        <v>11</v>
      </c>
      <c r="I30" s="512">
        <f>+COUNTA('F) Remuneraciones'!$C$77:$C$91)</f>
        <v>11</v>
      </c>
      <c r="J30" s="512">
        <f>+COUNTA('F) Remuneraciones'!$C$77:$C$91)</f>
        <v>11</v>
      </c>
      <c r="K30" s="512">
        <f>+COUNTA('F) Remuneraciones'!$C$77:$C$91)</f>
        <v>11</v>
      </c>
      <c r="L30" s="512">
        <f>+COUNTA('F) Remuneraciones'!$C$77:$C$91)</f>
        <v>11</v>
      </c>
      <c r="M30" s="512">
        <f>+COUNTA('F) Remuneraciones'!$C$77:$C$91)</f>
        <v>11</v>
      </c>
    </row>
    <row r="31" spans="1:14" ht="15" x14ac:dyDescent="0.25">
      <c r="A31" s="511"/>
      <c r="B31" s="513"/>
      <c r="C31" s="513"/>
      <c r="D31" s="513"/>
      <c r="E31" s="513"/>
      <c r="F31" s="513"/>
      <c r="G31" s="513"/>
      <c r="H31" s="513"/>
      <c r="I31" s="513"/>
      <c r="J31" s="513"/>
      <c r="K31" s="513"/>
      <c r="L31" s="513"/>
      <c r="M31" s="513"/>
    </row>
    <row r="32" spans="1:14" ht="30" x14ac:dyDescent="0.2">
      <c r="A32" s="514" t="s">
        <v>327</v>
      </c>
      <c r="B32" s="510" t="s">
        <v>306</v>
      </c>
      <c r="C32" s="510" t="s">
        <v>307</v>
      </c>
      <c r="D32" s="510" t="s">
        <v>308</v>
      </c>
      <c r="E32" s="510" t="s">
        <v>309</v>
      </c>
      <c r="F32" s="510" t="s">
        <v>310</v>
      </c>
      <c r="G32" s="510" t="s">
        <v>311</v>
      </c>
      <c r="H32" s="510" t="s">
        <v>188</v>
      </c>
      <c r="I32" s="510" t="s">
        <v>312</v>
      </c>
      <c r="J32" s="510" t="s">
        <v>313</v>
      </c>
      <c r="K32" s="510" t="s">
        <v>314</v>
      </c>
      <c r="L32" s="510" t="s">
        <v>315</v>
      </c>
      <c r="M32" s="510" t="s">
        <v>316</v>
      </c>
      <c r="N32" s="510" t="s">
        <v>320</v>
      </c>
    </row>
    <row r="33" spans="1:14" ht="15" x14ac:dyDescent="0.25">
      <c r="A33" s="515" t="s">
        <v>321</v>
      </c>
      <c r="B33" s="516">
        <f>+'A) Resumen Ingresos y Egresos'!$N$60/12+'A) Resumen Ingresos y Egresos'!$O$60/12</f>
        <v>11811600</v>
      </c>
      <c r="C33" s="516">
        <f>+'A) Resumen Ingresos y Egresos'!$N$60/12+'A) Resumen Ingresos y Egresos'!$O$60/12</f>
        <v>11811600</v>
      </c>
      <c r="D33" s="516">
        <f>+'A) Resumen Ingresos y Egresos'!$N$60/12+'A) Resumen Ingresos y Egresos'!$O$60/12</f>
        <v>11811600</v>
      </c>
      <c r="E33" s="516">
        <f>+'A) Resumen Ingresos y Egresos'!$N$60/12+'A) Resumen Ingresos y Egresos'!$O$60/12</f>
        <v>11811600</v>
      </c>
      <c r="F33" s="516">
        <f>+'A) Resumen Ingresos y Egresos'!$N$60/12+'A) Resumen Ingresos y Egresos'!$O$60/12</f>
        <v>11811600</v>
      </c>
      <c r="G33" s="516">
        <f>+'A) Resumen Ingresos y Egresos'!$N$60/12+'A) Resumen Ingresos y Egresos'!$O$60/12</f>
        <v>11811600</v>
      </c>
      <c r="H33" s="516">
        <f>+'A) Resumen Ingresos y Egresos'!$N$60/12+'A) Resumen Ingresos y Egresos'!$O$60/12</f>
        <v>11811600</v>
      </c>
      <c r="I33" s="516">
        <f>+'A) Resumen Ingresos y Egresos'!$N$60/12+'A) Resumen Ingresos y Egresos'!$O$60/12</f>
        <v>11811600</v>
      </c>
      <c r="J33" s="516">
        <f>+'A) Resumen Ingresos y Egresos'!$N$60/12+'A) Resumen Ingresos y Egresos'!$O$60/12</f>
        <v>11811600</v>
      </c>
      <c r="K33" s="516">
        <f>+'A) Resumen Ingresos y Egresos'!$N$60/12+'A) Resumen Ingresos y Egresos'!$O$60/12</f>
        <v>11811600</v>
      </c>
      <c r="L33" s="516">
        <f>+'A) Resumen Ingresos y Egresos'!$N$60/12+'A) Resumen Ingresos y Egresos'!$O$60/12</f>
        <v>11811600</v>
      </c>
      <c r="M33" s="516">
        <f>+'A) Resumen Ingresos y Egresos'!$N$60/12+'A) Resumen Ingresos y Egresos'!$O$60/12</f>
        <v>11811600</v>
      </c>
      <c r="N33" s="517">
        <f>SUM(B33:M33)</f>
        <v>141739200</v>
      </c>
    </row>
    <row r="34" spans="1:14" ht="15" x14ac:dyDescent="0.25">
      <c r="A34" s="515" t="s">
        <v>322</v>
      </c>
      <c r="B34" s="516">
        <f>SUM('F) Remuneraciones'!$H$77:$H$91)/12</f>
        <v>5825571.4899999993</v>
      </c>
      <c r="C34" s="516">
        <f>SUM('F) Remuneraciones'!$H$77:$H$91)/12</f>
        <v>5825571.4899999993</v>
      </c>
      <c r="D34" s="516">
        <f>SUM('F) Remuneraciones'!$H$77:$H$91)/12</f>
        <v>5825571.4899999993</v>
      </c>
      <c r="E34" s="516">
        <f>SUM('F) Remuneraciones'!$H$77:$H$91)/12</f>
        <v>5825571.4899999993</v>
      </c>
      <c r="F34" s="516">
        <f>SUM('F) Remuneraciones'!$H$77:$H$91)/12</f>
        <v>5825571.4899999993</v>
      </c>
      <c r="G34" s="516">
        <f>SUM('F) Remuneraciones'!$H$77:$H$91)/12</f>
        <v>5825571.4899999993</v>
      </c>
      <c r="H34" s="516">
        <f>SUM('F) Remuneraciones'!$H$77:$H$91)/12</f>
        <v>5825571.4899999993</v>
      </c>
      <c r="I34" s="516">
        <f>SUM('F) Remuneraciones'!$H$77:$H$91)/12</f>
        <v>5825571.4899999993</v>
      </c>
      <c r="J34" s="516">
        <f>SUM('F) Remuneraciones'!$H$77:$H$91)/12</f>
        <v>5825571.4899999993</v>
      </c>
      <c r="K34" s="516">
        <f>SUM('F) Remuneraciones'!$H$77:$H$91)/12</f>
        <v>5825571.4899999993</v>
      </c>
      <c r="L34" s="516">
        <f>SUM('F) Remuneraciones'!$H$77:$H$91)/12</f>
        <v>5825571.4899999993</v>
      </c>
      <c r="M34" s="516">
        <f>SUM('F) Remuneraciones'!$H$77:$H$91)/12</f>
        <v>5825571.4899999993</v>
      </c>
      <c r="N34" s="517">
        <f>SUM(B34:M34)</f>
        <v>69906857.88000001</v>
      </c>
    </row>
    <row r="35" spans="1:14" ht="15" x14ac:dyDescent="0.25">
      <c r="A35" s="515" t="s">
        <v>323</v>
      </c>
      <c r="B35" s="516">
        <f>SUM('F) Remuneraciones'!I77:I91)*0.5</f>
        <v>1166484.5</v>
      </c>
      <c r="C35" s="516">
        <v>0</v>
      </c>
      <c r="D35" s="516">
        <v>0</v>
      </c>
      <c r="E35" s="516">
        <v>0</v>
      </c>
      <c r="F35" s="516">
        <v>0</v>
      </c>
      <c r="G35" s="516">
        <v>0</v>
      </c>
      <c r="H35" s="516">
        <v>0</v>
      </c>
      <c r="I35" s="516">
        <v>0</v>
      </c>
      <c r="J35" s="516">
        <f>SUM('F) Remuneraciones'!J77:J91)*0.5</f>
        <v>665949</v>
      </c>
      <c r="K35" s="516">
        <v>0</v>
      </c>
      <c r="L35" s="516">
        <v>0</v>
      </c>
      <c r="M35" s="516">
        <f>+B35+J35</f>
        <v>1832433.5</v>
      </c>
      <c r="N35" s="517">
        <f>SUM(B35:M35)</f>
        <v>3664867</v>
      </c>
    </row>
    <row r="36" spans="1:14" ht="15" x14ac:dyDescent="0.25">
      <c r="A36" s="515" t="s">
        <v>324</v>
      </c>
      <c r="B36" s="516">
        <f>(+'C) Costos Directos'!$H$339-'C) Costos Directos'!$D$278)/12</f>
        <v>3229374.7666666671</v>
      </c>
      <c r="C36" s="516">
        <f>(+'C) Costos Directos'!$H$339-'C) Costos Directos'!$D$278)/12</f>
        <v>3229374.7666666671</v>
      </c>
      <c r="D36" s="516">
        <f>(+'C) Costos Directos'!$H$339-'C) Costos Directos'!$D$278)/12</f>
        <v>3229374.7666666671</v>
      </c>
      <c r="E36" s="516">
        <f>(+'C) Costos Directos'!$H$339-'C) Costos Directos'!$D$278)/12</f>
        <v>3229374.7666666671</v>
      </c>
      <c r="F36" s="516">
        <f>(+'C) Costos Directos'!$H$339-'C) Costos Directos'!$D$278)/12</f>
        <v>3229374.7666666671</v>
      </c>
      <c r="G36" s="516">
        <f>(+'C) Costos Directos'!$H$339-'C) Costos Directos'!$D$278)/12</f>
        <v>3229374.7666666671</v>
      </c>
      <c r="H36" s="516">
        <f>(+'C) Costos Directos'!$H$339-'C) Costos Directos'!$D$278)/12</f>
        <v>3229374.7666666671</v>
      </c>
      <c r="I36" s="516">
        <f>(+'C) Costos Directos'!$H$339-'C) Costos Directos'!$D$278)/12</f>
        <v>3229374.7666666671</v>
      </c>
      <c r="J36" s="516">
        <f>(+'C) Costos Directos'!$H$339-'C) Costos Directos'!$D$278)/12</f>
        <v>3229374.7666666671</v>
      </c>
      <c r="K36" s="516">
        <f>(+'C) Costos Directos'!$H$339-'C) Costos Directos'!$D$278)/12</f>
        <v>3229374.7666666671</v>
      </c>
      <c r="L36" s="516">
        <f>(+'C) Costos Directos'!$H$339-'C) Costos Directos'!$D$278)/12</f>
        <v>3229374.7666666671</v>
      </c>
      <c r="M36" s="516">
        <f>(+'C) Costos Directos'!$H$339-'C) Costos Directos'!$D$278)/12</f>
        <v>3229374.7666666671</v>
      </c>
      <c r="N36" s="517">
        <f>SUM(B36:M36)</f>
        <v>38752497.199999996</v>
      </c>
    </row>
    <row r="37" spans="1:14" ht="15" x14ac:dyDescent="0.25">
      <c r="A37" s="518" t="s">
        <v>325</v>
      </c>
      <c r="B37" s="519">
        <f t="shared" ref="B37:N37" si="2">+B33-B34-B35-B36</f>
        <v>1590169.2433333336</v>
      </c>
      <c r="C37" s="519">
        <f t="shared" si="2"/>
        <v>2756653.7433333336</v>
      </c>
      <c r="D37" s="519">
        <f t="shared" si="2"/>
        <v>2756653.7433333336</v>
      </c>
      <c r="E37" s="519">
        <f t="shared" si="2"/>
        <v>2756653.7433333336</v>
      </c>
      <c r="F37" s="519">
        <f t="shared" si="2"/>
        <v>2756653.7433333336</v>
      </c>
      <c r="G37" s="519">
        <f t="shared" si="2"/>
        <v>2756653.7433333336</v>
      </c>
      <c r="H37" s="519">
        <f t="shared" si="2"/>
        <v>2756653.7433333336</v>
      </c>
      <c r="I37" s="519">
        <f t="shared" si="2"/>
        <v>2756653.7433333336</v>
      </c>
      <c r="J37" s="519">
        <f t="shared" si="2"/>
        <v>2090704.7433333336</v>
      </c>
      <c r="K37" s="519">
        <f t="shared" si="2"/>
        <v>2756653.7433333336</v>
      </c>
      <c r="L37" s="519">
        <f t="shared" si="2"/>
        <v>2756653.7433333336</v>
      </c>
      <c r="M37" s="519">
        <f t="shared" si="2"/>
        <v>924220.24333333364</v>
      </c>
      <c r="N37" s="519">
        <f t="shared" si="2"/>
        <v>29414977.919999994</v>
      </c>
    </row>
    <row r="38" spans="1:14" ht="15" x14ac:dyDescent="0.25">
      <c r="A38" s="520"/>
      <c r="B38" s="521"/>
      <c r="C38" s="521"/>
      <c r="D38" s="521"/>
      <c r="E38" s="521"/>
      <c r="F38" s="521"/>
      <c r="G38" s="521"/>
      <c r="H38" s="521"/>
      <c r="I38" s="521"/>
      <c r="J38" s="521"/>
      <c r="K38" s="521"/>
      <c r="L38" s="521"/>
      <c r="M38" s="521"/>
      <c r="N38" s="521"/>
    </row>
    <row r="39" spans="1:14" ht="15" x14ac:dyDescent="0.25">
      <c r="A39" s="520"/>
      <c r="B39" s="521"/>
      <c r="C39" s="521"/>
      <c r="D39" s="521"/>
      <c r="E39" s="521"/>
      <c r="F39" s="521"/>
      <c r="G39" s="521"/>
      <c r="H39" s="521"/>
      <c r="I39" s="521"/>
      <c r="J39" s="521"/>
      <c r="K39" s="521"/>
      <c r="L39" s="521"/>
      <c r="M39" s="521"/>
      <c r="N39" s="521"/>
    </row>
    <row r="40" spans="1:14" ht="15" x14ac:dyDescent="0.25">
      <c r="A40" s="509" t="s">
        <v>59</v>
      </c>
      <c r="B40" s="510" t="s">
        <v>306</v>
      </c>
      <c r="C40" s="510" t="s">
        <v>307</v>
      </c>
      <c r="D40" s="510" t="s">
        <v>308</v>
      </c>
      <c r="E40" s="510" t="s">
        <v>309</v>
      </c>
      <c r="F40" s="510" t="s">
        <v>310</v>
      </c>
      <c r="G40" s="510" t="s">
        <v>311</v>
      </c>
      <c r="H40" s="510" t="s">
        <v>188</v>
      </c>
      <c r="I40" s="510" t="s">
        <v>312</v>
      </c>
      <c r="J40" s="510" t="s">
        <v>313</v>
      </c>
      <c r="K40" s="510" t="s">
        <v>314</v>
      </c>
      <c r="L40" s="510" t="s">
        <v>315</v>
      </c>
      <c r="M40" s="510" t="s">
        <v>316</v>
      </c>
      <c r="N40" s="521"/>
    </row>
    <row r="41" spans="1:14" ht="15" x14ac:dyDescent="0.25">
      <c r="A41" s="511" t="s">
        <v>317</v>
      </c>
      <c r="B41" s="512">
        <f>+'B) Reajuste Tarifas y Ocupación'!$I$51</f>
        <v>70</v>
      </c>
      <c r="C41" s="512">
        <f>+'B) Reajuste Tarifas y Ocupación'!$I$51</f>
        <v>70</v>
      </c>
      <c r="D41" s="512">
        <f>+'B) Reajuste Tarifas y Ocupación'!$I$51</f>
        <v>70</v>
      </c>
      <c r="E41" s="512">
        <f>+'B) Reajuste Tarifas y Ocupación'!$I$51</f>
        <v>70</v>
      </c>
      <c r="F41" s="512">
        <f>+'B) Reajuste Tarifas y Ocupación'!$I$51</f>
        <v>70</v>
      </c>
      <c r="G41" s="512">
        <f>+'B) Reajuste Tarifas y Ocupación'!$I$51</f>
        <v>70</v>
      </c>
      <c r="H41" s="512">
        <f>+'B) Reajuste Tarifas y Ocupación'!$I$51</f>
        <v>70</v>
      </c>
      <c r="I41" s="512">
        <f>+'B) Reajuste Tarifas y Ocupación'!$I$51</f>
        <v>70</v>
      </c>
      <c r="J41" s="512">
        <f>+'B) Reajuste Tarifas y Ocupación'!$I$51</f>
        <v>70</v>
      </c>
      <c r="K41" s="512">
        <f>+'B) Reajuste Tarifas y Ocupación'!$I$51</f>
        <v>70</v>
      </c>
      <c r="L41" s="512">
        <f>+'B) Reajuste Tarifas y Ocupación'!$I$51</f>
        <v>70</v>
      </c>
      <c r="M41" s="512">
        <f>+'B) Reajuste Tarifas y Ocupación'!$I$51</f>
        <v>70</v>
      </c>
      <c r="N41" s="521"/>
    </row>
    <row r="42" spans="1:14" ht="15" x14ac:dyDescent="0.25">
      <c r="A42" s="511" t="s">
        <v>318</v>
      </c>
      <c r="B42" s="512">
        <f>+COUNTA('F) Remuneraciones'!$C$107:$C$131)</f>
        <v>23</v>
      </c>
      <c r="C42" s="512">
        <f>+COUNTA('F) Remuneraciones'!$C$107:$C$131)</f>
        <v>23</v>
      </c>
      <c r="D42" s="512">
        <f>+COUNTA('F) Remuneraciones'!$C$107:$C$131)</f>
        <v>23</v>
      </c>
      <c r="E42" s="512">
        <f>+COUNTA('F) Remuneraciones'!$C$107:$C$131)</f>
        <v>23</v>
      </c>
      <c r="F42" s="512">
        <f>+COUNTA('F) Remuneraciones'!$C$107:$C$131)</f>
        <v>23</v>
      </c>
      <c r="G42" s="512">
        <f>+COUNTA('F) Remuneraciones'!$C$107:$C$131)</f>
        <v>23</v>
      </c>
      <c r="H42" s="512">
        <f>+COUNTA('F) Remuneraciones'!$C$107:$C$131)</f>
        <v>23</v>
      </c>
      <c r="I42" s="512">
        <f>+COUNTA('F) Remuneraciones'!$C$107:$C$131)</f>
        <v>23</v>
      </c>
      <c r="J42" s="512">
        <f>+COUNTA('F) Remuneraciones'!$C$107:$C$131)</f>
        <v>23</v>
      </c>
      <c r="K42" s="512">
        <f>+COUNTA('F) Remuneraciones'!$C$107:$C$131)</f>
        <v>23</v>
      </c>
      <c r="L42" s="512">
        <f>+COUNTA('F) Remuneraciones'!$C$107:$C$131)</f>
        <v>23</v>
      </c>
      <c r="M42" s="512">
        <f>+COUNTA('F) Remuneraciones'!$C$107:$C$131)</f>
        <v>23</v>
      </c>
      <c r="N42" s="521"/>
    </row>
    <row r="43" spans="1:14" ht="15" x14ac:dyDescent="0.25">
      <c r="A43" s="520"/>
      <c r="B43" s="521"/>
      <c r="C43" s="521"/>
      <c r="D43" s="521"/>
      <c r="E43" s="521"/>
      <c r="F43" s="521"/>
      <c r="G43" s="521"/>
      <c r="H43" s="521"/>
      <c r="I43" s="521"/>
      <c r="J43" s="521"/>
      <c r="K43" s="521"/>
      <c r="L43" s="521"/>
      <c r="M43" s="521"/>
      <c r="N43" s="521"/>
    </row>
    <row r="45" spans="1:14" ht="30" x14ac:dyDescent="0.2">
      <c r="A45" s="514" t="s">
        <v>328</v>
      </c>
      <c r="B45" s="510" t="s">
        <v>306</v>
      </c>
      <c r="C45" s="510" t="s">
        <v>307</v>
      </c>
      <c r="D45" s="510" t="s">
        <v>308</v>
      </c>
      <c r="E45" s="510" t="s">
        <v>309</v>
      </c>
      <c r="F45" s="510" t="s">
        <v>310</v>
      </c>
      <c r="G45" s="510" t="s">
        <v>311</v>
      </c>
      <c r="H45" s="510" t="s">
        <v>188</v>
      </c>
      <c r="I45" s="510" t="s">
        <v>312</v>
      </c>
      <c r="J45" s="510" t="s">
        <v>313</v>
      </c>
      <c r="K45" s="510" t="s">
        <v>314</v>
      </c>
      <c r="L45" s="510" t="s">
        <v>315</v>
      </c>
      <c r="M45" s="510" t="s">
        <v>316</v>
      </c>
      <c r="N45" s="510" t="s">
        <v>320</v>
      </c>
    </row>
    <row r="46" spans="1:14" ht="15" x14ac:dyDescent="0.25">
      <c r="A46" s="515" t="s">
        <v>321</v>
      </c>
      <c r="B46" s="516">
        <f>+'A) Resumen Ingresos y Egresos'!$N$63/12+'A) Resumen Ingresos y Egresos'!$O$63/12+'A) Resumen Ingresos y Egresos'!$N$69/12+'A) Resumen Ingresos y Egresos'!$O$69/12</f>
        <v>24318000</v>
      </c>
      <c r="C46" s="516">
        <f>+'A) Resumen Ingresos y Egresos'!$N$63/12+'A) Resumen Ingresos y Egresos'!$O$63/12+'A) Resumen Ingresos y Egresos'!$N$69/12+'A) Resumen Ingresos y Egresos'!$O$69/12</f>
        <v>24318000</v>
      </c>
      <c r="D46" s="516">
        <f>+'A) Resumen Ingresos y Egresos'!$N$63/12+'A) Resumen Ingresos y Egresos'!$O$63/12+'A) Resumen Ingresos y Egresos'!$N$69/12+'A) Resumen Ingresos y Egresos'!$O$69/12</f>
        <v>24318000</v>
      </c>
      <c r="E46" s="516">
        <f>+'A) Resumen Ingresos y Egresos'!$N$63/12+'A) Resumen Ingresos y Egresos'!$O$63/12+'A) Resumen Ingresos y Egresos'!$N$69/12+'A) Resumen Ingresos y Egresos'!$O$69/12</f>
        <v>24318000</v>
      </c>
      <c r="F46" s="516">
        <f>+'A) Resumen Ingresos y Egresos'!$N$63/12+'A) Resumen Ingresos y Egresos'!$O$63/12+'A) Resumen Ingresos y Egresos'!$N$69/12+'A) Resumen Ingresos y Egresos'!$O$69/12</f>
        <v>24318000</v>
      </c>
      <c r="G46" s="516">
        <f>+'A) Resumen Ingresos y Egresos'!$N$63/12+'A) Resumen Ingresos y Egresos'!$O$63/12+'A) Resumen Ingresos y Egresos'!$N$69/12+'A) Resumen Ingresos y Egresos'!$O$69/12</f>
        <v>24318000</v>
      </c>
      <c r="H46" s="516">
        <f>+'A) Resumen Ingresos y Egresos'!$N$63/12+'A) Resumen Ingresos y Egresos'!$O$63/12+'A) Resumen Ingresos y Egresos'!$N$69/12+'A) Resumen Ingresos y Egresos'!$O$69/12</f>
        <v>24318000</v>
      </c>
      <c r="I46" s="516">
        <f>+'A) Resumen Ingresos y Egresos'!$N$63/12+'A) Resumen Ingresos y Egresos'!$O$63/12+'A) Resumen Ingresos y Egresos'!$N$69/12+'A) Resumen Ingresos y Egresos'!$O$69/12</f>
        <v>24318000</v>
      </c>
      <c r="J46" s="516">
        <f>+'A) Resumen Ingresos y Egresos'!$N$63/12+'A) Resumen Ingresos y Egresos'!$O$63/12+'A) Resumen Ingresos y Egresos'!$N$69/12+'A) Resumen Ingresos y Egresos'!$O$69/12</f>
        <v>24318000</v>
      </c>
      <c r="K46" s="516">
        <f>+'A) Resumen Ingresos y Egresos'!$N$63/12+'A) Resumen Ingresos y Egresos'!$O$63/12+'A) Resumen Ingresos y Egresos'!$N$69/12+'A) Resumen Ingresos y Egresos'!$O$69/12</f>
        <v>24318000</v>
      </c>
      <c r="L46" s="516">
        <f>+'A) Resumen Ingresos y Egresos'!$N$63/12+'A) Resumen Ingresos y Egresos'!$O$63/12+'A) Resumen Ingresos y Egresos'!$N$69/12+'A) Resumen Ingresos y Egresos'!$O$69/12</f>
        <v>24318000</v>
      </c>
      <c r="M46" s="516">
        <f>+'A) Resumen Ingresos y Egresos'!$N$63/12+'A) Resumen Ingresos y Egresos'!$O$63/12+'A) Resumen Ingresos y Egresos'!$N$69/12+'A) Resumen Ingresos y Egresos'!$O$69/12</f>
        <v>24318000</v>
      </c>
      <c r="N46" s="517">
        <f>SUM(B46:M46)</f>
        <v>291816000</v>
      </c>
    </row>
    <row r="47" spans="1:14" ht="15" x14ac:dyDescent="0.25">
      <c r="A47" s="515" t="s">
        <v>322</v>
      </c>
      <c r="B47" s="516">
        <f>SUM('F) Remuneraciones'!$H$107:$H$131)/12</f>
        <v>11985999.081666665</v>
      </c>
      <c r="C47" s="516">
        <f>SUM('F) Remuneraciones'!$H$107:$H$131)/12</f>
        <v>11985999.081666665</v>
      </c>
      <c r="D47" s="516">
        <f>SUM('F) Remuneraciones'!$H$107:$H$131)/12</f>
        <v>11985999.081666665</v>
      </c>
      <c r="E47" s="516">
        <f>SUM('F) Remuneraciones'!$H$107:$H$131)/12</f>
        <v>11985999.081666665</v>
      </c>
      <c r="F47" s="516">
        <f>SUM('F) Remuneraciones'!$H$107:$H$131)/12</f>
        <v>11985999.081666665</v>
      </c>
      <c r="G47" s="516">
        <f>SUM('F) Remuneraciones'!$H$107:$H$131)/12</f>
        <v>11985999.081666665</v>
      </c>
      <c r="H47" s="516">
        <f>SUM('F) Remuneraciones'!$H$107:$H$131)/12</f>
        <v>11985999.081666665</v>
      </c>
      <c r="I47" s="516">
        <f>SUM('F) Remuneraciones'!$H$107:$H$131)/12</f>
        <v>11985999.081666665</v>
      </c>
      <c r="J47" s="516">
        <f>SUM('F) Remuneraciones'!$H$107:$H$131)/12</f>
        <v>11985999.081666665</v>
      </c>
      <c r="K47" s="516">
        <f>SUM('F) Remuneraciones'!$H$107:$H$131)/12</f>
        <v>11985999.081666665</v>
      </c>
      <c r="L47" s="516">
        <f>SUM('F) Remuneraciones'!$H$107:$H$131)/12</f>
        <v>11985999.081666665</v>
      </c>
      <c r="M47" s="516">
        <f>SUM('F) Remuneraciones'!$H$107:$H$131)/12</f>
        <v>11985999.081666665</v>
      </c>
      <c r="N47" s="517">
        <f>SUM(B47:M47)</f>
        <v>143831988.97999999</v>
      </c>
    </row>
    <row r="48" spans="1:14" ht="15" x14ac:dyDescent="0.25">
      <c r="A48" s="515" t="s">
        <v>323</v>
      </c>
      <c r="B48" s="516">
        <f>SUM('F) Remuneraciones'!I107:I131)*0.5</f>
        <v>2666587.5</v>
      </c>
      <c r="C48" s="516">
        <v>0</v>
      </c>
      <c r="D48" s="516">
        <v>0</v>
      </c>
      <c r="E48" s="516">
        <v>0</v>
      </c>
      <c r="F48" s="516">
        <v>0</v>
      </c>
      <c r="G48" s="516">
        <v>0</v>
      </c>
      <c r="H48" s="516">
        <v>0</v>
      </c>
      <c r="I48" s="516">
        <v>0</v>
      </c>
      <c r="J48" s="516">
        <f>SUM('F) Remuneraciones'!J107:J131)*0.5</f>
        <v>1480218</v>
      </c>
      <c r="K48" s="516">
        <v>0</v>
      </c>
      <c r="L48" s="516">
        <v>0</v>
      </c>
      <c r="M48" s="516">
        <f>+B48+J48</f>
        <v>4146805.5</v>
      </c>
      <c r="N48" s="517">
        <f>SUM(B48:M48)</f>
        <v>8293611</v>
      </c>
    </row>
    <row r="49" spans="1:14" ht="15" x14ac:dyDescent="0.25">
      <c r="A49" s="515" t="s">
        <v>324</v>
      </c>
      <c r="B49" s="516">
        <f>(+'C) Costos Directos'!$H$471-'C) Costos Directos'!$D$410)/12</f>
        <v>5224997.9398333328</v>
      </c>
      <c r="C49" s="516">
        <f>(+'C) Costos Directos'!$H$471-'C) Costos Directos'!$D$410)/12</f>
        <v>5224997.9398333328</v>
      </c>
      <c r="D49" s="516">
        <f>(+'C) Costos Directos'!$H$471-'C) Costos Directos'!$D$410)/12</f>
        <v>5224997.9398333328</v>
      </c>
      <c r="E49" s="516">
        <f>(+'C) Costos Directos'!$H$471-'C) Costos Directos'!$D$410)/12</f>
        <v>5224997.9398333328</v>
      </c>
      <c r="F49" s="516">
        <f>(+'C) Costos Directos'!$H$471-'C) Costos Directos'!$D$410)/12</f>
        <v>5224997.9398333328</v>
      </c>
      <c r="G49" s="516">
        <f>(+'C) Costos Directos'!$H$471-'C) Costos Directos'!$D$410)/12</f>
        <v>5224997.9398333328</v>
      </c>
      <c r="H49" s="516">
        <f>(+'C) Costos Directos'!$H$471-'C) Costos Directos'!$D$410)/12</f>
        <v>5224997.9398333328</v>
      </c>
      <c r="I49" s="516">
        <f>(+'C) Costos Directos'!$H$471-'C) Costos Directos'!$D$410)/12</f>
        <v>5224997.9398333328</v>
      </c>
      <c r="J49" s="516">
        <f>(+'C) Costos Directos'!$H$471-'C) Costos Directos'!$D$410)/12</f>
        <v>5224997.9398333328</v>
      </c>
      <c r="K49" s="516">
        <f>(+'C) Costos Directos'!$H$471-'C) Costos Directos'!$D$410)/12</f>
        <v>5224997.9398333328</v>
      </c>
      <c r="L49" s="516">
        <f>(+'C) Costos Directos'!$H$471-'C) Costos Directos'!$D$410)/12</f>
        <v>5224997.9398333328</v>
      </c>
      <c r="M49" s="516">
        <f>(+'C) Costos Directos'!$H$471-'C) Costos Directos'!$D$410)/12</f>
        <v>5224997.9398333328</v>
      </c>
      <c r="N49" s="517">
        <f>SUM(B49:M49)</f>
        <v>62699975.278000005</v>
      </c>
    </row>
    <row r="50" spans="1:14" ht="15" x14ac:dyDescent="0.25">
      <c r="A50" s="518" t="s">
        <v>325</v>
      </c>
      <c r="B50" s="519">
        <f t="shared" ref="B50:N50" si="3">+B46-B47-B48-B49</f>
        <v>4440415.4785000021</v>
      </c>
      <c r="C50" s="519">
        <f t="shared" si="3"/>
        <v>7107002.9785000021</v>
      </c>
      <c r="D50" s="519">
        <f t="shared" si="3"/>
        <v>7107002.9785000021</v>
      </c>
      <c r="E50" s="519">
        <f t="shared" si="3"/>
        <v>7107002.9785000021</v>
      </c>
      <c r="F50" s="519">
        <f t="shared" si="3"/>
        <v>7107002.9785000021</v>
      </c>
      <c r="G50" s="519">
        <f t="shared" si="3"/>
        <v>7107002.9785000021</v>
      </c>
      <c r="H50" s="519">
        <f t="shared" si="3"/>
        <v>7107002.9785000021</v>
      </c>
      <c r="I50" s="519">
        <f t="shared" si="3"/>
        <v>7107002.9785000021</v>
      </c>
      <c r="J50" s="519">
        <f t="shared" si="3"/>
        <v>5626784.9785000021</v>
      </c>
      <c r="K50" s="519">
        <f t="shared" si="3"/>
        <v>7107002.9785000021</v>
      </c>
      <c r="L50" s="519">
        <f t="shared" si="3"/>
        <v>7107002.9785000021</v>
      </c>
      <c r="M50" s="519">
        <f t="shared" si="3"/>
        <v>2960197.4785000021</v>
      </c>
      <c r="N50" s="519">
        <f t="shared" si="3"/>
        <v>76990424.742000014</v>
      </c>
    </row>
    <row r="51" spans="1:14" ht="15" x14ac:dyDescent="0.25">
      <c r="A51" s="520"/>
      <c r="B51" s="521"/>
      <c r="C51" s="521"/>
      <c r="D51" s="521"/>
      <c r="E51" s="521"/>
      <c r="F51" s="521"/>
      <c r="G51" s="521"/>
      <c r="H51" s="521"/>
      <c r="I51" s="521"/>
      <c r="J51" s="521"/>
      <c r="K51" s="521"/>
      <c r="L51" s="521"/>
      <c r="M51" s="521"/>
      <c r="N51" s="521"/>
    </row>
    <row r="53" spans="1:14" ht="15" x14ac:dyDescent="0.2">
      <c r="A53" s="509" t="s">
        <v>59</v>
      </c>
      <c r="B53" s="510" t="s">
        <v>306</v>
      </c>
      <c r="C53" s="510" t="s">
        <v>307</v>
      </c>
      <c r="D53" s="510" t="s">
        <v>308</v>
      </c>
      <c r="E53" s="510" t="s">
        <v>309</v>
      </c>
      <c r="F53" s="510" t="s">
        <v>310</v>
      </c>
      <c r="G53" s="510" t="s">
        <v>311</v>
      </c>
      <c r="H53" s="510" t="s">
        <v>188</v>
      </c>
      <c r="I53" s="510" t="s">
        <v>312</v>
      </c>
      <c r="J53" s="510" t="s">
        <v>313</v>
      </c>
      <c r="K53" s="510" t="s">
        <v>314</v>
      </c>
      <c r="L53" s="510" t="s">
        <v>315</v>
      </c>
      <c r="M53" s="510" t="s">
        <v>316</v>
      </c>
    </row>
    <row r="54" spans="1:14" ht="15" x14ac:dyDescent="0.25">
      <c r="A54" s="511" t="s">
        <v>317</v>
      </c>
      <c r="B54" s="512">
        <f>+'B) Reajuste Tarifas y Ocupación'!$H$50</f>
        <v>20</v>
      </c>
      <c r="C54" s="512">
        <f>+'B) Reajuste Tarifas y Ocupación'!$H$50</f>
        <v>20</v>
      </c>
      <c r="D54" s="512">
        <f>+'B) Reajuste Tarifas y Ocupación'!$H$50</f>
        <v>20</v>
      </c>
      <c r="E54" s="512">
        <f>+'B) Reajuste Tarifas y Ocupación'!$H$50</f>
        <v>20</v>
      </c>
      <c r="F54" s="512">
        <f>+'B) Reajuste Tarifas y Ocupación'!$H$50</f>
        <v>20</v>
      </c>
      <c r="G54" s="512">
        <f>+'B) Reajuste Tarifas y Ocupación'!$H$50</f>
        <v>20</v>
      </c>
      <c r="H54" s="512">
        <f>+'B) Reajuste Tarifas y Ocupación'!$H$50</f>
        <v>20</v>
      </c>
      <c r="I54" s="512">
        <f>+'B) Reajuste Tarifas y Ocupación'!$H$50</f>
        <v>20</v>
      </c>
      <c r="J54" s="512">
        <f>+'B) Reajuste Tarifas y Ocupación'!$H$50</f>
        <v>20</v>
      </c>
      <c r="K54" s="512">
        <f>+'B) Reajuste Tarifas y Ocupación'!$H$50</f>
        <v>20</v>
      </c>
      <c r="L54" s="512">
        <f>+'B) Reajuste Tarifas y Ocupación'!$H$50</f>
        <v>20</v>
      </c>
      <c r="M54" s="512">
        <f>+'B) Reajuste Tarifas y Ocupación'!$H$50</f>
        <v>20</v>
      </c>
    </row>
    <row r="55" spans="1:14" ht="15" x14ac:dyDescent="0.25">
      <c r="A55" s="511" t="s">
        <v>318</v>
      </c>
      <c r="B55" s="512">
        <f>+COUNTA('F) Remuneraciones'!$C$132:$C$146)</f>
        <v>6</v>
      </c>
      <c r="C55" s="512">
        <f>+COUNTA('F) Remuneraciones'!$C$132:$C$146)</f>
        <v>6</v>
      </c>
      <c r="D55" s="512">
        <f>+COUNTA('F) Remuneraciones'!$C$132:$C$146)</f>
        <v>6</v>
      </c>
      <c r="E55" s="512">
        <f>+COUNTA('F) Remuneraciones'!$C$132:$C$146)</f>
        <v>6</v>
      </c>
      <c r="F55" s="512">
        <f>+COUNTA('F) Remuneraciones'!$C$132:$C$146)</f>
        <v>6</v>
      </c>
      <c r="G55" s="512">
        <f>+COUNTA('F) Remuneraciones'!$C$132:$C$146)</f>
        <v>6</v>
      </c>
      <c r="H55" s="512">
        <f>+COUNTA('F) Remuneraciones'!$C$132:$C$146)</f>
        <v>6</v>
      </c>
      <c r="I55" s="512">
        <f>+COUNTA('F) Remuneraciones'!$C$132:$C$146)</f>
        <v>6</v>
      </c>
      <c r="J55" s="512">
        <f>+COUNTA('F) Remuneraciones'!$C$132:$C$146)</f>
        <v>6</v>
      </c>
      <c r="K55" s="512">
        <f>+COUNTA('F) Remuneraciones'!$C$132:$C$146)</f>
        <v>6</v>
      </c>
      <c r="L55" s="512">
        <f>+COUNTA('F) Remuneraciones'!$C$132:$C$146)</f>
        <v>6</v>
      </c>
      <c r="M55" s="512">
        <f>+COUNTA('F) Remuneraciones'!$C$132:$C$146)</f>
        <v>6</v>
      </c>
    </row>
    <row r="57" spans="1:14" ht="30" x14ac:dyDescent="0.2">
      <c r="A57" s="514" t="s">
        <v>329</v>
      </c>
      <c r="B57" s="510" t="s">
        <v>306</v>
      </c>
      <c r="C57" s="510" t="s">
        <v>307</v>
      </c>
      <c r="D57" s="510" t="s">
        <v>308</v>
      </c>
      <c r="E57" s="510" t="s">
        <v>309</v>
      </c>
      <c r="F57" s="510" t="s">
        <v>310</v>
      </c>
      <c r="G57" s="510" t="s">
        <v>311</v>
      </c>
      <c r="H57" s="510" t="s">
        <v>188</v>
      </c>
      <c r="I57" s="510" t="s">
        <v>312</v>
      </c>
      <c r="J57" s="510" t="s">
        <v>313</v>
      </c>
      <c r="K57" s="510" t="s">
        <v>314</v>
      </c>
      <c r="L57" s="510" t="s">
        <v>315</v>
      </c>
      <c r="M57" s="510" t="s">
        <v>316</v>
      </c>
      <c r="N57" s="510" t="s">
        <v>320</v>
      </c>
    </row>
    <row r="58" spans="1:14" ht="15" x14ac:dyDescent="0.25">
      <c r="A58" s="515" t="s">
        <v>321</v>
      </c>
      <c r="B58" s="516">
        <f>+'A) Resumen Ingresos y Egresos'!$O$66/12</f>
        <v>5604000</v>
      </c>
      <c r="C58" s="516">
        <f>+'A) Resumen Ingresos y Egresos'!$O$66/12</f>
        <v>5604000</v>
      </c>
      <c r="D58" s="516">
        <f>+'A) Resumen Ingresos y Egresos'!$O$66/12</f>
        <v>5604000</v>
      </c>
      <c r="E58" s="516">
        <f>+'A) Resumen Ingresos y Egresos'!$O$66/12</f>
        <v>5604000</v>
      </c>
      <c r="F58" s="516">
        <f>+'A) Resumen Ingresos y Egresos'!$O$66/12</f>
        <v>5604000</v>
      </c>
      <c r="G58" s="516">
        <f>+'A) Resumen Ingresos y Egresos'!$O$66/12</f>
        <v>5604000</v>
      </c>
      <c r="H58" s="516">
        <f>+'A) Resumen Ingresos y Egresos'!$O$66/12</f>
        <v>5604000</v>
      </c>
      <c r="I58" s="516">
        <f>+'A) Resumen Ingresos y Egresos'!$O$66/12</f>
        <v>5604000</v>
      </c>
      <c r="J58" s="516">
        <f>+'A) Resumen Ingresos y Egresos'!$O$66/12</f>
        <v>5604000</v>
      </c>
      <c r="K58" s="516">
        <f>+'A) Resumen Ingresos y Egresos'!$O$66/12</f>
        <v>5604000</v>
      </c>
      <c r="L58" s="516">
        <f>+'A) Resumen Ingresos y Egresos'!$O$66/12</f>
        <v>5604000</v>
      </c>
      <c r="M58" s="516">
        <f>+'A) Resumen Ingresos y Egresos'!$O$66/12</f>
        <v>5604000</v>
      </c>
      <c r="N58" s="517">
        <f>SUM(B58:M58)</f>
        <v>67248000</v>
      </c>
    </row>
    <row r="59" spans="1:14" ht="15" x14ac:dyDescent="0.25">
      <c r="A59" s="515" t="s">
        <v>322</v>
      </c>
      <c r="B59" s="516">
        <f>SUM('F) Remuneraciones'!$H$132:$H$146)/12</f>
        <v>4619621.9299999988</v>
      </c>
      <c r="C59" s="516">
        <f>SUM('F) Remuneraciones'!$H$132:$H$146)/12</f>
        <v>4619621.9299999988</v>
      </c>
      <c r="D59" s="516">
        <f>SUM('F) Remuneraciones'!$H$132:$H$146)/12</f>
        <v>4619621.9299999988</v>
      </c>
      <c r="E59" s="516">
        <f>SUM('F) Remuneraciones'!$H$132:$H$146)/12</f>
        <v>4619621.9299999988</v>
      </c>
      <c r="F59" s="516">
        <f>SUM('F) Remuneraciones'!$H$132:$H$146)/12</f>
        <v>4619621.9299999988</v>
      </c>
      <c r="G59" s="516">
        <f>SUM('F) Remuneraciones'!$H$132:$H$146)/12</f>
        <v>4619621.9299999988</v>
      </c>
      <c r="H59" s="516">
        <f>SUM('F) Remuneraciones'!$H$132:$H$146)/12</f>
        <v>4619621.9299999988</v>
      </c>
      <c r="I59" s="516">
        <f>SUM('F) Remuneraciones'!$H$132:$H$146)/12</f>
        <v>4619621.9299999988</v>
      </c>
      <c r="J59" s="516">
        <f>SUM('F) Remuneraciones'!$H$132:$H$146)/12</f>
        <v>4619621.9299999988</v>
      </c>
      <c r="K59" s="516">
        <f>SUM('F) Remuneraciones'!$H$132:$H$146)/12</f>
        <v>4619621.9299999988</v>
      </c>
      <c r="L59" s="516">
        <f>SUM('F) Remuneraciones'!$H$132:$H$146)/12</f>
        <v>4619621.9299999988</v>
      </c>
      <c r="M59" s="516">
        <f>SUM('F) Remuneraciones'!$H$132:$H$146)/12</f>
        <v>4619621.9299999988</v>
      </c>
      <c r="N59" s="517">
        <f>SUM(B59:M59)</f>
        <v>55435463.159999989</v>
      </c>
    </row>
    <row r="60" spans="1:14" ht="15" x14ac:dyDescent="0.25">
      <c r="A60" s="515" t="s">
        <v>323</v>
      </c>
      <c r="B60" s="516">
        <f>SUM('F) Remuneraciones'!I132:I146)*0.5</f>
        <v>757365.5</v>
      </c>
      <c r="C60" s="516">
        <v>0</v>
      </c>
      <c r="D60" s="516">
        <v>0</v>
      </c>
      <c r="E60" s="516">
        <v>0</v>
      </c>
      <c r="F60" s="516">
        <v>0</v>
      </c>
      <c r="G60" s="516">
        <v>0</v>
      </c>
      <c r="H60" s="516">
        <v>0</v>
      </c>
      <c r="I60" s="516">
        <v>0</v>
      </c>
      <c r="J60" s="516">
        <f>SUM('F) Remuneraciones'!J132:J146)*0.5</f>
        <v>447090</v>
      </c>
      <c r="K60" s="516">
        <v>0</v>
      </c>
      <c r="L60" s="516">
        <v>0</v>
      </c>
      <c r="M60" s="516">
        <f>+B60+J60</f>
        <v>1204455.5</v>
      </c>
      <c r="N60" s="517">
        <f>SUM(B60:M60)</f>
        <v>2408911</v>
      </c>
    </row>
    <row r="61" spans="1:14" ht="15" x14ac:dyDescent="0.25">
      <c r="A61" s="515" t="s">
        <v>324</v>
      </c>
      <c r="B61" s="516">
        <f>(+'C) Costos Directos'!$H$537-'C) Costos Directos'!$D$476)/12</f>
        <v>1285778.6318333328</v>
      </c>
      <c r="C61" s="516">
        <f>(+'C) Costos Directos'!$H$537-'C) Costos Directos'!$D$476)/12</f>
        <v>1285778.6318333328</v>
      </c>
      <c r="D61" s="516">
        <f>(+'C) Costos Directos'!$H$537-'C) Costos Directos'!$D$476)/12</f>
        <v>1285778.6318333328</v>
      </c>
      <c r="E61" s="516">
        <f>(+'C) Costos Directos'!$H$537-'C) Costos Directos'!$D$476)/12</f>
        <v>1285778.6318333328</v>
      </c>
      <c r="F61" s="516">
        <f>(+'C) Costos Directos'!$H$537-'C) Costos Directos'!$D$476)/12</f>
        <v>1285778.6318333328</v>
      </c>
      <c r="G61" s="516">
        <f>(+'C) Costos Directos'!$H$537-'C) Costos Directos'!$D$476)/12</f>
        <v>1285778.6318333328</v>
      </c>
      <c r="H61" s="516">
        <f>(+'C) Costos Directos'!$H$537-'C) Costos Directos'!$D$476)/12</f>
        <v>1285778.6318333328</v>
      </c>
      <c r="I61" s="516">
        <f>(+'C) Costos Directos'!$H$537-'C) Costos Directos'!$D$476)/12</f>
        <v>1285778.6318333328</v>
      </c>
      <c r="J61" s="516">
        <f>(+'C) Costos Directos'!$H$537-'C) Costos Directos'!$D$476)/12</f>
        <v>1285778.6318333328</v>
      </c>
      <c r="K61" s="516">
        <f>(+'C) Costos Directos'!$H$537-'C) Costos Directos'!$D$476)/12</f>
        <v>1285778.6318333328</v>
      </c>
      <c r="L61" s="516">
        <f>(+'C) Costos Directos'!$H$537-'C) Costos Directos'!$D$476)/12</f>
        <v>1285778.6318333328</v>
      </c>
      <c r="M61" s="516">
        <f>(+'C) Costos Directos'!$H$537-'C) Costos Directos'!$D$476)/12</f>
        <v>1285778.6318333328</v>
      </c>
      <c r="N61" s="517">
        <f>SUM(B61:M61)</f>
        <v>15429343.581999997</v>
      </c>
    </row>
    <row r="62" spans="1:14" ht="15" x14ac:dyDescent="0.25">
      <c r="A62" s="518" t="s">
        <v>325</v>
      </c>
      <c r="B62" s="519">
        <f t="shared" ref="B62:N62" si="4">+B58-B59-B60-B61</f>
        <v>-1058766.0618333316</v>
      </c>
      <c r="C62" s="519">
        <f t="shared" si="4"/>
        <v>-301400.56183333159</v>
      </c>
      <c r="D62" s="519">
        <f t="shared" si="4"/>
        <v>-301400.56183333159</v>
      </c>
      <c r="E62" s="519">
        <f t="shared" si="4"/>
        <v>-301400.56183333159</v>
      </c>
      <c r="F62" s="519">
        <f t="shared" si="4"/>
        <v>-301400.56183333159</v>
      </c>
      <c r="G62" s="519">
        <f t="shared" si="4"/>
        <v>-301400.56183333159</v>
      </c>
      <c r="H62" s="519">
        <f t="shared" si="4"/>
        <v>-301400.56183333159</v>
      </c>
      <c r="I62" s="519">
        <f t="shared" si="4"/>
        <v>-301400.56183333159</v>
      </c>
      <c r="J62" s="519">
        <f t="shared" si="4"/>
        <v>-748490.56183333159</v>
      </c>
      <c r="K62" s="519">
        <f t="shared" si="4"/>
        <v>-301400.56183333159</v>
      </c>
      <c r="L62" s="519">
        <f t="shared" si="4"/>
        <v>-301400.56183333159</v>
      </c>
      <c r="M62" s="519">
        <f t="shared" si="4"/>
        <v>-1505856.0618333316</v>
      </c>
      <c r="N62" s="519">
        <f t="shared" si="4"/>
        <v>-6025717.7419999857</v>
      </c>
    </row>
  </sheetData>
  <sheetProtection sheet="1" objects="1" scenarios="1"/>
  <mergeCells count="1">
    <mergeCell ref="A2:D2"/>
  </mergeCells>
  <pageMargins left="0.7" right="0.7" top="0.75" bottom="0.75" header="0.51180555555555496" footer="0.51180555555555496"/>
  <pageSetup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K56"/>
  <sheetViews>
    <sheetView showGridLines="0" topLeftCell="A13" zoomScale="80" zoomScaleNormal="80" workbookViewId="0">
      <selection activeCell="B56" sqref="B56"/>
    </sheetView>
  </sheetViews>
  <sheetFormatPr baseColWidth="10" defaultColWidth="9.140625" defaultRowHeight="12.75" x14ac:dyDescent="0.2"/>
  <cols>
    <col min="1" max="1025" width="11.5703125" style="3"/>
  </cols>
  <sheetData>
    <row r="1" spans="2:11" x14ac:dyDescent="0.2">
      <c r="H1" s="4"/>
    </row>
    <row r="2" spans="2:11" x14ac:dyDescent="0.2">
      <c r="H2" s="4" t="s">
        <v>1</v>
      </c>
    </row>
    <row r="5" spans="2:11" x14ac:dyDescent="0.2">
      <c r="B5" s="1169" t="s">
        <v>2</v>
      </c>
      <c r="C5" s="1169"/>
      <c r="D5" s="1169"/>
      <c r="E5" s="1169"/>
      <c r="F5" s="1169"/>
    </row>
    <row r="7" spans="2:11" x14ac:dyDescent="0.2">
      <c r="C7" s="5" t="s">
        <v>3</v>
      </c>
      <c r="D7" s="6"/>
      <c r="E7" s="6"/>
      <c r="F7" s="6"/>
      <c r="G7" s="5"/>
      <c r="H7" s="5"/>
      <c r="I7" s="5"/>
      <c r="J7" s="5"/>
      <c r="K7" s="5"/>
    </row>
    <row r="9" spans="2:11" x14ac:dyDescent="0.2">
      <c r="C9" s="5" t="s">
        <v>4</v>
      </c>
      <c r="D9" s="6"/>
      <c r="E9" s="6"/>
      <c r="F9" s="6"/>
      <c r="G9" s="5"/>
      <c r="H9" s="5"/>
      <c r="I9" s="7"/>
      <c r="J9" s="7"/>
      <c r="K9" s="7"/>
    </row>
    <row r="11" spans="2:11" x14ac:dyDescent="0.2">
      <c r="B11" s="1169" t="s">
        <v>5</v>
      </c>
      <c r="C11" s="1169"/>
      <c r="D11" s="1169"/>
      <c r="E11" s="1169"/>
      <c r="F11" s="1169"/>
    </row>
    <row r="13" spans="2:11" x14ac:dyDescent="0.2">
      <c r="C13" s="8" t="s">
        <v>6</v>
      </c>
      <c r="D13" s="9"/>
      <c r="E13" s="9"/>
      <c r="F13" s="9"/>
      <c r="G13" s="8"/>
      <c r="H13" s="8"/>
    </row>
    <row r="15" spans="2:11" x14ac:dyDescent="0.2">
      <c r="C15" s="8" t="s">
        <v>7</v>
      </c>
      <c r="D15" s="9"/>
      <c r="E15" s="9"/>
      <c r="F15" s="9"/>
      <c r="G15" s="9"/>
      <c r="H15" s="9"/>
      <c r="I15" s="7"/>
      <c r="J15" s="7"/>
      <c r="K15" s="7"/>
    </row>
    <row r="19" spans="2:16" x14ac:dyDescent="0.2">
      <c r="B19" s="1169" t="s">
        <v>8</v>
      </c>
      <c r="C19" s="1169"/>
      <c r="D19" s="1169"/>
      <c r="E19" s="1169"/>
      <c r="F19" s="1169"/>
    </row>
    <row r="21" spans="2:16" x14ac:dyDescent="0.2">
      <c r="C21" s="8" t="s">
        <v>9</v>
      </c>
      <c r="D21" s="9"/>
      <c r="E21" s="9"/>
      <c r="F21" s="10"/>
      <c r="G21" s="10"/>
      <c r="H21" s="10"/>
    </row>
    <row r="22" spans="2:16" x14ac:dyDescent="0.2">
      <c r="C22" s="1172"/>
      <c r="D22" s="1172"/>
      <c r="E22" s="1172"/>
      <c r="F22" s="1172"/>
      <c r="G22" s="1172"/>
      <c r="H22" s="1172"/>
      <c r="I22" s="1172"/>
      <c r="J22" s="1172"/>
      <c r="K22" s="1172"/>
    </row>
    <row r="24" spans="2:16" x14ac:dyDescent="0.2">
      <c r="B24" s="1169" t="s">
        <v>10</v>
      </c>
      <c r="C24" s="1169"/>
      <c r="D24" s="1169"/>
      <c r="E24" s="1169"/>
      <c r="F24" s="1169"/>
    </row>
    <row r="26" spans="2:16" x14ac:dyDescent="0.2">
      <c r="C26" s="5" t="s">
        <v>11</v>
      </c>
      <c r="D26" s="6"/>
      <c r="E26" s="6"/>
      <c r="F26" s="6"/>
      <c r="G26" s="6"/>
      <c r="H26" s="6"/>
      <c r="I26" s="6"/>
      <c r="J26" s="6"/>
    </row>
    <row r="27" spans="2:16" ht="12.75" customHeight="1" x14ac:dyDescent="0.2">
      <c r="C27" s="1170" t="s">
        <v>12</v>
      </c>
      <c r="D27" s="1170"/>
      <c r="E27" s="1170"/>
      <c r="F27" s="1170"/>
      <c r="G27" s="1170"/>
      <c r="H27" s="1170"/>
      <c r="I27" s="1170"/>
      <c r="J27" s="1170"/>
      <c r="K27" s="1170"/>
      <c r="L27" s="1170"/>
      <c r="M27" s="1170"/>
    </row>
    <row r="28" spans="2:16" ht="12.75" customHeight="1" x14ac:dyDescent="0.2">
      <c r="C28" s="1170"/>
      <c r="D28" s="1170"/>
      <c r="E28" s="1170"/>
      <c r="F28" s="1170"/>
      <c r="G28" s="1170"/>
      <c r="H28" s="1170"/>
      <c r="I28" s="1170"/>
      <c r="J28" s="1170"/>
      <c r="K28" s="1170"/>
      <c r="L28" s="1170"/>
      <c r="M28" s="1170"/>
    </row>
    <row r="29" spans="2:16" ht="12.75" customHeight="1" x14ac:dyDescent="0.2">
      <c r="C29" s="5" t="s">
        <v>13</v>
      </c>
      <c r="D29" s="6"/>
      <c r="E29" s="6"/>
      <c r="F29" s="6"/>
      <c r="G29" s="6"/>
      <c r="H29" s="6"/>
      <c r="I29" s="6"/>
      <c r="J29" s="6"/>
      <c r="K29" s="6"/>
      <c r="L29" s="6"/>
      <c r="M29" s="6"/>
      <c r="N29" s="10"/>
    </row>
    <row r="30" spans="2:16" ht="12.75" customHeight="1" x14ac:dyDescent="0.2"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10"/>
    </row>
    <row r="31" spans="2:16" ht="12.75" customHeight="1" x14ac:dyDescent="0.2">
      <c r="C31" s="10" t="s">
        <v>14</v>
      </c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0"/>
      <c r="O31" s="10"/>
      <c r="P31" s="10"/>
    </row>
    <row r="32" spans="2:16" ht="12.75" customHeight="1" x14ac:dyDescent="0.2">
      <c r="C32" s="12"/>
      <c r="D32" s="12"/>
      <c r="E32" s="12"/>
      <c r="F32" s="12"/>
      <c r="G32" s="12"/>
      <c r="H32" s="12"/>
      <c r="I32" s="11"/>
      <c r="J32" s="11"/>
      <c r="K32" s="11"/>
      <c r="L32" s="11"/>
      <c r="M32" s="11"/>
      <c r="N32" s="10"/>
    </row>
    <row r="33" spans="2:19" ht="12.75" customHeight="1" x14ac:dyDescent="0.2">
      <c r="C33" s="1171" t="s">
        <v>15</v>
      </c>
      <c r="D33" s="1171"/>
      <c r="E33" s="1171"/>
      <c r="F33" s="1171"/>
      <c r="G33" s="1171"/>
      <c r="H33" s="1171"/>
      <c r="I33" s="1171"/>
      <c r="J33" s="1171"/>
      <c r="K33" s="1171"/>
      <c r="L33" s="1171"/>
      <c r="M33" s="1171"/>
      <c r="N33" s="10"/>
    </row>
    <row r="34" spans="2:19" ht="12.75" customHeight="1" x14ac:dyDescent="0.2">
      <c r="C34" s="14"/>
      <c r="D34" s="14"/>
      <c r="E34" s="14"/>
      <c r="F34" s="14"/>
      <c r="G34" s="14"/>
      <c r="H34" s="14"/>
      <c r="I34" s="5"/>
      <c r="J34" s="5"/>
      <c r="K34" s="5"/>
      <c r="L34" s="5"/>
      <c r="M34" s="5"/>
      <c r="N34" s="10"/>
    </row>
    <row r="35" spans="2:19" ht="12.75" customHeight="1" x14ac:dyDescent="0.2">
      <c r="C35" s="13" t="s">
        <v>16</v>
      </c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0"/>
    </row>
    <row r="36" spans="2:19" ht="12.75" customHeight="1" x14ac:dyDescent="0.2">
      <c r="C36" s="12"/>
      <c r="D36" s="12"/>
      <c r="E36" s="12"/>
      <c r="F36" s="12"/>
      <c r="G36" s="12"/>
      <c r="H36" s="12"/>
      <c r="I36" s="11"/>
      <c r="J36" s="11"/>
      <c r="K36" s="11"/>
      <c r="L36" s="11"/>
      <c r="M36" s="11"/>
      <c r="N36" s="10"/>
    </row>
    <row r="37" spans="2:19" ht="12.75" customHeight="1" x14ac:dyDescent="0.2"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</row>
    <row r="38" spans="2:19" ht="12.75" customHeight="1" x14ac:dyDescent="0.2"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</row>
    <row r="39" spans="2:19" ht="12.75" customHeight="1" x14ac:dyDescent="0.2">
      <c r="B39" s="10" t="s">
        <v>17</v>
      </c>
      <c r="C39" s="6"/>
      <c r="D39" s="15"/>
      <c r="E39" s="15"/>
      <c r="F39" s="15"/>
      <c r="G39" s="15"/>
      <c r="H39" s="15"/>
      <c r="I39" s="15"/>
      <c r="J39" s="15"/>
      <c r="K39" s="15"/>
      <c r="L39" s="15"/>
      <c r="M39" s="15"/>
    </row>
    <row r="40" spans="2:19" x14ac:dyDescent="0.2">
      <c r="O40" s="1172"/>
      <c r="P40" s="1172"/>
      <c r="Q40" s="1172"/>
      <c r="R40" s="1172"/>
      <c r="S40" s="1172"/>
    </row>
    <row r="41" spans="2:19" x14ac:dyDescent="0.2">
      <c r="C41" s="1173" t="s">
        <v>18</v>
      </c>
      <c r="D41" s="1173"/>
      <c r="E41" s="1173"/>
      <c r="F41" s="1173"/>
    </row>
    <row r="42" spans="2:19" x14ac:dyDescent="0.2">
      <c r="C42" s="1172"/>
      <c r="D42" s="1172"/>
      <c r="E42" s="1172"/>
      <c r="F42" s="1172"/>
      <c r="G42" s="1172"/>
      <c r="H42" s="1172"/>
      <c r="I42" s="1172"/>
      <c r="J42" s="1172"/>
    </row>
    <row r="44" spans="2:19" x14ac:dyDescent="0.2">
      <c r="B44" s="1169" t="s">
        <v>19</v>
      </c>
      <c r="C44" s="1169"/>
      <c r="D44" s="1169"/>
      <c r="E44" s="1169"/>
      <c r="F44" s="1169"/>
    </row>
    <row r="46" spans="2:19" x14ac:dyDescent="0.2">
      <c r="C46" s="16" t="s">
        <v>20</v>
      </c>
      <c r="D46" s="17"/>
      <c r="E46" s="17"/>
      <c r="F46" s="17"/>
      <c r="G46" s="17"/>
      <c r="H46" s="17"/>
      <c r="I46" s="17"/>
      <c r="J46" s="17"/>
      <c r="K46" s="18"/>
      <c r="L46" s="18"/>
      <c r="M46" s="18"/>
    </row>
    <row r="50" spans="2:13" x14ac:dyDescent="0.2">
      <c r="B50" s="1169" t="s">
        <v>21</v>
      </c>
      <c r="C50" s="1169"/>
      <c r="D50" s="1169"/>
      <c r="E50" s="1169"/>
      <c r="F50" s="1169"/>
    </row>
    <row r="52" spans="2:13" x14ac:dyDescent="0.2">
      <c r="C52" s="5" t="s">
        <v>22</v>
      </c>
      <c r="D52" s="6"/>
      <c r="E52" s="6"/>
      <c r="F52" s="6"/>
      <c r="G52" s="10"/>
      <c r="H52" s="10"/>
      <c r="I52" s="10"/>
      <c r="J52" s="10"/>
      <c r="K52" s="10"/>
      <c r="L52" s="10"/>
      <c r="M52" s="10"/>
    </row>
    <row r="54" spans="2:13" x14ac:dyDescent="0.2">
      <c r="B54" s="10" t="s">
        <v>23</v>
      </c>
      <c r="C54" s="10"/>
    </row>
    <row r="56" spans="2:13" x14ac:dyDescent="0.2">
      <c r="B56" s="10" t="s">
        <v>24</v>
      </c>
    </row>
  </sheetData>
  <sheetProtection sheet="1" objects="1" scenarios="1"/>
  <mergeCells count="12">
    <mergeCell ref="B5:F5"/>
    <mergeCell ref="B11:F11"/>
    <mergeCell ref="B19:F19"/>
    <mergeCell ref="C22:K22"/>
    <mergeCell ref="B24:F24"/>
    <mergeCell ref="B44:F44"/>
    <mergeCell ref="B50:F50"/>
    <mergeCell ref="C27:M28"/>
    <mergeCell ref="C33:M33"/>
    <mergeCell ref="O40:S40"/>
    <mergeCell ref="C41:F41"/>
    <mergeCell ref="C42:J42"/>
  </mergeCells>
  <hyperlinks>
    <hyperlink ref="B5" location="'A) Resumen Ingresos y Egresos'!Área_de_impresión" display="A) Resumen Ingresos y Egresos" xr:uid="{00000000-0004-0000-0100-000000000000}"/>
    <hyperlink ref="C7" location="'A) Resumen Ingresos y Egresos'!A6" display="TABLA 1: RESUMEN DE INGRESOS Y EGRESOS DE CENTROS DE BENEFICIOS" xr:uid="{00000000-0004-0000-0100-000001000000}"/>
    <hyperlink ref="C9" location="'A) Resumen Ingresos y Egresos'!A22" display="TABLA 2: DETALLE DE INGRESOS POR PRESTACIÓN Y SEGMENTO" xr:uid="{00000000-0004-0000-0100-000002000000}"/>
    <hyperlink ref="B11" location="'B) Reajuste Tarifas y Ocupación'!A1" display="B) Reajuste Tarifas y Ocupación" xr:uid="{00000000-0004-0000-0100-000003000000}"/>
    <hyperlink ref="C13" location="'B) Reajuste Tarifas y Ocupación'!A8" display="TABLA 3: REAJUSTE DE TARIFAS POR PRESTACIÓN Y SEGMENTO" xr:uid="{00000000-0004-0000-0100-000004000000}"/>
    <hyperlink ref="C15" location="'B) Reajuste Tarifas y Ocupación'!A32" display="TABLA 4: METAS DE OCUPACIÓN POR PRESTACIÓN Y SEGMENTO" xr:uid="{00000000-0004-0000-0100-000005000000}"/>
    <hyperlink ref="B19" location="'C) Costos Directos'!Área_de_impresión" display="C) Costos Directos" xr:uid="{00000000-0004-0000-0100-000006000000}"/>
    <hyperlink ref="C21" location="'C) Costos Directos'!A8" display="TABLA 5: COSTOS DIRECTOS DE CENTROS DE BENEFICIOS" xr:uid="{00000000-0004-0000-0100-000007000000}"/>
    <hyperlink ref="B24" location="'D) Costos Indirectos'!A1" display="D) Costos Indirectos" xr:uid="{00000000-0004-0000-0100-000008000000}"/>
    <hyperlink ref="C26" location="'D) Costos Indirectos'!A9" display="TABLA 6: REMUNERACIONES DEL PERSONAL LEY 18.712 ADMINISTRACION CENTRAL Y APOYO ADMINISTRATIVO ASISTENCIA EDUCACIONAL" xr:uid="{00000000-0004-0000-0100-000009000000}"/>
    <hyperlink ref="C27" location="'D) Costos Indirectos'!M9" display="TABLA 7: DISTRIBUCION COSTOS REMUNERACIONES ADMINISTRACION CENTRAL Y APOYO ADMINISTRATIVO A. EDUCACIONAL" xr:uid="{00000000-0004-0000-0100-00000A000000}"/>
    <hyperlink ref="C29" location="'D) Costos Indirectos'!U9" display="TABLA 8: COSTOS DE OPERACION ADMINISTRACIÓN CENTRAL Y  APOYO ADMINISTRATIVO ASISTENCIA EDUCACIONAL" xr:uid="{00000000-0004-0000-0100-00000B000000}"/>
    <hyperlink ref="C31" location="'D) Costos Indirectos'!Z9" display="TABLA 9: RESUMEN DISTRIBUCION COSTOS REMUNERACIONES ADMINISTRACION CENTRAL Y APOYO ADMINISTRATIVO A. EDUCACIONAL" xr:uid="{00000000-0004-0000-0100-00000C000000}"/>
    <hyperlink ref="C33" location="'D) Costos Indirectos'!AG9" display="TABLA 10: RESUMEN DISTRIBUCION COSTOS OPERACIÓN ADMINISTRACION CENTRAL  Y APOYO ADMINISTRATIVO A. EDUCACIONAL" xr:uid="{00000000-0004-0000-0100-00000D000000}"/>
    <hyperlink ref="C35" location="'D) Costos Indirectos'!AN9" display="TABLA 11: FINANCIAMIENTO ADM. CENTRAL  Y APOYO ADMINISTRATIVO _x000a_(REMUNERACIONES + COSTO OPERACIÓN)" xr:uid="{00000000-0004-0000-0100-00000E000000}"/>
    <hyperlink ref="B39" location="'E) Resumen Tarifado '!A1" display="E) Resumen Tarifado" xr:uid="{00000000-0004-0000-0100-00000F000000}"/>
    <hyperlink ref="C41" location="'E) Resumen Tarifado '!A6" display="TABLA 12: RESUMEN DE TARIFADO" xr:uid="{00000000-0004-0000-0100-000010000000}"/>
    <hyperlink ref="B44" location="'F) Remuneraciones'!A1" display="F) Remuneraciones" xr:uid="{00000000-0004-0000-0100-000011000000}"/>
    <hyperlink ref="C46" location="'F) Remuneraciones'!B7" display="TABLA 13: REMUNERACIONES DEL PERSONAL LEY 18.712 DE CENTROS DE BENEFICIOS" xr:uid="{00000000-0004-0000-0100-000012000000}"/>
    <hyperlink ref="B50" location="'G) Comparación Mercado'!A1" display="G) Comparación Mercado" xr:uid="{00000000-0004-0000-0100-000013000000}"/>
    <hyperlink ref="C52" location="'G) Comparación Mercado'!A12" display="TABLA 14: COMPARACIÓN TARIFAS CON PRECIOS DE MERCADO" xr:uid="{00000000-0004-0000-0100-000014000000}"/>
    <hyperlink ref="B54" location="'H) Detalle Datos'!A1" display="H) Detalle Datos" xr:uid="{00000000-0004-0000-0100-000015000000}"/>
    <hyperlink ref="B56" location="'I) Proyección Mensual'!A1" display="I) Proyección Mensual" xr:uid="{00000000-0004-0000-0100-000016000000}"/>
  </hyperlink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/>
    <pageSetUpPr fitToPage="1"/>
  </sheetPr>
  <dimension ref="A1:AMK71"/>
  <sheetViews>
    <sheetView showGridLines="0" zoomScale="80" zoomScaleNormal="80" workbookViewId="0">
      <selection activeCell="J10" sqref="J10"/>
    </sheetView>
  </sheetViews>
  <sheetFormatPr baseColWidth="10" defaultColWidth="9.140625" defaultRowHeight="12.75" x14ac:dyDescent="0.2"/>
  <cols>
    <col min="1" max="1" width="38.42578125" style="19"/>
    <col min="2" max="2" width="22.140625" style="19"/>
    <col min="3" max="3" width="21.42578125" style="19"/>
    <col min="4" max="4" width="20" style="19"/>
    <col min="5" max="6" width="19.42578125" style="19"/>
    <col min="7" max="7" width="18.42578125" style="19"/>
    <col min="8" max="8" width="18.85546875" style="19"/>
    <col min="9" max="9" width="18.42578125" style="19"/>
    <col min="10" max="11" width="19.140625" style="19"/>
    <col min="12" max="12" width="17" style="19"/>
    <col min="13" max="13" width="18" style="19"/>
    <col min="14" max="14" width="17.85546875" style="19"/>
    <col min="15" max="15" width="18.85546875" style="19"/>
    <col min="16" max="16" width="16.42578125" style="19"/>
    <col min="17" max="17" width="20.42578125" style="19"/>
    <col min="18" max="18" width="16.42578125" style="19"/>
    <col min="19" max="1025" width="11.5703125" style="19"/>
    <col min="1026" max="16384" width="9.140625" style="579"/>
  </cols>
  <sheetData>
    <row r="1" spans="1:247" s="21" customFormat="1" x14ac:dyDescent="0.2">
      <c r="A1" s="20"/>
      <c r="C1" s="22"/>
      <c r="D1" s="22"/>
      <c r="E1" s="4" t="s">
        <v>25</v>
      </c>
      <c r="F1" s="4"/>
      <c r="G1" s="22"/>
      <c r="H1" s="22"/>
      <c r="IL1" s="19"/>
      <c r="IM1" s="19"/>
    </row>
    <row r="2" spans="1:247" x14ac:dyDescent="0.2">
      <c r="A2" s="23"/>
      <c r="B2" s="21"/>
      <c r="C2" s="22"/>
      <c r="D2" s="22"/>
      <c r="E2" s="4" t="s">
        <v>26</v>
      </c>
      <c r="F2" s="4"/>
      <c r="G2" s="22"/>
      <c r="H2" s="22"/>
      <c r="I2" s="21"/>
      <c r="J2" s="21"/>
      <c r="K2" s="21"/>
      <c r="L2" s="22"/>
      <c r="M2" s="22"/>
    </row>
    <row r="4" spans="1:247" ht="18.75" customHeight="1" x14ac:dyDescent="0.2">
      <c r="A4" s="24"/>
      <c r="B4" s="25"/>
      <c r="C4" s="1195" t="s">
        <v>27</v>
      </c>
      <c r="D4" s="1195"/>
      <c r="E4" s="1196" t="s">
        <v>28</v>
      </c>
      <c r="F4" s="1196"/>
      <c r="G4" s="1196"/>
      <c r="L4" s="26"/>
    </row>
    <row r="5" spans="1:247" x14ac:dyDescent="0.2">
      <c r="G5" s="27"/>
      <c r="H5" s="569"/>
      <c r="I5" s="22"/>
      <c r="J5" s="22"/>
      <c r="K5" s="22"/>
      <c r="L5" s="26"/>
    </row>
    <row r="6" spans="1:247" ht="15.75" x14ac:dyDescent="0.2">
      <c r="A6" s="1197" t="s">
        <v>3</v>
      </c>
      <c r="B6" s="1197"/>
      <c r="C6" s="1197"/>
      <c r="D6" s="1197"/>
      <c r="G6" s="27"/>
      <c r="H6" s="569"/>
      <c r="I6" s="22"/>
      <c r="J6" s="22"/>
      <c r="K6" s="22"/>
      <c r="L6" s="26"/>
    </row>
    <row r="7" spans="1:247" x14ac:dyDescent="0.2">
      <c r="B7" s="22"/>
      <c r="C7" s="22"/>
      <c r="E7" s="30"/>
      <c r="F7" s="22"/>
      <c r="G7" s="22"/>
      <c r="H7" s="22"/>
      <c r="I7" s="22"/>
      <c r="M7" s="31"/>
    </row>
    <row r="8" spans="1:247" ht="39" customHeight="1" x14ac:dyDescent="0.2">
      <c r="A8" s="32" t="s">
        <v>29</v>
      </c>
      <c r="B8" s="33" t="str">
        <f>+N24</f>
        <v>Ingreso por Matrícula</v>
      </c>
      <c r="C8" s="34" t="str">
        <f>+O24</f>
        <v>Ingreso por Mensualidad</v>
      </c>
      <c r="D8" s="34" t="s">
        <v>30</v>
      </c>
      <c r="E8" s="35" t="s">
        <v>31</v>
      </c>
      <c r="F8" s="36" t="s">
        <v>32</v>
      </c>
      <c r="G8" s="37" t="s">
        <v>33</v>
      </c>
      <c r="H8" s="36" t="s">
        <v>34</v>
      </c>
      <c r="I8" s="38" t="s">
        <v>35</v>
      </c>
      <c r="L8" s="38" t="s">
        <v>36</v>
      </c>
      <c r="N8" s="39"/>
    </row>
    <row r="9" spans="1:247" x14ac:dyDescent="0.2">
      <c r="A9" s="40" t="str">
        <f>+'B) Reajuste Tarifas y Ocupación'!A12</f>
        <v>Jardín Infantil Lobito Marino</v>
      </c>
      <c r="B9" s="41">
        <f>+N32</f>
        <v>18523700</v>
      </c>
      <c r="C9" s="42">
        <f>+O32</f>
        <v>185237000</v>
      </c>
      <c r="D9" s="41">
        <f>+P32</f>
        <v>1641600</v>
      </c>
      <c r="E9" s="43">
        <f>+B9+D9+C9</f>
        <v>205402300</v>
      </c>
      <c r="F9" s="44">
        <f>+'C) Costos Directos'!H75</f>
        <v>219442861.10867691</v>
      </c>
      <c r="G9" s="45">
        <f>+IFERROR('D) Costos Indirectos'!$AP$15*(F9/$F$17),0)</f>
        <v>23820624.638953183</v>
      </c>
      <c r="H9" s="46">
        <f>+F9+G9</f>
        <v>243263485.74763009</v>
      </c>
      <c r="I9" s="47">
        <f>E9-H9</f>
        <v>-37861185.74763009</v>
      </c>
      <c r="J9" s="48"/>
      <c r="L9" s="49">
        <f t="shared" ref="L9:L16" si="0">+IFERROR(G9/$G$17,0)</f>
        <v>0.25575012686715698</v>
      </c>
      <c r="N9" s="50"/>
    </row>
    <row r="10" spans="1:247" x14ac:dyDescent="0.2">
      <c r="A10" s="40" t="str">
        <f>+'B) Reajuste Tarifas y Ocupación'!A14</f>
        <v>Jardín Infantil Los Delfines</v>
      </c>
      <c r="B10" s="41">
        <f>+N39</f>
        <v>18552000</v>
      </c>
      <c r="C10" s="42">
        <f>+O39</f>
        <v>185520000</v>
      </c>
      <c r="D10" s="41">
        <f>+P39</f>
        <v>1641600</v>
      </c>
      <c r="E10" s="43">
        <f>+B10+D10+C10</f>
        <v>205713600</v>
      </c>
      <c r="F10" s="51">
        <f>+'C) Costos Directos'!H141</f>
        <v>214924954.09999996</v>
      </c>
      <c r="G10" s="45">
        <f>+IFERROR('D) Costos Indirectos'!$AP$15*(F10/$F$17),0)</f>
        <v>23330203.73182651</v>
      </c>
      <c r="H10" s="46">
        <f>+F10+G10</f>
        <v>238255157.83182648</v>
      </c>
      <c r="I10" s="47">
        <f>E10-H10</f>
        <v>-32541557.831826478</v>
      </c>
      <c r="J10" s="48"/>
      <c r="L10" s="49">
        <f t="shared" si="0"/>
        <v>0.25048472299479807</v>
      </c>
      <c r="N10" s="50"/>
      <c r="O10" s="52"/>
    </row>
    <row r="11" spans="1:247" x14ac:dyDescent="0.2">
      <c r="A11" s="40" t="str">
        <f>+'B) Reajuste Tarifas y Ocupación'!A16</f>
        <v>Jardín Infantil Pecesitos de Colores</v>
      </c>
      <c r="B11" s="41">
        <f>+N43</f>
        <v>962200</v>
      </c>
      <c r="C11" s="41">
        <f>+O43</f>
        <v>9622000</v>
      </c>
      <c r="D11" s="41">
        <f>+P43</f>
        <v>0</v>
      </c>
      <c r="E11" s="43">
        <f>+B11+D11+C11</f>
        <v>10584200</v>
      </c>
      <c r="F11" s="51">
        <f>+'C) Costos Directos'!H207</f>
        <v>23244846.649999999</v>
      </c>
      <c r="G11" s="45">
        <f>+IFERROR('D) Costos Indirectos'!$AP$15*(F11/$F$17),0)</f>
        <v>2523238.915325026</v>
      </c>
      <c r="H11" s="46">
        <f>+F11+G11</f>
        <v>25768085.565325025</v>
      </c>
      <c r="I11" s="47">
        <f>E11-H11</f>
        <v>-15183885.565325025</v>
      </c>
      <c r="J11" s="48"/>
      <c r="L11" s="49">
        <f t="shared" si="0"/>
        <v>2.7090753600778877E-2</v>
      </c>
      <c r="N11" s="50"/>
      <c r="O11" s="52"/>
    </row>
    <row r="12" spans="1:247" x14ac:dyDescent="0.2">
      <c r="A12" s="40" t="str">
        <f>+'B) Reajuste Tarifas y Ocupación'!A17</f>
        <v>Jardín Infantil Caracolito de Mar</v>
      </c>
      <c r="B12" s="53"/>
      <c r="C12" s="54"/>
      <c r="D12" s="53"/>
      <c r="E12" s="55"/>
      <c r="F12" s="56"/>
      <c r="G12" s="57"/>
      <c r="H12" s="57"/>
      <c r="I12" s="58"/>
      <c r="J12" s="48"/>
      <c r="L12" s="49">
        <f t="shared" si="0"/>
        <v>0</v>
      </c>
      <c r="N12" s="59"/>
      <c r="O12" s="52"/>
    </row>
    <row r="13" spans="1:247" x14ac:dyDescent="0.2">
      <c r="A13" s="40" t="s">
        <v>37</v>
      </c>
      <c r="B13" s="41">
        <f>+N53+N59</f>
        <v>0</v>
      </c>
      <c r="C13" s="41">
        <f>+O53+O59</f>
        <v>141739200</v>
      </c>
      <c r="D13" s="41">
        <f>+P53+P59</f>
        <v>0</v>
      </c>
      <c r="E13" s="43">
        <f>+B13+D13+C13</f>
        <v>141739200</v>
      </c>
      <c r="F13" s="51">
        <f>+'C) Costos Directos'!H339</f>
        <v>112324222.08</v>
      </c>
      <c r="G13" s="45">
        <f>+IFERROR('D) Costos Indirectos'!$AP$15*(F13/$F$17),0)</f>
        <v>12192846.550177887</v>
      </c>
      <c r="H13" s="46">
        <f>+F13+G13</f>
        <v>124517068.63017789</v>
      </c>
      <c r="I13" s="47">
        <f>E13-H13</f>
        <v>17222131.369822115</v>
      </c>
      <c r="J13" s="48"/>
      <c r="L13" s="49">
        <f t="shared" si="0"/>
        <v>0.13090849208800637</v>
      </c>
      <c r="N13" s="59"/>
      <c r="O13" s="52"/>
    </row>
    <row r="14" spans="1:247" x14ac:dyDescent="0.2">
      <c r="A14" s="40" t="s">
        <v>38</v>
      </c>
      <c r="B14" s="53"/>
      <c r="C14" s="54"/>
      <c r="D14" s="53"/>
      <c r="E14" s="55"/>
      <c r="F14" s="56"/>
      <c r="G14" s="57"/>
      <c r="H14" s="57"/>
      <c r="I14" s="58"/>
      <c r="J14" s="48"/>
      <c r="L14" s="49">
        <f t="shared" si="0"/>
        <v>0</v>
      </c>
      <c r="N14" s="59"/>
      <c r="O14" s="52"/>
    </row>
    <row r="15" spans="1:247" x14ac:dyDescent="0.2">
      <c r="A15" s="40" t="s">
        <v>39</v>
      </c>
      <c r="B15" s="60">
        <f>+N63+N69</f>
        <v>0</v>
      </c>
      <c r="C15" s="60">
        <f>+O63+O69</f>
        <v>291816000</v>
      </c>
      <c r="D15" s="60">
        <f>+P63+P69</f>
        <v>0</v>
      </c>
      <c r="E15" s="61">
        <f>+B15+D15+C15</f>
        <v>291816000</v>
      </c>
      <c r="F15" s="51">
        <f>+'C) Costos Directos'!H471</f>
        <v>214825575.25799996</v>
      </c>
      <c r="G15" s="45">
        <f>+IFERROR('D) Costos Indirectos'!$AP$15*(F15/$F$17),0)</f>
        <v>23319416.112305071</v>
      </c>
      <c r="H15" s="46">
        <f>+F15+G15</f>
        <v>238144991.37030503</v>
      </c>
      <c r="I15" s="47">
        <f>E15-H15</f>
        <v>53671008.629694968</v>
      </c>
      <c r="J15" s="48"/>
      <c r="L15" s="49">
        <f t="shared" si="0"/>
        <v>0.2503689017221396</v>
      </c>
      <c r="N15" s="59"/>
      <c r="O15" s="52"/>
    </row>
    <row r="16" spans="1:247" x14ac:dyDescent="0.2">
      <c r="A16" s="40" t="s">
        <v>40</v>
      </c>
      <c r="B16" s="60">
        <f>+N66</f>
        <v>0</v>
      </c>
      <c r="C16" s="60">
        <f>+O66</f>
        <v>67248000</v>
      </c>
      <c r="D16" s="60">
        <f>+P66</f>
        <v>0</v>
      </c>
      <c r="E16" s="62">
        <f>+B16+D16+C16</f>
        <v>67248000</v>
      </c>
      <c r="F16" s="51">
        <f>+'C) Costos Directos'!H537</f>
        <v>73273717.741999984</v>
      </c>
      <c r="G16" s="45">
        <f>+IFERROR('D) Costos Indirectos'!$AP$15*(F16/$F$17),0)</f>
        <v>7953896.1414123233</v>
      </c>
      <c r="H16" s="63">
        <f>+F16+G16</f>
        <v>81227613.883412302</v>
      </c>
      <c r="I16" s="64">
        <f>E16-H16</f>
        <v>-13979613.883412302</v>
      </c>
      <c r="J16" s="48"/>
      <c r="L16" s="49">
        <f t="shared" si="0"/>
        <v>8.5397002727120225E-2</v>
      </c>
      <c r="N16" s="59"/>
      <c r="O16" s="52"/>
    </row>
    <row r="17" spans="1:247" s="21" customFormat="1" ht="15" x14ac:dyDescent="0.2">
      <c r="A17" s="65" t="s">
        <v>41</v>
      </c>
      <c r="B17" s="66">
        <f t="shared" ref="B17:D17" si="1">SUM(B9:B16)</f>
        <v>38037900</v>
      </c>
      <c r="C17" s="66">
        <f t="shared" si="1"/>
        <v>881182200</v>
      </c>
      <c r="D17" s="66">
        <f t="shared" si="1"/>
        <v>3283200</v>
      </c>
      <c r="E17" s="67">
        <f>SUM(E9:E16)</f>
        <v>922503300</v>
      </c>
      <c r="F17" s="66">
        <f>SUM(F9:F16)</f>
        <v>858036176.93867671</v>
      </c>
      <c r="G17" s="66">
        <f>SUM(G9:G16)</f>
        <v>93140226.089999989</v>
      </c>
      <c r="H17" s="66">
        <f>SUM(H9:H16)</f>
        <v>951176403.02867675</v>
      </c>
      <c r="I17" s="66">
        <f>SUM(I9:I16)</f>
        <v>-28673103.028676808</v>
      </c>
      <c r="J17" s="68"/>
      <c r="L17" s="69">
        <f>SUM(L9:L16)</f>
        <v>1.0000000000000002</v>
      </c>
      <c r="N17" s="31"/>
      <c r="O17" s="52"/>
      <c r="IB17" s="19"/>
      <c r="IC17" s="19"/>
      <c r="ID17" s="19"/>
      <c r="IE17" s="19"/>
      <c r="IF17" s="19"/>
      <c r="IG17" s="19"/>
      <c r="IH17" s="19"/>
    </row>
    <row r="18" spans="1:247" ht="15.75" customHeight="1" x14ac:dyDescent="0.2">
      <c r="A18" s="70"/>
      <c r="B18" s="70"/>
      <c r="C18" s="48"/>
      <c r="D18" s="48"/>
      <c r="F18" s="48"/>
      <c r="G18" s="48"/>
      <c r="H18" s="48"/>
      <c r="I18" s="48"/>
      <c r="J18" s="48"/>
      <c r="K18" s="48"/>
      <c r="L18" s="48"/>
      <c r="M18" s="48"/>
      <c r="N18" s="48"/>
    </row>
    <row r="19" spans="1:247" ht="15.75" customHeight="1" x14ac:dyDescent="0.2">
      <c r="A19" s="70"/>
      <c r="B19" s="70"/>
      <c r="C19" s="70"/>
      <c r="D19" s="48"/>
      <c r="F19" s="48"/>
      <c r="G19" s="48"/>
      <c r="H19" s="48"/>
      <c r="I19" s="48"/>
      <c r="J19" s="48"/>
      <c r="K19" s="48"/>
      <c r="L19" s="48"/>
      <c r="M19" s="48"/>
      <c r="N19" s="48"/>
      <c r="O19" s="68"/>
    </row>
    <row r="20" spans="1:247" ht="15.75" customHeight="1" x14ac:dyDescent="0.2">
      <c r="A20" s="70"/>
      <c r="B20" s="70"/>
      <c r="C20" s="70"/>
      <c r="D20" s="48"/>
      <c r="F20" s="48"/>
      <c r="G20" s="48"/>
      <c r="H20" s="48"/>
      <c r="I20" s="48"/>
      <c r="J20" s="48"/>
      <c r="K20" s="48"/>
      <c r="L20" s="48"/>
      <c r="M20" s="48"/>
      <c r="N20" s="48"/>
    </row>
    <row r="21" spans="1:247" ht="15.75" customHeight="1" x14ac:dyDescent="0.2">
      <c r="A21" s="70"/>
      <c r="B21" s="70"/>
      <c r="C21" s="70"/>
      <c r="D21" s="48"/>
      <c r="F21" s="48"/>
      <c r="G21" s="48"/>
      <c r="H21" s="48"/>
      <c r="I21" s="48"/>
      <c r="J21" s="48"/>
      <c r="K21" s="48"/>
      <c r="L21" s="48"/>
      <c r="M21" s="48"/>
      <c r="N21" s="48"/>
    </row>
    <row r="22" spans="1:247" ht="15.75" customHeight="1" x14ac:dyDescent="0.2">
      <c r="A22" s="1197" t="s">
        <v>4</v>
      </c>
      <c r="B22" s="1197"/>
      <c r="C22" s="1197"/>
      <c r="D22" s="1197"/>
      <c r="F22" s="48"/>
      <c r="G22" s="48"/>
      <c r="H22" s="48"/>
      <c r="I22" s="48"/>
      <c r="J22" s="48"/>
      <c r="K22" s="48"/>
      <c r="L22" s="48"/>
      <c r="M22" s="48"/>
      <c r="N22" s="48"/>
    </row>
    <row r="23" spans="1:247" s="21" customFormat="1" x14ac:dyDescent="0.2">
      <c r="B23" s="22"/>
      <c r="C23" s="22"/>
      <c r="D23" s="22"/>
      <c r="E23" s="22"/>
      <c r="F23" s="22"/>
      <c r="G23" s="22"/>
      <c r="H23" s="22"/>
      <c r="I23" s="71"/>
      <c r="J23" s="71"/>
      <c r="K23" s="71"/>
      <c r="L23" s="26"/>
      <c r="M23" s="26"/>
      <c r="O23" s="72"/>
      <c r="P23" s="72"/>
      <c r="IL23" s="19"/>
      <c r="IM23" s="19"/>
    </row>
    <row r="24" spans="1:247" s="73" customFormat="1" ht="15.75" customHeight="1" x14ac:dyDescent="0.2">
      <c r="A24" s="1198" t="s">
        <v>29</v>
      </c>
      <c r="B24" s="1199" t="s">
        <v>42</v>
      </c>
      <c r="C24" s="1200" t="s">
        <v>43</v>
      </c>
      <c r="D24" s="1201" t="s">
        <v>333</v>
      </c>
      <c r="E24" s="1201"/>
      <c r="F24" s="1201"/>
      <c r="G24" s="1201"/>
      <c r="H24" s="1201"/>
      <c r="I24" s="1190" t="s">
        <v>334</v>
      </c>
      <c r="J24" s="1190"/>
      <c r="K24" s="1190"/>
      <c r="L24" s="1190"/>
      <c r="M24" s="1190"/>
      <c r="N24" s="1191" t="s">
        <v>45</v>
      </c>
      <c r="O24" s="1192" t="s">
        <v>46</v>
      </c>
      <c r="P24" s="1193" t="s">
        <v>30</v>
      </c>
      <c r="Q24" s="1194" t="s">
        <v>47</v>
      </c>
    </row>
    <row r="25" spans="1:247" ht="39" thickBot="1" x14ac:dyDescent="0.25">
      <c r="A25" s="1198"/>
      <c r="B25" s="1199"/>
      <c r="C25" s="1200"/>
      <c r="D25" s="74" t="s">
        <v>48</v>
      </c>
      <c r="E25" s="75" t="s">
        <v>49</v>
      </c>
      <c r="F25" s="75" t="s">
        <v>50</v>
      </c>
      <c r="G25" s="75" t="s">
        <v>51</v>
      </c>
      <c r="H25" s="76" t="s">
        <v>52</v>
      </c>
      <c r="I25" s="74" t="s">
        <v>48</v>
      </c>
      <c r="J25" s="75" t="s">
        <v>49</v>
      </c>
      <c r="K25" s="75" t="s">
        <v>50</v>
      </c>
      <c r="L25" s="75" t="s">
        <v>51</v>
      </c>
      <c r="M25" s="77" t="s">
        <v>52</v>
      </c>
      <c r="N25" s="1191"/>
      <c r="O25" s="1192"/>
      <c r="P25" s="1193"/>
      <c r="Q25" s="1194"/>
    </row>
    <row r="26" spans="1:247" ht="12.75" customHeight="1" thickBot="1" x14ac:dyDescent="0.25">
      <c r="A26" s="1188" t="str">
        <f>+'B) Reajuste Tarifas y Ocupación'!A12</f>
        <v>Jardín Infantil Lobito Marino</v>
      </c>
      <c r="B26" s="1189" t="str">
        <f>+'B) Reajuste Tarifas y Ocupación'!B12</f>
        <v>Media jornada</v>
      </c>
      <c r="C26" s="78" t="s">
        <v>335</v>
      </c>
      <c r="D26" s="79">
        <f t="shared" ref="D26:H27" si="2">+I26</f>
        <v>94700</v>
      </c>
      <c r="E26" s="80">
        <f t="shared" si="2"/>
        <v>127900</v>
      </c>
      <c r="F26" s="80">
        <f t="shared" si="2"/>
        <v>132600</v>
      </c>
      <c r="G26" s="80">
        <f t="shared" si="2"/>
        <v>126900</v>
      </c>
      <c r="H26" s="82">
        <f t="shared" si="2"/>
        <v>186700</v>
      </c>
      <c r="I26" s="544">
        <f>+'B) Reajuste Tarifas y Ocupación'!M12</f>
        <v>94700</v>
      </c>
      <c r="J26" s="80">
        <f>+'B) Reajuste Tarifas y Ocupación'!N12</f>
        <v>127900</v>
      </c>
      <c r="K26" s="80">
        <f>+'B) Reajuste Tarifas y Ocupación'!O12</f>
        <v>132600</v>
      </c>
      <c r="L26" s="80">
        <f>+'B) Reajuste Tarifas y Ocupación'!P12</f>
        <v>126900</v>
      </c>
      <c r="M26" s="82">
        <f>+'B) Reajuste Tarifas y Ocupación'!Q12</f>
        <v>186700</v>
      </c>
      <c r="N26" s="83"/>
      <c r="O26" s="84"/>
      <c r="P26" s="85">
        <f>+'B) Reajuste Tarifas y Ocupación'!C12</f>
        <v>83800</v>
      </c>
      <c r="Q26" s="1177"/>
    </row>
    <row r="27" spans="1:247" ht="13.5" thickBot="1" x14ac:dyDescent="0.25">
      <c r="A27" s="1188"/>
      <c r="B27" s="1189"/>
      <c r="C27" s="86" t="s">
        <v>53</v>
      </c>
      <c r="D27" s="87">
        <f t="shared" si="2"/>
        <v>29</v>
      </c>
      <c r="E27" s="88">
        <f t="shared" si="2"/>
        <v>1</v>
      </c>
      <c r="F27" s="88">
        <f t="shared" si="2"/>
        <v>0</v>
      </c>
      <c r="G27" s="88">
        <f t="shared" si="2"/>
        <v>2</v>
      </c>
      <c r="H27" s="89">
        <f t="shared" si="2"/>
        <v>1</v>
      </c>
      <c r="I27" s="545">
        <f>+'B) Reajuste Tarifas y Ocupación'!C36</f>
        <v>29</v>
      </c>
      <c r="J27" s="88">
        <f>+'B) Reajuste Tarifas y Ocupación'!D36</f>
        <v>1</v>
      </c>
      <c r="K27" s="88">
        <f>+'B) Reajuste Tarifas y Ocupación'!E36</f>
        <v>0</v>
      </c>
      <c r="L27" s="88">
        <f>+'B) Reajuste Tarifas y Ocupación'!F36</f>
        <v>2</v>
      </c>
      <c r="M27" s="89">
        <f>+'B) Reajuste Tarifas y Ocupación'!G36</f>
        <v>1</v>
      </c>
      <c r="N27" s="90"/>
      <c r="O27" s="91"/>
      <c r="P27" s="92"/>
      <c r="Q27" s="1177"/>
    </row>
    <row r="28" spans="1:247" ht="13.5" thickBot="1" x14ac:dyDescent="0.25">
      <c r="A28" s="1188"/>
      <c r="B28" s="1189"/>
      <c r="C28" s="93" t="s">
        <v>54</v>
      </c>
      <c r="D28" s="94">
        <f>D27*D26</f>
        <v>2746300</v>
      </c>
      <c r="E28" s="95">
        <f>E27*E26</f>
        <v>127900</v>
      </c>
      <c r="F28" s="95">
        <f>F27*F26</f>
        <v>0</v>
      </c>
      <c r="G28" s="95">
        <f>G27*G26</f>
        <v>253800</v>
      </c>
      <c r="H28" s="96">
        <f>H27*H26</f>
        <v>186700</v>
      </c>
      <c r="I28" s="546">
        <f>I27*I26*10</f>
        <v>27463000</v>
      </c>
      <c r="J28" s="95">
        <f>J27*J26*10</f>
        <v>1279000</v>
      </c>
      <c r="K28" s="95">
        <f>K27*K26*10</f>
        <v>0</v>
      </c>
      <c r="L28" s="95">
        <f>L27*L26*10</f>
        <v>2538000</v>
      </c>
      <c r="M28" s="96">
        <f>M27*M26*10</f>
        <v>1867000</v>
      </c>
      <c r="N28" s="97">
        <f>SUM(D28:H28)</f>
        <v>3314700</v>
      </c>
      <c r="O28" s="98">
        <f>SUM(I28:M28)</f>
        <v>33147000</v>
      </c>
      <c r="P28" s="95">
        <f>P27*P26</f>
        <v>0</v>
      </c>
      <c r="Q28" s="99">
        <f>N28+O28+P28</f>
        <v>36461700</v>
      </c>
    </row>
    <row r="29" spans="1:247" ht="13.5" thickBot="1" x14ac:dyDescent="0.25">
      <c r="A29" s="1188"/>
      <c r="B29" s="1178" t="str">
        <f>+'B) Reajuste Tarifas y Ocupación'!B13</f>
        <v>Jornada completa</v>
      </c>
      <c r="C29" s="86" t="s">
        <v>335</v>
      </c>
      <c r="D29" s="100">
        <f t="shared" ref="D29:H30" si="3">+I29</f>
        <v>154600</v>
      </c>
      <c r="E29" s="101">
        <f t="shared" si="3"/>
        <v>208700</v>
      </c>
      <c r="F29" s="101">
        <f t="shared" si="3"/>
        <v>216500</v>
      </c>
      <c r="G29" s="101">
        <f t="shared" si="3"/>
        <v>261000</v>
      </c>
      <c r="H29" s="102">
        <f t="shared" si="3"/>
        <v>389200</v>
      </c>
      <c r="I29" s="547">
        <f>+'B) Reajuste Tarifas y Ocupación'!M13</f>
        <v>154600</v>
      </c>
      <c r="J29" s="101">
        <f>+'B) Reajuste Tarifas y Ocupación'!N13</f>
        <v>208700</v>
      </c>
      <c r="K29" s="101">
        <f>+'B) Reajuste Tarifas y Ocupación'!O13</f>
        <v>216500</v>
      </c>
      <c r="L29" s="101">
        <f>+'B) Reajuste Tarifas y Ocupación'!P13</f>
        <v>261000</v>
      </c>
      <c r="M29" s="102">
        <f>+'B) Reajuste Tarifas y Ocupación'!Q13</f>
        <v>389200</v>
      </c>
      <c r="N29" s="90"/>
      <c r="O29" s="91"/>
      <c r="P29" s="103">
        <f>+'B) Reajuste Tarifas y Ocupación'!C13</f>
        <v>136800</v>
      </c>
      <c r="Q29" s="1179"/>
    </row>
    <row r="30" spans="1:247" ht="13.5" thickBot="1" x14ac:dyDescent="0.25">
      <c r="A30" s="1188"/>
      <c r="B30" s="1178"/>
      <c r="C30" s="86" t="s">
        <v>53</v>
      </c>
      <c r="D30" s="87">
        <f t="shared" si="3"/>
        <v>95</v>
      </c>
      <c r="E30" s="88">
        <f t="shared" si="3"/>
        <v>0</v>
      </c>
      <c r="F30" s="88">
        <f t="shared" si="3"/>
        <v>0</v>
      </c>
      <c r="G30" s="88">
        <f t="shared" si="3"/>
        <v>2</v>
      </c>
      <c r="H30" s="89">
        <f t="shared" si="3"/>
        <v>0</v>
      </c>
      <c r="I30" s="545">
        <f>+'B) Reajuste Tarifas y Ocupación'!C37</f>
        <v>95</v>
      </c>
      <c r="J30" s="88">
        <f>+'B) Reajuste Tarifas y Ocupación'!D37</f>
        <v>0</v>
      </c>
      <c r="K30" s="88">
        <f>+'B) Reajuste Tarifas y Ocupación'!E37</f>
        <v>0</v>
      </c>
      <c r="L30" s="88">
        <f>+'B) Reajuste Tarifas y Ocupación'!F37</f>
        <v>2</v>
      </c>
      <c r="M30" s="89">
        <f>+'B) Reajuste Tarifas y Ocupación'!G37</f>
        <v>0</v>
      </c>
      <c r="N30" s="90"/>
      <c r="O30" s="91"/>
      <c r="P30" s="92">
        <v>12</v>
      </c>
      <c r="Q30" s="1179"/>
    </row>
    <row r="31" spans="1:247" ht="13.5" thickBot="1" x14ac:dyDescent="0.25">
      <c r="A31" s="1188"/>
      <c r="B31" s="1178"/>
      <c r="C31" s="93" t="s">
        <v>54</v>
      </c>
      <c r="D31" s="94">
        <f>D30*D29</f>
        <v>14687000</v>
      </c>
      <c r="E31" s="95">
        <f>E30*E29</f>
        <v>0</v>
      </c>
      <c r="F31" s="95">
        <f>F30*F29</f>
        <v>0</v>
      </c>
      <c r="G31" s="95">
        <f>G30*G29</f>
        <v>522000</v>
      </c>
      <c r="H31" s="96">
        <f>H30*H29</f>
        <v>0</v>
      </c>
      <c r="I31" s="546">
        <f>I30*I29*10</f>
        <v>146870000</v>
      </c>
      <c r="J31" s="95">
        <f>J30*J29*10</f>
        <v>0</v>
      </c>
      <c r="K31" s="95">
        <f>K30*K29*10</f>
        <v>0</v>
      </c>
      <c r="L31" s="95">
        <f>L30*L29*10</f>
        <v>5220000</v>
      </c>
      <c r="M31" s="96">
        <f>M30*M29*10</f>
        <v>0</v>
      </c>
      <c r="N31" s="97">
        <f>SUM(D31:H31)</f>
        <v>15209000</v>
      </c>
      <c r="O31" s="98">
        <f>SUM(I31:M31)</f>
        <v>152090000</v>
      </c>
      <c r="P31" s="95">
        <f>P30*P29</f>
        <v>1641600</v>
      </c>
      <c r="Q31" s="99">
        <f>N31+O31+P31</f>
        <v>168940600</v>
      </c>
    </row>
    <row r="32" spans="1:247" ht="15" x14ac:dyDescent="0.2">
      <c r="A32" s="1188"/>
      <c r="B32" s="1185" t="s">
        <v>55</v>
      </c>
      <c r="C32" s="1185"/>
      <c r="D32" s="104">
        <f t="shared" ref="D32:Q32" si="4">+D28+D31</f>
        <v>17433300</v>
      </c>
      <c r="E32" s="105">
        <f t="shared" si="4"/>
        <v>127900</v>
      </c>
      <c r="F32" s="105">
        <f t="shared" si="4"/>
        <v>0</v>
      </c>
      <c r="G32" s="105">
        <f t="shared" si="4"/>
        <v>775800</v>
      </c>
      <c r="H32" s="106">
        <f t="shared" si="4"/>
        <v>186700</v>
      </c>
      <c r="I32" s="107">
        <f t="shared" si="4"/>
        <v>174333000</v>
      </c>
      <c r="J32" s="105">
        <f t="shared" si="4"/>
        <v>1279000</v>
      </c>
      <c r="K32" s="105">
        <f t="shared" si="4"/>
        <v>0</v>
      </c>
      <c r="L32" s="105">
        <f t="shared" si="4"/>
        <v>7758000</v>
      </c>
      <c r="M32" s="106">
        <f t="shared" si="4"/>
        <v>1867000</v>
      </c>
      <c r="N32" s="107">
        <f t="shared" si="4"/>
        <v>18523700</v>
      </c>
      <c r="O32" s="105">
        <f t="shared" si="4"/>
        <v>185237000</v>
      </c>
      <c r="P32" s="105">
        <f t="shared" si="4"/>
        <v>1641600</v>
      </c>
      <c r="Q32" s="106">
        <f t="shared" si="4"/>
        <v>205402300</v>
      </c>
    </row>
    <row r="33" spans="1:17" x14ac:dyDescent="0.2">
      <c r="A33" s="1184" t="str">
        <f>+'B) Reajuste Tarifas y Ocupación'!A14</f>
        <v>Jardín Infantil Los Delfines</v>
      </c>
      <c r="B33" s="1178" t="str">
        <f>+'B) Reajuste Tarifas y Ocupación'!B14</f>
        <v>Media jornada</v>
      </c>
      <c r="C33" s="86" t="s">
        <v>335</v>
      </c>
      <c r="D33" s="100">
        <f t="shared" ref="D33:H34" si="5">+I33</f>
        <v>94700</v>
      </c>
      <c r="E33" s="101">
        <f t="shared" si="5"/>
        <v>127900</v>
      </c>
      <c r="F33" s="101">
        <f t="shared" si="5"/>
        <v>132600</v>
      </c>
      <c r="G33" s="101">
        <f t="shared" si="5"/>
        <v>126900</v>
      </c>
      <c r="H33" s="102">
        <f t="shared" si="5"/>
        <v>186700</v>
      </c>
      <c r="I33" s="547">
        <f>+'B) Reajuste Tarifas y Ocupación'!M14</f>
        <v>94700</v>
      </c>
      <c r="J33" s="101">
        <f>+'B) Reajuste Tarifas y Ocupación'!N14</f>
        <v>127900</v>
      </c>
      <c r="K33" s="101">
        <f>+'B) Reajuste Tarifas y Ocupación'!O14</f>
        <v>132600</v>
      </c>
      <c r="L33" s="101">
        <f>+'B) Reajuste Tarifas y Ocupación'!P14</f>
        <v>126900</v>
      </c>
      <c r="M33" s="102">
        <f>+'B) Reajuste Tarifas y Ocupación'!Q14</f>
        <v>186700</v>
      </c>
      <c r="N33" s="90"/>
      <c r="O33" s="91"/>
      <c r="P33" s="103">
        <f>+'B) Reajuste Tarifas y Ocupación'!C14</f>
        <v>83800</v>
      </c>
      <c r="Q33" s="1179"/>
    </row>
    <row r="34" spans="1:17" x14ac:dyDescent="0.2">
      <c r="A34" s="1184"/>
      <c r="B34" s="1178"/>
      <c r="C34" s="86" t="s">
        <v>53</v>
      </c>
      <c r="D34" s="87">
        <f t="shared" si="5"/>
        <v>0</v>
      </c>
      <c r="E34" s="88">
        <f t="shared" si="5"/>
        <v>0</v>
      </c>
      <c r="F34" s="88">
        <f t="shared" si="5"/>
        <v>0</v>
      </c>
      <c r="G34" s="88">
        <f t="shared" si="5"/>
        <v>0</v>
      </c>
      <c r="H34" s="89">
        <f t="shared" si="5"/>
        <v>0</v>
      </c>
      <c r="I34" s="545">
        <f>+'B) Reajuste Tarifas y Ocupación'!C38</f>
        <v>0</v>
      </c>
      <c r="J34" s="88">
        <f>+'B) Reajuste Tarifas y Ocupación'!D38</f>
        <v>0</v>
      </c>
      <c r="K34" s="88">
        <f>+'B) Reajuste Tarifas y Ocupación'!E38</f>
        <v>0</v>
      </c>
      <c r="L34" s="88">
        <f>+'B) Reajuste Tarifas y Ocupación'!F38</f>
        <v>0</v>
      </c>
      <c r="M34" s="89">
        <f>+'B) Reajuste Tarifas y Ocupación'!G38</f>
        <v>0</v>
      </c>
      <c r="N34" s="90"/>
      <c r="O34" s="91"/>
      <c r="P34" s="580">
        <v>0</v>
      </c>
      <c r="Q34" s="1179"/>
    </row>
    <row r="35" spans="1:17" x14ac:dyDescent="0.2">
      <c r="A35" s="1184"/>
      <c r="B35" s="1178"/>
      <c r="C35" s="93" t="s">
        <v>54</v>
      </c>
      <c r="D35" s="94">
        <f>D34*D33</f>
        <v>0</v>
      </c>
      <c r="E35" s="95">
        <f>E34*E33</f>
        <v>0</v>
      </c>
      <c r="F35" s="95">
        <f>F34*F33</f>
        <v>0</v>
      </c>
      <c r="G35" s="95">
        <f>G34*G33</f>
        <v>0</v>
      </c>
      <c r="H35" s="96">
        <f>H34*H33</f>
        <v>0</v>
      </c>
      <c r="I35" s="546">
        <f>I34*I33*10</f>
        <v>0</v>
      </c>
      <c r="J35" s="95">
        <f>J34*J33*10</f>
        <v>0</v>
      </c>
      <c r="K35" s="95">
        <f>K34*K33*10</f>
        <v>0</v>
      </c>
      <c r="L35" s="95">
        <f>L34*L33*10</f>
        <v>0</v>
      </c>
      <c r="M35" s="96">
        <f>M34*M33*10</f>
        <v>0</v>
      </c>
      <c r="N35" s="97">
        <f>SUM(D35:H35)</f>
        <v>0</v>
      </c>
      <c r="O35" s="98">
        <f>SUM(I35:M35)</f>
        <v>0</v>
      </c>
      <c r="P35" s="95">
        <f>P34*P33</f>
        <v>0</v>
      </c>
      <c r="Q35" s="99">
        <f>N35+O35+P35</f>
        <v>0</v>
      </c>
    </row>
    <row r="36" spans="1:17" x14ac:dyDescent="0.2">
      <c r="A36" s="1184"/>
      <c r="B36" s="1178" t="str">
        <f>+'B) Reajuste Tarifas y Ocupación'!B13</f>
        <v>Jornada completa</v>
      </c>
      <c r="C36" s="86" t="s">
        <v>335</v>
      </c>
      <c r="D36" s="100">
        <f t="shared" ref="D36:H37" si="6">+I36</f>
        <v>154600</v>
      </c>
      <c r="E36" s="101">
        <f t="shared" si="6"/>
        <v>208700</v>
      </c>
      <c r="F36" s="101">
        <f t="shared" si="6"/>
        <v>216500</v>
      </c>
      <c r="G36" s="101">
        <f t="shared" si="6"/>
        <v>261000</v>
      </c>
      <c r="H36" s="102">
        <f t="shared" si="6"/>
        <v>389200</v>
      </c>
      <c r="I36" s="547">
        <f>+'B) Reajuste Tarifas y Ocupación'!M15</f>
        <v>154600</v>
      </c>
      <c r="J36" s="101">
        <f>+'B) Reajuste Tarifas y Ocupación'!N15</f>
        <v>208700</v>
      </c>
      <c r="K36" s="101">
        <f>+'B) Reajuste Tarifas y Ocupación'!O15</f>
        <v>216500</v>
      </c>
      <c r="L36" s="101">
        <f>+'B) Reajuste Tarifas y Ocupación'!P15</f>
        <v>261000</v>
      </c>
      <c r="M36" s="102">
        <f>+'B) Reajuste Tarifas y Ocupación'!Q15</f>
        <v>389200</v>
      </c>
      <c r="N36" s="90"/>
      <c r="O36" s="91"/>
      <c r="P36" s="103">
        <f>+'B) Reajuste Tarifas y Ocupación'!C15</f>
        <v>136800</v>
      </c>
      <c r="Q36" s="1179"/>
    </row>
    <row r="37" spans="1:17" x14ac:dyDescent="0.2">
      <c r="A37" s="1184"/>
      <c r="B37" s="1178"/>
      <c r="C37" s="86" t="s">
        <v>53</v>
      </c>
      <c r="D37" s="87">
        <f t="shared" si="6"/>
        <v>120</v>
      </c>
      <c r="E37" s="88">
        <f t="shared" si="6"/>
        <v>0</v>
      </c>
      <c r="F37" s="88">
        <f t="shared" si="6"/>
        <v>0</v>
      </c>
      <c r="G37" s="88">
        <f t="shared" si="6"/>
        <v>0</v>
      </c>
      <c r="H37" s="89">
        <f t="shared" si="6"/>
        <v>0</v>
      </c>
      <c r="I37" s="545">
        <f>+'B) Reajuste Tarifas y Ocupación'!C39</f>
        <v>120</v>
      </c>
      <c r="J37" s="88">
        <f>+'B) Reajuste Tarifas y Ocupación'!D39</f>
        <v>0</v>
      </c>
      <c r="K37" s="88">
        <f>+'B) Reajuste Tarifas y Ocupación'!E39</f>
        <v>0</v>
      </c>
      <c r="L37" s="88">
        <f>+'B) Reajuste Tarifas y Ocupación'!F39</f>
        <v>0</v>
      </c>
      <c r="M37" s="89">
        <f>+'B) Reajuste Tarifas y Ocupación'!G39</f>
        <v>0</v>
      </c>
      <c r="N37" s="90"/>
      <c r="O37" s="91"/>
      <c r="P37" s="92">
        <v>12</v>
      </c>
      <c r="Q37" s="1179"/>
    </row>
    <row r="38" spans="1:17" x14ac:dyDescent="0.2">
      <c r="A38" s="1184"/>
      <c r="B38" s="1178"/>
      <c r="C38" s="93" t="s">
        <v>54</v>
      </c>
      <c r="D38" s="94">
        <f>D37*D36</f>
        <v>18552000</v>
      </c>
      <c r="E38" s="95">
        <f>E37*E36</f>
        <v>0</v>
      </c>
      <c r="F38" s="95">
        <f>F37*F36</f>
        <v>0</v>
      </c>
      <c r="G38" s="95">
        <f>G37*G36</f>
        <v>0</v>
      </c>
      <c r="H38" s="96">
        <f>H37*H36</f>
        <v>0</v>
      </c>
      <c r="I38" s="546">
        <f>I37*I36*10</f>
        <v>185520000</v>
      </c>
      <c r="J38" s="95">
        <f>J37*J36*10</f>
        <v>0</v>
      </c>
      <c r="K38" s="95">
        <f>K37*K36*10</f>
        <v>0</v>
      </c>
      <c r="L38" s="95">
        <f>L37*L36*10</f>
        <v>0</v>
      </c>
      <c r="M38" s="96">
        <f>M37*M36*10</f>
        <v>0</v>
      </c>
      <c r="N38" s="97">
        <f>SUM(D38:H38)</f>
        <v>18552000</v>
      </c>
      <c r="O38" s="98">
        <f>SUM(I38:M38)</f>
        <v>185520000</v>
      </c>
      <c r="P38" s="95">
        <f>P37*P36</f>
        <v>1641600</v>
      </c>
      <c r="Q38" s="99">
        <f>N38+O38+P38</f>
        <v>205713600</v>
      </c>
    </row>
    <row r="39" spans="1:17" ht="15" x14ac:dyDescent="0.2">
      <c r="A39" s="1184"/>
      <c r="B39" s="1185" t="s">
        <v>55</v>
      </c>
      <c r="C39" s="1185"/>
      <c r="D39" s="104">
        <f t="shared" ref="D39:Q39" si="7">+D35+D38</f>
        <v>18552000</v>
      </c>
      <c r="E39" s="105">
        <f t="shared" si="7"/>
        <v>0</v>
      </c>
      <c r="F39" s="105">
        <f t="shared" si="7"/>
        <v>0</v>
      </c>
      <c r="G39" s="105">
        <f t="shared" si="7"/>
        <v>0</v>
      </c>
      <c r="H39" s="106">
        <f t="shared" si="7"/>
        <v>0</v>
      </c>
      <c r="I39" s="107">
        <f t="shared" si="7"/>
        <v>185520000</v>
      </c>
      <c r="J39" s="105">
        <f t="shared" si="7"/>
        <v>0</v>
      </c>
      <c r="K39" s="105">
        <f t="shared" si="7"/>
        <v>0</v>
      </c>
      <c r="L39" s="105">
        <f t="shared" si="7"/>
        <v>0</v>
      </c>
      <c r="M39" s="106">
        <f t="shared" si="7"/>
        <v>0</v>
      </c>
      <c r="N39" s="107">
        <f t="shared" si="7"/>
        <v>18552000</v>
      </c>
      <c r="O39" s="105">
        <f>+O35+O38</f>
        <v>185520000</v>
      </c>
      <c r="P39" s="105">
        <f t="shared" si="7"/>
        <v>1641600</v>
      </c>
      <c r="Q39" s="106">
        <f t="shared" si="7"/>
        <v>205713600</v>
      </c>
    </row>
    <row r="40" spans="1:17" x14ac:dyDescent="0.2">
      <c r="A40" s="1184" t="str">
        <f>+'B) Reajuste Tarifas y Ocupación'!A16</f>
        <v>Jardín Infantil Pecesitos de Colores</v>
      </c>
      <c r="B40" s="1178" t="str">
        <f>+'B) Reajuste Tarifas y Ocupación'!B16</f>
        <v>Media jornada</v>
      </c>
      <c r="C40" s="86" t="s">
        <v>335</v>
      </c>
      <c r="D40" s="100">
        <f t="shared" ref="D40:H41" si="8">+I40</f>
        <v>38100</v>
      </c>
      <c r="E40" s="101">
        <f t="shared" si="8"/>
        <v>51500</v>
      </c>
      <c r="F40" s="101">
        <f t="shared" si="8"/>
        <v>53400</v>
      </c>
      <c r="G40" s="101">
        <f t="shared" si="8"/>
        <v>47800</v>
      </c>
      <c r="H40" s="102">
        <f t="shared" si="8"/>
        <v>57200</v>
      </c>
      <c r="I40" s="547">
        <f>+'B) Reajuste Tarifas y Ocupación'!M16</f>
        <v>38100</v>
      </c>
      <c r="J40" s="101">
        <f>+'B) Reajuste Tarifas y Ocupación'!N16</f>
        <v>51500</v>
      </c>
      <c r="K40" s="101">
        <f>+'B) Reajuste Tarifas y Ocupación'!O16</f>
        <v>53400</v>
      </c>
      <c r="L40" s="101">
        <f>+'B) Reajuste Tarifas y Ocupación'!P16</f>
        <v>47800</v>
      </c>
      <c r="M40" s="102">
        <f>+'B) Reajuste Tarifas y Ocupación'!Q16</f>
        <v>57200</v>
      </c>
      <c r="N40" s="90"/>
      <c r="O40" s="91"/>
      <c r="P40" s="103">
        <f>+'B) Reajuste Tarifas y Ocupación'!C19</f>
        <v>0</v>
      </c>
      <c r="Q40" s="1179"/>
    </row>
    <row r="41" spans="1:17" x14ac:dyDescent="0.2">
      <c r="A41" s="1184"/>
      <c r="B41" s="1178"/>
      <c r="C41" s="86" t="s">
        <v>53</v>
      </c>
      <c r="D41" s="87">
        <f>+I41</f>
        <v>24</v>
      </c>
      <c r="E41" s="88">
        <f t="shared" si="8"/>
        <v>0</v>
      </c>
      <c r="F41" s="88">
        <f t="shared" si="8"/>
        <v>0</v>
      </c>
      <c r="G41" s="88">
        <f t="shared" si="8"/>
        <v>1</v>
      </c>
      <c r="H41" s="89">
        <f t="shared" si="8"/>
        <v>0</v>
      </c>
      <c r="I41" s="545">
        <f>+'B) Reajuste Tarifas y Ocupación'!C40</f>
        <v>24</v>
      </c>
      <c r="J41" s="88">
        <f>+'B) Reajuste Tarifas y Ocupación'!D40</f>
        <v>0</v>
      </c>
      <c r="K41" s="88">
        <f>+'B) Reajuste Tarifas y Ocupación'!E40</f>
        <v>0</v>
      </c>
      <c r="L41" s="88">
        <f>+'B) Reajuste Tarifas y Ocupación'!F40</f>
        <v>1</v>
      </c>
      <c r="M41" s="89">
        <f>+'B) Reajuste Tarifas y Ocupación'!G40</f>
        <v>0</v>
      </c>
      <c r="N41" s="90"/>
      <c r="O41" s="91"/>
      <c r="P41" s="92">
        <v>0</v>
      </c>
      <c r="Q41" s="1179"/>
    </row>
    <row r="42" spans="1:17" x14ac:dyDescent="0.2">
      <c r="A42" s="1184"/>
      <c r="B42" s="1178"/>
      <c r="C42" s="93" t="s">
        <v>54</v>
      </c>
      <c r="D42" s="94">
        <f>D41*D40</f>
        <v>914400</v>
      </c>
      <c r="E42" s="95">
        <f>E41*E40</f>
        <v>0</v>
      </c>
      <c r="F42" s="95">
        <f>F41*F40</f>
        <v>0</v>
      </c>
      <c r="G42" s="95">
        <f>G41*G40</f>
        <v>47800</v>
      </c>
      <c r="H42" s="96">
        <f>H41*H40</f>
        <v>0</v>
      </c>
      <c r="I42" s="546">
        <f>I41*I40*10</f>
        <v>9144000</v>
      </c>
      <c r="J42" s="95">
        <f>J41*J40*10</f>
        <v>0</v>
      </c>
      <c r="K42" s="95">
        <f>K41*K40*10</f>
        <v>0</v>
      </c>
      <c r="L42" s="95">
        <f>L41*L40*10</f>
        <v>478000</v>
      </c>
      <c r="M42" s="96">
        <f>M41*M40*10</f>
        <v>0</v>
      </c>
      <c r="N42" s="97">
        <f>SUM(D42:H42)</f>
        <v>962200</v>
      </c>
      <c r="O42" s="98">
        <f>SUM(I42:M42)</f>
        <v>9622000</v>
      </c>
      <c r="P42" s="95">
        <f>P41*P40</f>
        <v>0</v>
      </c>
      <c r="Q42" s="99">
        <f>N42+O42+P42</f>
        <v>10584200</v>
      </c>
    </row>
    <row r="43" spans="1:17" ht="15.75" customHeight="1" x14ac:dyDescent="0.2">
      <c r="A43" s="1184"/>
      <c r="B43" s="1185" t="s">
        <v>55</v>
      </c>
      <c r="C43" s="1185"/>
      <c r="D43" s="104">
        <f t="shared" ref="D43:Q43" si="9">+D42</f>
        <v>914400</v>
      </c>
      <c r="E43" s="105">
        <f t="shared" si="9"/>
        <v>0</v>
      </c>
      <c r="F43" s="105">
        <f t="shared" si="9"/>
        <v>0</v>
      </c>
      <c r="G43" s="105">
        <f t="shared" si="9"/>
        <v>47800</v>
      </c>
      <c r="H43" s="106">
        <f t="shared" si="9"/>
        <v>0</v>
      </c>
      <c r="I43" s="107">
        <f t="shared" si="9"/>
        <v>9144000</v>
      </c>
      <c r="J43" s="105">
        <f t="shared" si="9"/>
        <v>0</v>
      </c>
      <c r="K43" s="105">
        <f t="shared" si="9"/>
        <v>0</v>
      </c>
      <c r="L43" s="105">
        <f t="shared" si="9"/>
        <v>478000</v>
      </c>
      <c r="M43" s="106">
        <f t="shared" si="9"/>
        <v>0</v>
      </c>
      <c r="N43" s="107">
        <f t="shared" si="9"/>
        <v>962200</v>
      </c>
      <c r="O43" s="105">
        <f t="shared" si="9"/>
        <v>9622000</v>
      </c>
      <c r="P43" s="105">
        <f t="shared" si="9"/>
        <v>0</v>
      </c>
      <c r="Q43" s="106">
        <f t="shared" si="9"/>
        <v>10584200</v>
      </c>
    </row>
    <row r="44" spans="1:17" ht="13.5" thickBot="1" x14ac:dyDescent="0.25">
      <c r="A44" s="1186" t="str">
        <f>+'B) Reajuste Tarifas y Ocupación'!A17</f>
        <v>Jardín Infantil Caracolito de Mar</v>
      </c>
      <c r="B44" s="1178" t="str">
        <f>+'B) Reajuste Tarifas y Ocupación'!B17</f>
        <v>Media jornada</v>
      </c>
      <c r="C44" s="86" t="s">
        <v>335</v>
      </c>
      <c r="D44" s="108"/>
      <c r="E44" s="109"/>
      <c r="F44" s="109"/>
      <c r="G44" s="109"/>
      <c r="H44" s="110"/>
      <c r="I44" s="548"/>
      <c r="J44" s="109"/>
      <c r="K44" s="109"/>
      <c r="L44" s="109"/>
      <c r="M44" s="110"/>
      <c r="N44" s="90"/>
      <c r="O44" s="91"/>
      <c r="P44" s="109"/>
      <c r="Q44" s="1187"/>
    </row>
    <row r="45" spans="1:17" ht="13.5" thickBot="1" x14ac:dyDescent="0.25">
      <c r="A45" s="1186"/>
      <c r="B45" s="1178"/>
      <c r="C45" s="86" t="s">
        <v>53</v>
      </c>
      <c r="D45" s="111"/>
      <c r="E45" s="112"/>
      <c r="F45" s="112"/>
      <c r="G45" s="112"/>
      <c r="H45" s="113"/>
      <c r="I45" s="549"/>
      <c r="J45" s="112"/>
      <c r="K45" s="112"/>
      <c r="L45" s="112"/>
      <c r="M45" s="113"/>
      <c r="N45" s="90"/>
      <c r="O45" s="91"/>
      <c r="P45" s="114"/>
      <c r="Q45" s="1187"/>
    </row>
    <row r="46" spans="1:17" ht="13.5" thickBot="1" x14ac:dyDescent="0.25">
      <c r="A46" s="1186"/>
      <c r="B46" s="1178"/>
      <c r="C46" s="93" t="s">
        <v>54</v>
      </c>
      <c r="D46" s="115">
        <f>D45*D44</f>
        <v>0</v>
      </c>
      <c r="E46" s="116">
        <f>E45*E44</f>
        <v>0</v>
      </c>
      <c r="F46" s="116">
        <f>F45*F44</f>
        <v>0</v>
      </c>
      <c r="G46" s="116">
        <f>G45*G44</f>
        <v>0</v>
      </c>
      <c r="H46" s="117">
        <f>H45*H44</f>
        <v>0</v>
      </c>
      <c r="I46" s="550">
        <f>I45*I44*10</f>
        <v>0</v>
      </c>
      <c r="J46" s="116">
        <f>J45*J44*10</f>
        <v>0</v>
      </c>
      <c r="K46" s="116">
        <f>K45*K44*10</f>
        <v>0</v>
      </c>
      <c r="L46" s="116">
        <f>L45*L44*10</f>
        <v>0</v>
      </c>
      <c r="M46" s="117">
        <f>M45*M44*10</f>
        <v>0</v>
      </c>
      <c r="N46" s="118">
        <f>SUM(D46:H46)</f>
        <v>0</v>
      </c>
      <c r="O46" s="119">
        <f>SUM(I46:M46)</f>
        <v>0</v>
      </c>
      <c r="P46" s="116">
        <f>P45*P44</f>
        <v>0</v>
      </c>
      <c r="Q46" s="120">
        <f>N46+O46+P46</f>
        <v>0</v>
      </c>
    </row>
    <row r="47" spans="1:17" ht="13.5" thickBot="1" x14ac:dyDescent="0.25">
      <c r="A47" s="1186"/>
      <c r="B47" s="1178" t="str">
        <f>+'B) Reajuste Tarifas y Ocupación'!B18</f>
        <v>Jornada completa</v>
      </c>
      <c r="C47" s="86" t="s">
        <v>335</v>
      </c>
      <c r="D47" s="108"/>
      <c r="E47" s="109"/>
      <c r="F47" s="109"/>
      <c r="G47" s="109"/>
      <c r="H47" s="110"/>
      <c r="I47" s="548"/>
      <c r="J47" s="109"/>
      <c r="K47" s="109"/>
      <c r="L47" s="109"/>
      <c r="M47" s="110"/>
      <c r="N47" s="90"/>
      <c r="O47" s="91"/>
      <c r="P47" s="109"/>
      <c r="Q47" s="1187"/>
    </row>
    <row r="48" spans="1:17" ht="13.5" thickBot="1" x14ac:dyDescent="0.25">
      <c r="A48" s="1186"/>
      <c r="B48" s="1178"/>
      <c r="C48" s="86" t="s">
        <v>53</v>
      </c>
      <c r="D48" s="111"/>
      <c r="E48" s="112"/>
      <c r="F48" s="112"/>
      <c r="G48" s="112"/>
      <c r="H48" s="113"/>
      <c r="I48" s="549"/>
      <c r="J48" s="112"/>
      <c r="K48" s="112"/>
      <c r="L48" s="112"/>
      <c r="M48" s="113"/>
      <c r="N48" s="90"/>
      <c r="O48" s="91"/>
      <c r="P48" s="114"/>
      <c r="Q48" s="1187"/>
    </row>
    <row r="49" spans="1:17" ht="13.5" thickBot="1" x14ac:dyDescent="0.25">
      <c r="A49" s="1186"/>
      <c r="B49" s="1178"/>
      <c r="C49" s="93" t="s">
        <v>54</v>
      </c>
      <c r="D49" s="115">
        <f>D48*D47</f>
        <v>0</v>
      </c>
      <c r="E49" s="116">
        <f>E48*E47</f>
        <v>0</v>
      </c>
      <c r="F49" s="116">
        <f>F48*F47</f>
        <v>0</v>
      </c>
      <c r="G49" s="116">
        <f>G48*G47</f>
        <v>0</v>
      </c>
      <c r="H49" s="117">
        <f>H48*H47</f>
        <v>0</v>
      </c>
      <c r="I49" s="550">
        <f>I48*I47*10</f>
        <v>0</v>
      </c>
      <c r="J49" s="116">
        <f>J48*J47*10</f>
        <v>0</v>
      </c>
      <c r="K49" s="116">
        <f>K48*K47*10</f>
        <v>0</v>
      </c>
      <c r="L49" s="116">
        <f>L48*L47*10</f>
        <v>0</v>
      </c>
      <c r="M49" s="117">
        <f>M48*M47*10</f>
        <v>0</v>
      </c>
      <c r="N49" s="118">
        <f>SUM(D49:H49)</f>
        <v>0</v>
      </c>
      <c r="O49" s="119">
        <f>SUM(I49:M49)</f>
        <v>0</v>
      </c>
      <c r="P49" s="116">
        <f>P48*P47</f>
        <v>0</v>
      </c>
      <c r="Q49" s="120">
        <f>N49+O49+P49</f>
        <v>0</v>
      </c>
    </row>
    <row r="50" spans="1:17" ht="15.75" thickBot="1" x14ac:dyDescent="0.25">
      <c r="A50" s="1186"/>
      <c r="B50" s="1183" t="s">
        <v>55</v>
      </c>
      <c r="C50" s="1183"/>
      <c r="D50" s="121">
        <f t="shared" ref="D50:Q50" si="10">+D46+D49</f>
        <v>0</v>
      </c>
      <c r="E50" s="122">
        <f t="shared" si="10"/>
        <v>0</v>
      </c>
      <c r="F50" s="122">
        <f t="shared" si="10"/>
        <v>0</v>
      </c>
      <c r="G50" s="122">
        <f t="shared" si="10"/>
        <v>0</v>
      </c>
      <c r="H50" s="123">
        <f t="shared" si="10"/>
        <v>0</v>
      </c>
      <c r="I50" s="124">
        <f t="shared" si="10"/>
        <v>0</v>
      </c>
      <c r="J50" s="122">
        <f t="shared" si="10"/>
        <v>0</v>
      </c>
      <c r="K50" s="122">
        <f t="shared" si="10"/>
        <v>0</v>
      </c>
      <c r="L50" s="122">
        <f t="shared" si="10"/>
        <v>0</v>
      </c>
      <c r="M50" s="123">
        <f t="shared" si="10"/>
        <v>0</v>
      </c>
      <c r="N50" s="124">
        <f t="shared" si="10"/>
        <v>0</v>
      </c>
      <c r="O50" s="122">
        <f t="shared" si="10"/>
        <v>0</v>
      </c>
      <c r="P50" s="122">
        <f t="shared" si="10"/>
        <v>0</v>
      </c>
      <c r="Q50" s="123">
        <f t="shared" si="10"/>
        <v>0</v>
      </c>
    </row>
    <row r="51" spans="1:17" ht="13.5" thickBot="1" x14ac:dyDescent="0.25">
      <c r="A51" s="1181" t="str">
        <f>+'B) Reajuste Tarifas y Ocupación'!A22</f>
        <v>Sala Cuna Caracolito de Mar</v>
      </c>
      <c r="B51" s="1176" t="str">
        <f>+'B) Reajuste Tarifas y Ocupación'!B22</f>
        <v>Diurna</v>
      </c>
      <c r="C51" s="125" t="s">
        <v>335</v>
      </c>
      <c r="D51" s="581"/>
      <c r="E51" s="582">
        <f t="shared" ref="E51:H52" si="11">+J51</f>
        <v>469000</v>
      </c>
      <c r="F51" s="582">
        <f t="shared" si="11"/>
        <v>486400</v>
      </c>
      <c r="G51" s="582">
        <f t="shared" si="11"/>
        <v>434200</v>
      </c>
      <c r="H51" s="583">
        <f t="shared" si="11"/>
        <v>521100</v>
      </c>
      <c r="I51" s="584">
        <f>+'B) Reajuste Tarifas y Ocupación'!M22</f>
        <v>347400</v>
      </c>
      <c r="J51" s="582">
        <f>+'B) Reajuste Tarifas y Ocupación'!N22</f>
        <v>469000</v>
      </c>
      <c r="K51" s="582">
        <f>+'B) Reajuste Tarifas y Ocupación'!O22</f>
        <v>486400</v>
      </c>
      <c r="L51" s="582">
        <f>+'B) Reajuste Tarifas y Ocupación'!P22</f>
        <v>434200</v>
      </c>
      <c r="M51" s="583">
        <f>+'B) Reajuste Tarifas y Ocupación'!Q22</f>
        <v>521100</v>
      </c>
      <c r="N51" s="126"/>
      <c r="O51" s="127"/>
      <c r="P51" s="128"/>
      <c r="Q51" s="1182"/>
    </row>
    <row r="52" spans="1:17" x14ac:dyDescent="0.2">
      <c r="A52" s="1181"/>
      <c r="B52" s="1176"/>
      <c r="C52" s="86" t="s">
        <v>53</v>
      </c>
      <c r="D52" s="585"/>
      <c r="E52" s="88">
        <f t="shared" si="11"/>
        <v>0</v>
      </c>
      <c r="F52" s="88">
        <f t="shared" si="11"/>
        <v>0</v>
      </c>
      <c r="G52" s="88">
        <f t="shared" si="11"/>
        <v>0</v>
      </c>
      <c r="H52" s="89">
        <f t="shared" si="11"/>
        <v>0</v>
      </c>
      <c r="I52" s="87">
        <f>+'B) Reajuste Tarifas y Ocupación'!C46</f>
        <v>34</v>
      </c>
      <c r="J52" s="88">
        <f>+'B) Reajuste Tarifas y Ocupación'!D46</f>
        <v>0</v>
      </c>
      <c r="K52" s="88">
        <f>+'B) Reajuste Tarifas y Ocupación'!E46</f>
        <v>0</v>
      </c>
      <c r="L52" s="88">
        <f>+'B) Reajuste Tarifas y Ocupación'!F46</f>
        <v>0</v>
      </c>
      <c r="M52" s="89">
        <f>+'B) Reajuste Tarifas y Ocupación'!G46</f>
        <v>0</v>
      </c>
      <c r="N52" s="90"/>
      <c r="O52" s="91"/>
      <c r="P52" s="112"/>
      <c r="Q52" s="1182"/>
    </row>
    <row r="53" spans="1:17" x14ac:dyDescent="0.2">
      <c r="A53" s="1181"/>
      <c r="B53" s="1176"/>
      <c r="C53" s="93" t="s">
        <v>54</v>
      </c>
      <c r="D53" s="94">
        <f>D52*D51</f>
        <v>0</v>
      </c>
      <c r="E53" s="95">
        <f>E52*E51</f>
        <v>0</v>
      </c>
      <c r="F53" s="95">
        <f>F52*F51</f>
        <v>0</v>
      </c>
      <c r="G53" s="95">
        <f>G52*G51</f>
        <v>0</v>
      </c>
      <c r="H53" s="96">
        <f>H52*H51</f>
        <v>0</v>
      </c>
      <c r="I53" s="94">
        <f>I52*I51*12</f>
        <v>141739200</v>
      </c>
      <c r="J53" s="95">
        <f>J52*J51*12</f>
        <v>0</v>
      </c>
      <c r="K53" s="95">
        <f>K52*K51*12</f>
        <v>0</v>
      </c>
      <c r="L53" s="95">
        <f>L52*L51*12</f>
        <v>0</v>
      </c>
      <c r="M53" s="96">
        <f>M52*M51*12</f>
        <v>0</v>
      </c>
      <c r="N53" s="97">
        <f>SUM(D53:H53)</f>
        <v>0</v>
      </c>
      <c r="O53" s="98">
        <f>SUM(I53:M53)</f>
        <v>141739200</v>
      </c>
      <c r="P53" s="129">
        <f>P52*P51</f>
        <v>0</v>
      </c>
      <c r="Q53" s="99">
        <f>N53+O53+P53</f>
        <v>141739200</v>
      </c>
    </row>
    <row r="54" spans="1:17" x14ac:dyDescent="0.2">
      <c r="A54" s="1181"/>
      <c r="B54" s="1178" t="str">
        <f>+'B) Reajuste Tarifas y Ocupación'!B23</f>
        <v>Nocturna</v>
      </c>
      <c r="C54" s="86" t="s">
        <v>335</v>
      </c>
      <c r="D54" s="585"/>
      <c r="E54" s="586"/>
      <c r="F54" s="586"/>
      <c r="G54" s="586"/>
      <c r="H54" s="587"/>
      <c r="I54" s="585"/>
      <c r="J54" s="586"/>
      <c r="K54" s="586"/>
      <c r="L54" s="586"/>
      <c r="M54" s="587"/>
      <c r="N54" s="90"/>
      <c r="O54" s="91"/>
      <c r="P54" s="109"/>
      <c r="Q54" s="1179"/>
    </row>
    <row r="55" spans="1:17" x14ac:dyDescent="0.2">
      <c r="A55" s="1181"/>
      <c r="B55" s="1178"/>
      <c r="C55" s="86" t="s">
        <v>53</v>
      </c>
      <c r="D55" s="585"/>
      <c r="E55" s="112"/>
      <c r="F55" s="112"/>
      <c r="G55" s="112"/>
      <c r="H55" s="113"/>
      <c r="I55" s="111"/>
      <c r="J55" s="112"/>
      <c r="K55" s="112"/>
      <c r="L55" s="112"/>
      <c r="M55" s="113"/>
      <c r="N55" s="90"/>
      <c r="O55" s="91"/>
      <c r="P55" s="112"/>
      <c r="Q55" s="1179"/>
    </row>
    <row r="56" spans="1:17" x14ac:dyDescent="0.2">
      <c r="A56" s="1181"/>
      <c r="B56" s="1178"/>
      <c r="C56" s="93" t="s">
        <v>54</v>
      </c>
      <c r="D56" s="94">
        <f>D55*D54</f>
        <v>0</v>
      </c>
      <c r="E56" s="95">
        <f>E55*E54</f>
        <v>0</v>
      </c>
      <c r="F56" s="95">
        <f>F55*F54</f>
        <v>0</v>
      </c>
      <c r="G56" s="95">
        <f>G55*G54</f>
        <v>0</v>
      </c>
      <c r="H56" s="96">
        <f>H55*H54</f>
        <v>0</v>
      </c>
      <c r="I56" s="94">
        <f>I55*I54*12</f>
        <v>0</v>
      </c>
      <c r="J56" s="95">
        <f>J55*J54*12</f>
        <v>0</v>
      </c>
      <c r="K56" s="95">
        <f>K55*K54*12</f>
        <v>0</v>
      </c>
      <c r="L56" s="95">
        <f>L55*L54*12</f>
        <v>0</v>
      </c>
      <c r="M56" s="96">
        <f>M55*M54*12</f>
        <v>0</v>
      </c>
      <c r="N56" s="97">
        <f>SUM(D56:H56)</f>
        <v>0</v>
      </c>
      <c r="O56" s="98">
        <f>SUM(I56:M56)</f>
        <v>0</v>
      </c>
      <c r="P56" s="95">
        <f>P55*P54</f>
        <v>0</v>
      </c>
      <c r="Q56" s="99">
        <f>N56+O56+P56</f>
        <v>0</v>
      </c>
    </row>
    <row r="57" spans="1:17" x14ac:dyDescent="0.2">
      <c r="A57" s="1181"/>
      <c r="B57" s="1178" t="str">
        <f>+'B) Reajuste Tarifas y Ocupación'!B24</f>
        <v>Media Jornada</v>
      </c>
      <c r="C57" s="86" t="s">
        <v>335</v>
      </c>
      <c r="D57" s="585"/>
      <c r="E57" s="588">
        <f t="shared" ref="E57:H58" si="12">+J57</f>
        <v>281500</v>
      </c>
      <c r="F57" s="588">
        <f t="shared" si="12"/>
        <v>292000</v>
      </c>
      <c r="G57" s="588">
        <f t="shared" si="12"/>
        <v>312700</v>
      </c>
      <c r="H57" s="589">
        <f t="shared" si="12"/>
        <v>416900</v>
      </c>
      <c r="I57" s="590">
        <f>+'B) Reajuste Tarifas y Ocupación'!M24</f>
        <v>208600</v>
      </c>
      <c r="J57" s="588">
        <f>+'B) Reajuste Tarifas y Ocupación'!N24</f>
        <v>281500</v>
      </c>
      <c r="K57" s="588">
        <f>+'B) Reajuste Tarifas y Ocupación'!O24</f>
        <v>292000</v>
      </c>
      <c r="L57" s="588">
        <f>+'B) Reajuste Tarifas y Ocupación'!P24</f>
        <v>312700</v>
      </c>
      <c r="M57" s="589">
        <f>+'B) Reajuste Tarifas y Ocupación'!Q24</f>
        <v>416900</v>
      </c>
      <c r="N57" s="90"/>
      <c r="O57" s="91"/>
      <c r="P57" s="109"/>
      <c r="Q57" s="1179"/>
    </row>
    <row r="58" spans="1:17" x14ac:dyDescent="0.2">
      <c r="A58" s="1181"/>
      <c r="B58" s="1178"/>
      <c r="C58" s="86" t="s">
        <v>53</v>
      </c>
      <c r="D58" s="585"/>
      <c r="E58" s="88">
        <f t="shared" si="12"/>
        <v>0</v>
      </c>
      <c r="F58" s="88">
        <f t="shared" si="12"/>
        <v>0</v>
      </c>
      <c r="G58" s="88">
        <f t="shared" si="12"/>
        <v>0</v>
      </c>
      <c r="H58" s="89">
        <f t="shared" si="12"/>
        <v>0</v>
      </c>
      <c r="I58" s="87">
        <f>+'B) Reajuste Tarifas y Ocupación'!C48</f>
        <v>0</v>
      </c>
      <c r="J58" s="88">
        <f>+'B) Reajuste Tarifas y Ocupación'!D48</f>
        <v>0</v>
      </c>
      <c r="K58" s="88">
        <f>+'B) Reajuste Tarifas y Ocupación'!E48</f>
        <v>0</v>
      </c>
      <c r="L58" s="88">
        <f>+'B) Reajuste Tarifas y Ocupación'!F48</f>
        <v>0</v>
      </c>
      <c r="M58" s="89">
        <f>+'B) Reajuste Tarifas y Ocupación'!G48</f>
        <v>0</v>
      </c>
      <c r="N58" s="90"/>
      <c r="O58" s="91"/>
      <c r="P58" s="112"/>
      <c r="Q58" s="1179"/>
    </row>
    <row r="59" spans="1:17" x14ac:dyDescent="0.2">
      <c r="A59" s="1181"/>
      <c r="B59" s="1178"/>
      <c r="C59" s="93" t="s">
        <v>54</v>
      </c>
      <c r="D59" s="94">
        <f>D58*D57</f>
        <v>0</v>
      </c>
      <c r="E59" s="95">
        <f>E58*E57</f>
        <v>0</v>
      </c>
      <c r="F59" s="95">
        <f>F58*F57</f>
        <v>0</v>
      </c>
      <c r="G59" s="95">
        <f>G58*G57</f>
        <v>0</v>
      </c>
      <c r="H59" s="96">
        <f>H58*H57</f>
        <v>0</v>
      </c>
      <c r="I59" s="94">
        <f>I58*I57*12</f>
        <v>0</v>
      </c>
      <c r="J59" s="95">
        <f>J58*J57*12</f>
        <v>0</v>
      </c>
      <c r="K59" s="95">
        <f>K58*K57*12</f>
        <v>0</v>
      </c>
      <c r="L59" s="95">
        <f>L58*L57*12</f>
        <v>0</v>
      </c>
      <c r="M59" s="96">
        <f>M58*M57*12</f>
        <v>0</v>
      </c>
      <c r="N59" s="97">
        <f>SUM(D59:H59)</f>
        <v>0</v>
      </c>
      <c r="O59" s="98">
        <f>SUM(I59:M59)</f>
        <v>0</v>
      </c>
      <c r="P59" s="129">
        <f>P58*P57</f>
        <v>0</v>
      </c>
      <c r="Q59" s="99">
        <f>N59+O59+P59</f>
        <v>0</v>
      </c>
    </row>
    <row r="60" spans="1:17" ht="15" x14ac:dyDescent="0.2">
      <c r="A60" s="1181"/>
      <c r="B60" s="1183" t="s">
        <v>55</v>
      </c>
      <c r="C60" s="1183"/>
      <c r="D60" s="130">
        <f t="shared" ref="D60:Q60" si="13">SUM(D53,D56,D59)</f>
        <v>0</v>
      </c>
      <c r="E60" s="131">
        <f t="shared" si="13"/>
        <v>0</v>
      </c>
      <c r="F60" s="131">
        <f t="shared" si="13"/>
        <v>0</v>
      </c>
      <c r="G60" s="131">
        <f t="shared" si="13"/>
        <v>0</v>
      </c>
      <c r="H60" s="132">
        <f t="shared" si="13"/>
        <v>0</v>
      </c>
      <c r="I60" s="130">
        <f t="shared" si="13"/>
        <v>141739200</v>
      </c>
      <c r="J60" s="131">
        <f t="shared" si="13"/>
        <v>0</v>
      </c>
      <c r="K60" s="131">
        <f t="shared" si="13"/>
        <v>0</v>
      </c>
      <c r="L60" s="131">
        <f t="shared" si="13"/>
        <v>0</v>
      </c>
      <c r="M60" s="132">
        <f t="shared" si="13"/>
        <v>0</v>
      </c>
      <c r="N60" s="133">
        <f t="shared" si="13"/>
        <v>0</v>
      </c>
      <c r="O60" s="134">
        <f t="shared" si="13"/>
        <v>141739200</v>
      </c>
      <c r="P60" s="135">
        <f t="shared" si="13"/>
        <v>0</v>
      </c>
      <c r="Q60" s="136">
        <f t="shared" si="13"/>
        <v>141739200</v>
      </c>
    </row>
    <row r="61" spans="1:17" ht="12.75" customHeight="1" x14ac:dyDescent="0.2">
      <c r="A61" s="1175" t="str">
        <f>+'B) Reajuste Tarifas y Ocupación'!A25</f>
        <v>Sala Cuna Mar Azul</v>
      </c>
      <c r="B61" s="1176" t="str">
        <f>+'B) Reajuste Tarifas y Ocupación'!B25</f>
        <v>Diurna</v>
      </c>
      <c r="C61" s="125" t="s">
        <v>335</v>
      </c>
      <c r="D61" s="581"/>
      <c r="E61" s="582">
        <f t="shared" ref="E61:H62" si="14">+J61</f>
        <v>469000</v>
      </c>
      <c r="F61" s="582">
        <f t="shared" si="14"/>
        <v>486400</v>
      </c>
      <c r="G61" s="582">
        <f t="shared" si="14"/>
        <v>434200</v>
      </c>
      <c r="H61" s="583">
        <f t="shared" si="14"/>
        <v>521100</v>
      </c>
      <c r="I61" s="584">
        <f>+'B) Reajuste Tarifas y Ocupación'!M25</f>
        <v>347400</v>
      </c>
      <c r="J61" s="582">
        <f>+'B) Reajuste Tarifas y Ocupación'!N25</f>
        <v>469000</v>
      </c>
      <c r="K61" s="582">
        <f>+'B) Reajuste Tarifas y Ocupación'!O25</f>
        <v>486400</v>
      </c>
      <c r="L61" s="582">
        <f>+'B) Reajuste Tarifas y Ocupación'!P25</f>
        <v>434200</v>
      </c>
      <c r="M61" s="583">
        <f>+'B) Reajuste Tarifas y Ocupación'!Q25</f>
        <v>521100</v>
      </c>
      <c r="N61" s="83"/>
      <c r="O61" s="84"/>
      <c r="P61" s="137"/>
      <c r="Q61" s="1177"/>
    </row>
    <row r="62" spans="1:17" x14ac:dyDescent="0.2">
      <c r="A62" s="1175"/>
      <c r="B62" s="1176"/>
      <c r="C62" s="86" t="s">
        <v>53</v>
      </c>
      <c r="D62" s="585"/>
      <c r="E62" s="88">
        <f t="shared" si="14"/>
        <v>0</v>
      </c>
      <c r="F62" s="88">
        <f t="shared" si="14"/>
        <v>0</v>
      </c>
      <c r="G62" s="88">
        <f t="shared" si="14"/>
        <v>0</v>
      </c>
      <c r="H62" s="89">
        <f t="shared" si="14"/>
        <v>0</v>
      </c>
      <c r="I62" s="87">
        <f>+'B) Reajuste Tarifas y Ocupación'!C49</f>
        <v>70</v>
      </c>
      <c r="J62" s="88">
        <f>+'B) Reajuste Tarifas y Ocupación'!D49</f>
        <v>0</v>
      </c>
      <c r="K62" s="88">
        <f>+'B) Reajuste Tarifas y Ocupación'!E49</f>
        <v>0</v>
      </c>
      <c r="L62" s="88">
        <f>+'B) Reajuste Tarifas y Ocupación'!F49</f>
        <v>0</v>
      </c>
      <c r="M62" s="89">
        <f>+'B) Reajuste Tarifas y Ocupación'!G49</f>
        <v>0</v>
      </c>
      <c r="N62" s="90"/>
      <c r="O62" s="91"/>
      <c r="P62" s="112"/>
      <c r="Q62" s="1177"/>
    </row>
    <row r="63" spans="1:17" x14ac:dyDescent="0.2">
      <c r="A63" s="1175"/>
      <c r="B63" s="1176"/>
      <c r="C63" s="93" t="s">
        <v>54</v>
      </c>
      <c r="D63" s="591">
        <f>D62*D61</f>
        <v>0</v>
      </c>
      <c r="E63" s="95">
        <f>E62*E61</f>
        <v>0</v>
      </c>
      <c r="F63" s="95">
        <f>F62*F61</f>
        <v>0</v>
      </c>
      <c r="G63" s="95">
        <f>G62*G61</f>
        <v>0</v>
      </c>
      <c r="H63" s="96">
        <f>H62*H61</f>
        <v>0</v>
      </c>
      <c r="I63" s="94">
        <f>I62*I61*12</f>
        <v>291816000</v>
      </c>
      <c r="J63" s="95">
        <f>J62*J61*12</f>
        <v>0</v>
      </c>
      <c r="K63" s="95">
        <f>K62*K61*12</f>
        <v>0</v>
      </c>
      <c r="L63" s="95">
        <f>L62*L61*12</f>
        <v>0</v>
      </c>
      <c r="M63" s="96">
        <f>M62*M61*12</f>
        <v>0</v>
      </c>
      <c r="N63" s="97">
        <f>SUM(D63:H63)</f>
        <v>0</v>
      </c>
      <c r="O63" s="98">
        <f>SUM(I63:M63)</f>
        <v>291816000</v>
      </c>
      <c r="P63" s="129">
        <f>P62*P61</f>
        <v>0</v>
      </c>
      <c r="Q63" s="99">
        <f>N63+O63+P63</f>
        <v>291816000</v>
      </c>
    </row>
    <row r="64" spans="1:17" x14ac:dyDescent="0.2">
      <c r="A64" s="1175"/>
      <c r="B64" s="1178" t="str">
        <f>+'B) Reajuste Tarifas y Ocupación'!B26</f>
        <v>Nocturna</v>
      </c>
      <c r="C64" s="86" t="s">
        <v>335</v>
      </c>
      <c r="D64" s="585"/>
      <c r="E64" s="586"/>
      <c r="F64" s="586"/>
      <c r="G64" s="586"/>
      <c r="H64" s="587"/>
      <c r="I64" s="590">
        <f>+'B) Reajuste Tarifas y Ocupación'!M26</f>
        <v>280200</v>
      </c>
      <c r="J64" s="586"/>
      <c r="K64" s="586"/>
      <c r="L64" s="586"/>
      <c r="M64" s="587"/>
      <c r="N64" s="90"/>
      <c r="O64" s="91"/>
      <c r="P64" s="109"/>
      <c r="Q64" s="1179"/>
    </row>
    <row r="65" spans="1:17" x14ac:dyDescent="0.2">
      <c r="A65" s="1175"/>
      <c r="B65" s="1178"/>
      <c r="C65" s="86" t="s">
        <v>53</v>
      </c>
      <c r="D65" s="585"/>
      <c r="E65" s="112"/>
      <c r="F65" s="112"/>
      <c r="G65" s="112"/>
      <c r="H65" s="113"/>
      <c r="I65" s="87">
        <f>+'B) Reajuste Tarifas y Ocupación'!C50</f>
        <v>20</v>
      </c>
      <c r="J65" s="112"/>
      <c r="K65" s="112"/>
      <c r="L65" s="112"/>
      <c r="M65" s="113"/>
      <c r="N65" s="90"/>
      <c r="O65" s="91"/>
      <c r="P65" s="112"/>
      <c r="Q65" s="1179"/>
    </row>
    <row r="66" spans="1:17" x14ac:dyDescent="0.2">
      <c r="A66" s="1175"/>
      <c r="B66" s="1178"/>
      <c r="C66" s="93" t="s">
        <v>54</v>
      </c>
      <c r="D66" s="591">
        <f>D65*D64</f>
        <v>0</v>
      </c>
      <c r="E66" s="95">
        <f>E65*E64</f>
        <v>0</v>
      </c>
      <c r="F66" s="95">
        <f>F65*F64</f>
        <v>0</v>
      </c>
      <c r="G66" s="95">
        <f>G65*G64</f>
        <v>0</v>
      </c>
      <c r="H66" s="96">
        <f>H65*H64</f>
        <v>0</v>
      </c>
      <c r="I66" s="94">
        <f>I65*I64*12</f>
        <v>67248000</v>
      </c>
      <c r="J66" s="95">
        <f>J65*J64*12</f>
        <v>0</v>
      </c>
      <c r="K66" s="95">
        <f>K65*K64*12</f>
        <v>0</v>
      </c>
      <c r="L66" s="95">
        <f>L65*L64*12</f>
        <v>0</v>
      </c>
      <c r="M66" s="96">
        <f>M65*M64*12</f>
        <v>0</v>
      </c>
      <c r="N66" s="138">
        <f>SUM(D66:H66)</f>
        <v>0</v>
      </c>
      <c r="O66" s="98">
        <f>SUM(I66:M66)</f>
        <v>67248000</v>
      </c>
      <c r="P66" s="129">
        <f>P65*P64</f>
        <v>0</v>
      </c>
      <c r="Q66" s="99">
        <f>N66+O66+P66</f>
        <v>67248000</v>
      </c>
    </row>
    <row r="67" spans="1:17" x14ac:dyDescent="0.2">
      <c r="A67" s="1175"/>
      <c r="B67" s="1178" t="str">
        <f>+'B) Reajuste Tarifas y Ocupación'!B27</f>
        <v>Media Jornada</v>
      </c>
      <c r="C67" s="86" t="s">
        <v>335</v>
      </c>
      <c r="D67" s="585"/>
      <c r="E67" s="588">
        <f t="shared" ref="E67:H68" si="15">+J67</f>
        <v>281500</v>
      </c>
      <c r="F67" s="588">
        <f t="shared" si="15"/>
        <v>292000</v>
      </c>
      <c r="G67" s="588">
        <f t="shared" si="15"/>
        <v>312700</v>
      </c>
      <c r="H67" s="589">
        <f t="shared" si="15"/>
        <v>416900</v>
      </c>
      <c r="I67" s="590">
        <f>+'B) Reajuste Tarifas y Ocupación'!M27</f>
        <v>208600</v>
      </c>
      <c r="J67" s="588">
        <f>+'B) Reajuste Tarifas y Ocupación'!N27</f>
        <v>281500</v>
      </c>
      <c r="K67" s="588">
        <f>+'B) Reajuste Tarifas y Ocupación'!O27</f>
        <v>292000</v>
      </c>
      <c r="L67" s="588">
        <f>+'B) Reajuste Tarifas y Ocupación'!P27</f>
        <v>312700</v>
      </c>
      <c r="M67" s="589">
        <f>+'B) Reajuste Tarifas y Ocupación'!Q27</f>
        <v>416900</v>
      </c>
      <c r="N67" s="90"/>
      <c r="O67" s="91"/>
      <c r="P67" s="109"/>
      <c r="Q67" s="1179"/>
    </row>
    <row r="68" spans="1:17" x14ac:dyDescent="0.2">
      <c r="A68" s="1175"/>
      <c r="B68" s="1178"/>
      <c r="C68" s="86" t="s">
        <v>53</v>
      </c>
      <c r="D68" s="585"/>
      <c r="E68" s="88">
        <f t="shared" si="15"/>
        <v>0</v>
      </c>
      <c r="F68" s="88">
        <f t="shared" si="15"/>
        <v>0</v>
      </c>
      <c r="G68" s="88">
        <f t="shared" si="15"/>
        <v>0</v>
      </c>
      <c r="H68" s="89">
        <f t="shared" si="15"/>
        <v>0</v>
      </c>
      <c r="I68" s="87">
        <f>+'B) Reajuste Tarifas y Ocupación'!C51</f>
        <v>0</v>
      </c>
      <c r="J68" s="88">
        <f>+'B) Reajuste Tarifas y Ocupación'!D51</f>
        <v>0</v>
      </c>
      <c r="K68" s="88">
        <f>+'B) Reajuste Tarifas y Ocupación'!E51</f>
        <v>0</v>
      </c>
      <c r="L68" s="88">
        <f>+'B) Reajuste Tarifas y Ocupación'!F51</f>
        <v>0</v>
      </c>
      <c r="M68" s="89">
        <f>+'B) Reajuste Tarifas y Ocupación'!G51</f>
        <v>0</v>
      </c>
      <c r="N68" s="90"/>
      <c r="O68" s="91"/>
      <c r="P68" s="112"/>
      <c r="Q68" s="1179"/>
    </row>
    <row r="69" spans="1:17" x14ac:dyDescent="0.2">
      <c r="A69" s="1175"/>
      <c r="B69" s="1178"/>
      <c r="C69" s="93" t="s">
        <v>54</v>
      </c>
      <c r="D69" s="591">
        <f>D68*D67</f>
        <v>0</v>
      </c>
      <c r="E69" s="95">
        <f>E68*E67</f>
        <v>0</v>
      </c>
      <c r="F69" s="95">
        <f>F68*F67</f>
        <v>0</v>
      </c>
      <c r="G69" s="95">
        <f>G68*G67</f>
        <v>0</v>
      </c>
      <c r="H69" s="96">
        <f>H68*H67</f>
        <v>0</v>
      </c>
      <c r="I69" s="94">
        <f>I68*I67*12</f>
        <v>0</v>
      </c>
      <c r="J69" s="95">
        <f>J68*J67*12</f>
        <v>0</v>
      </c>
      <c r="K69" s="95">
        <f>K68*K67*12</f>
        <v>0</v>
      </c>
      <c r="L69" s="95">
        <f>L68*L67*12</f>
        <v>0</v>
      </c>
      <c r="M69" s="96">
        <f>M68*M67*12</f>
        <v>0</v>
      </c>
      <c r="N69" s="97">
        <f>SUM(D69:H69)</f>
        <v>0</v>
      </c>
      <c r="O69" s="98">
        <f>SUM(I69:M69)</f>
        <v>0</v>
      </c>
      <c r="P69" s="129">
        <f>P68*P67</f>
        <v>0</v>
      </c>
      <c r="Q69" s="99">
        <f>N69+O69+P69</f>
        <v>0</v>
      </c>
    </row>
    <row r="70" spans="1:17" ht="15" x14ac:dyDescent="0.2">
      <c r="A70" s="1175"/>
      <c r="B70" s="1180" t="s">
        <v>55</v>
      </c>
      <c r="C70" s="1180"/>
      <c r="D70" s="139">
        <f t="shared" ref="D70:Q70" si="16">SUM(D63,D66,D69)</f>
        <v>0</v>
      </c>
      <c r="E70" s="131">
        <f t="shared" si="16"/>
        <v>0</v>
      </c>
      <c r="F70" s="131">
        <f t="shared" si="16"/>
        <v>0</v>
      </c>
      <c r="G70" s="131">
        <f t="shared" si="16"/>
        <v>0</v>
      </c>
      <c r="H70" s="132">
        <f t="shared" si="16"/>
        <v>0</v>
      </c>
      <c r="I70" s="130">
        <f t="shared" si="16"/>
        <v>359064000</v>
      </c>
      <c r="J70" s="131">
        <f t="shared" si="16"/>
        <v>0</v>
      </c>
      <c r="K70" s="131">
        <f t="shared" si="16"/>
        <v>0</v>
      </c>
      <c r="L70" s="131">
        <f t="shared" si="16"/>
        <v>0</v>
      </c>
      <c r="M70" s="132">
        <f t="shared" si="16"/>
        <v>0</v>
      </c>
      <c r="N70" s="133">
        <f t="shared" si="16"/>
        <v>0</v>
      </c>
      <c r="O70" s="134">
        <f t="shared" si="16"/>
        <v>359064000</v>
      </c>
      <c r="P70" s="135">
        <f t="shared" si="16"/>
        <v>0</v>
      </c>
      <c r="Q70" s="136">
        <f t="shared" si="16"/>
        <v>359064000</v>
      </c>
    </row>
    <row r="71" spans="1:17" ht="15" customHeight="1" x14ac:dyDescent="0.2">
      <c r="A71" s="1174" t="s">
        <v>56</v>
      </c>
      <c r="B71" s="1174"/>
      <c r="C71" s="1174"/>
      <c r="D71" s="140">
        <f t="shared" ref="D71:Q71" si="17">+D32+D39+D43+D50+D60+D70</f>
        <v>36899700</v>
      </c>
      <c r="E71" s="141">
        <f t="shared" si="17"/>
        <v>127900</v>
      </c>
      <c r="F71" s="141">
        <f t="shared" si="17"/>
        <v>0</v>
      </c>
      <c r="G71" s="141">
        <f t="shared" si="17"/>
        <v>823600</v>
      </c>
      <c r="H71" s="142">
        <f t="shared" si="17"/>
        <v>186700</v>
      </c>
      <c r="I71" s="143">
        <f t="shared" si="17"/>
        <v>869800200</v>
      </c>
      <c r="J71" s="141">
        <f t="shared" si="17"/>
        <v>1279000</v>
      </c>
      <c r="K71" s="141">
        <f t="shared" si="17"/>
        <v>0</v>
      </c>
      <c r="L71" s="141">
        <f t="shared" si="17"/>
        <v>8236000</v>
      </c>
      <c r="M71" s="144">
        <f t="shared" si="17"/>
        <v>1867000</v>
      </c>
      <c r="N71" s="140">
        <f t="shared" si="17"/>
        <v>38037900</v>
      </c>
      <c r="O71" s="141">
        <f t="shared" si="17"/>
        <v>881182200</v>
      </c>
      <c r="P71" s="141">
        <f t="shared" si="17"/>
        <v>3283200</v>
      </c>
      <c r="Q71" s="144">
        <f t="shared" si="17"/>
        <v>922503300</v>
      </c>
    </row>
  </sheetData>
  <sheetProtection algorithmName="SHA-512" hashValue="d8AjcX2NdhruTYGIO9hAYIT97d8Ytjl1q/uHFGdj52zcWEsn9A8WpLxWaRlufhdORuATcpkzKWcq04I0CG+s5A==" saltValue="05+h4dYIVO3PXGAt6XJt+Q==" spinCount="100000" sheet="1" objects="1" scenarios="1"/>
  <mergeCells count="52">
    <mergeCell ref="C4:D4"/>
    <mergeCell ref="E4:G4"/>
    <mergeCell ref="A6:D6"/>
    <mergeCell ref="A22:D22"/>
    <mergeCell ref="A24:A25"/>
    <mergeCell ref="B24:B25"/>
    <mergeCell ref="C24:C25"/>
    <mergeCell ref="D24:H24"/>
    <mergeCell ref="I24:M24"/>
    <mergeCell ref="N24:N25"/>
    <mergeCell ref="O24:O25"/>
    <mergeCell ref="P24:P25"/>
    <mergeCell ref="Q24:Q25"/>
    <mergeCell ref="A26:A32"/>
    <mergeCell ref="B26:B28"/>
    <mergeCell ref="Q26:Q27"/>
    <mergeCell ref="B29:B31"/>
    <mergeCell ref="Q29:Q30"/>
    <mergeCell ref="B32:C32"/>
    <mergeCell ref="A33:A39"/>
    <mergeCell ref="B33:B35"/>
    <mergeCell ref="Q33:Q34"/>
    <mergeCell ref="B36:B38"/>
    <mergeCell ref="Q36:Q37"/>
    <mergeCell ref="B39:C39"/>
    <mergeCell ref="A40:A43"/>
    <mergeCell ref="B40:B42"/>
    <mergeCell ref="Q40:Q41"/>
    <mergeCell ref="B43:C43"/>
    <mergeCell ref="A44:A50"/>
    <mergeCell ref="B44:B46"/>
    <mergeCell ref="Q44:Q45"/>
    <mergeCell ref="B47:B49"/>
    <mergeCell ref="Q47:Q48"/>
    <mergeCell ref="B50:C50"/>
    <mergeCell ref="A51:A60"/>
    <mergeCell ref="B51:B53"/>
    <mergeCell ref="Q51:Q52"/>
    <mergeCell ref="B54:B56"/>
    <mergeCell ref="Q54:Q55"/>
    <mergeCell ref="B57:B59"/>
    <mergeCell ref="Q57:Q58"/>
    <mergeCell ref="B60:C60"/>
    <mergeCell ref="A71:C71"/>
    <mergeCell ref="A61:A70"/>
    <mergeCell ref="B61:B63"/>
    <mergeCell ref="Q61:Q62"/>
    <mergeCell ref="B64:B66"/>
    <mergeCell ref="Q64:Q65"/>
    <mergeCell ref="B67:B69"/>
    <mergeCell ref="Q67:Q68"/>
    <mergeCell ref="B70:C70"/>
  </mergeCells>
  <conditionalFormatting sqref="B17:I17 C18:D18 B12:F13 D19:D21 F18:N22 J9:J16 B9:I10 H12:I13 G13 E15:I16 E11 G11:I11">
    <cfRule type="cellIs" dxfId="7" priority="2" operator="lessThan">
      <formula>0</formula>
    </cfRule>
  </conditionalFormatting>
  <conditionalFormatting sqref="B15:D16">
    <cfRule type="cellIs" dxfId="6" priority="3" operator="lessThan">
      <formula>0</formula>
    </cfRule>
  </conditionalFormatting>
  <conditionalFormatting sqref="B14:F14 H14:I14">
    <cfRule type="cellIs" dxfId="5" priority="4" operator="lessThan">
      <formula>0</formula>
    </cfRule>
  </conditionalFormatting>
  <conditionalFormatting sqref="G12">
    <cfRule type="cellIs" dxfId="4" priority="5" operator="lessThan">
      <formula>0</formula>
    </cfRule>
  </conditionalFormatting>
  <conditionalFormatting sqref="G14">
    <cfRule type="cellIs" dxfId="3" priority="6" operator="lessThan">
      <formula>0</formula>
    </cfRule>
  </conditionalFormatting>
  <conditionalFormatting sqref="B11:D11 F11">
    <cfRule type="cellIs" dxfId="2" priority="7" operator="lessThan">
      <formula>0</formula>
    </cfRule>
  </conditionalFormatting>
  <pageMargins left="0.196527777777778" right="0.196527777777778" top="0.27500000000000002" bottom="0.196527777777778" header="0.196527777777778" footer="0.51180555555555496"/>
  <pageSetup firstPageNumber="0" fitToHeight="14" orientation="landscape" horizontalDpi="300" verticalDpi="300" r:id="rId1"/>
  <headerFooter>
    <oddHeader>&amp;LSEPT - 2004&amp;CDIRECTIVA D.B.S.A.
ORDINARIA&amp;R02-BS/0307/02
Pag &amp;P de &amp;N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</sheetPr>
  <dimension ref="A1:AMK51"/>
  <sheetViews>
    <sheetView showGridLines="0" zoomScale="80" zoomScaleNormal="80" workbookViewId="0">
      <selection activeCell="J33" sqref="J33"/>
    </sheetView>
  </sheetViews>
  <sheetFormatPr baseColWidth="10" defaultColWidth="9.140625" defaultRowHeight="12.75" x14ac:dyDescent="0.2"/>
  <cols>
    <col min="1" max="1" width="58.42578125" style="145"/>
    <col min="2" max="2" width="35" style="145"/>
    <col min="3" max="3" width="12.5703125" style="145"/>
    <col min="4" max="4" width="14" style="145"/>
    <col min="5" max="5" width="16" style="145"/>
    <col min="6" max="6" width="15" style="145"/>
    <col min="7" max="7" width="15.42578125" style="145"/>
    <col min="8" max="8" width="12.42578125" style="145"/>
    <col min="9" max="9" width="15" style="145"/>
    <col min="10" max="10" width="17.85546875" style="145" customWidth="1"/>
    <col min="11" max="12" width="12.42578125" style="145"/>
    <col min="13" max="13" width="14.42578125" style="145"/>
    <col min="14" max="15" width="15" style="145"/>
    <col min="16" max="18" width="12.42578125" style="145"/>
    <col min="19" max="19" width="33.5703125" style="145"/>
    <col min="20" max="20" width="34" style="145"/>
    <col min="21" max="21" width="14.140625" style="145"/>
    <col min="22" max="23" width="15" style="145"/>
    <col min="24" max="24" width="13.42578125" style="145"/>
    <col min="25" max="1025" width="11.5703125" style="145"/>
    <col min="1026" max="16384" width="9.140625" style="579"/>
  </cols>
  <sheetData>
    <row r="1" spans="1:256" s="21" customFormat="1" x14ac:dyDescent="0.2">
      <c r="A1" s="20"/>
      <c r="C1" s="22"/>
      <c r="D1" s="22"/>
      <c r="E1" s="22"/>
      <c r="F1" s="4" t="s">
        <v>57</v>
      </c>
      <c r="G1" s="22"/>
      <c r="S1" s="20"/>
      <c r="IU1" s="19"/>
      <c r="IV1" s="19"/>
    </row>
    <row r="2" spans="1:256" x14ac:dyDescent="0.2">
      <c r="A2" s="23"/>
      <c r="B2" s="21"/>
      <c r="C2" s="22"/>
      <c r="D2" s="22"/>
      <c r="E2" s="22"/>
      <c r="F2" s="4" t="s">
        <v>58</v>
      </c>
      <c r="G2" s="22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3"/>
      <c r="T2" s="21"/>
      <c r="U2" s="21"/>
      <c r="V2" s="22"/>
      <c r="W2" s="22"/>
      <c r="X2" s="22"/>
      <c r="IU2" s="19"/>
      <c r="IV2" s="19"/>
    </row>
    <row r="3" spans="1:256" x14ac:dyDescent="0.2">
      <c r="A3" s="19"/>
      <c r="B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19"/>
      <c r="IU3" s="19"/>
      <c r="IV3" s="19"/>
    </row>
    <row r="4" spans="1:256" x14ac:dyDescent="0.2">
      <c r="A4" s="24"/>
      <c r="B4" s="25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4"/>
      <c r="T4" s="25"/>
      <c r="U4" s="22"/>
      <c r="V4" s="22"/>
      <c r="W4" s="22"/>
      <c r="X4" s="22"/>
      <c r="Y4" s="22"/>
      <c r="IL4" s="19"/>
      <c r="IM4" s="19"/>
      <c r="IN4" s="19"/>
      <c r="IO4" s="19"/>
      <c r="IP4" s="19"/>
      <c r="IQ4" s="19"/>
    </row>
    <row r="5" spans="1:256" ht="18" customHeight="1" x14ac:dyDescent="0.2">
      <c r="A5" s="24"/>
      <c r="B5" s="25"/>
      <c r="C5" s="1230" t="s">
        <v>27</v>
      </c>
      <c r="D5" s="1230"/>
      <c r="E5" s="569"/>
      <c r="F5" s="1231" t="s">
        <v>59</v>
      </c>
      <c r="G5" s="1231"/>
      <c r="R5" s="21"/>
      <c r="S5" s="24"/>
      <c r="T5" s="25"/>
      <c r="V5" s="26"/>
      <c r="W5" s="26"/>
      <c r="IL5" s="19"/>
      <c r="IM5" s="19"/>
      <c r="IN5" s="19"/>
      <c r="IO5" s="19"/>
      <c r="IP5" s="19"/>
      <c r="IQ5" s="19"/>
    </row>
    <row r="6" spans="1:256" ht="18" customHeight="1" x14ac:dyDescent="0.2">
      <c r="A6" s="24"/>
      <c r="B6" s="25"/>
      <c r="C6" s="569"/>
      <c r="D6" s="569"/>
      <c r="E6" s="569"/>
      <c r="F6" s="4"/>
      <c r="G6" s="4"/>
      <c r="R6" s="21"/>
      <c r="S6" s="24"/>
      <c r="T6" s="25"/>
      <c r="V6" s="26"/>
      <c r="W6" s="26"/>
      <c r="IL6" s="19"/>
      <c r="IM6" s="19"/>
      <c r="IN6" s="19"/>
      <c r="IO6" s="19"/>
      <c r="IP6" s="19"/>
      <c r="IQ6" s="19"/>
    </row>
    <row r="7" spans="1:256" ht="18" customHeight="1" x14ac:dyDescent="0.2">
      <c r="A7" s="24"/>
      <c r="B7" s="25"/>
      <c r="C7" s="569"/>
      <c r="D7" s="569"/>
      <c r="E7" s="569"/>
      <c r="F7" s="4"/>
      <c r="G7" s="4"/>
      <c r="R7" s="21"/>
      <c r="S7" s="24"/>
      <c r="T7" s="25"/>
      <c r="V7" s="146"/>
      <c r="W7" s="146"/>
      <c r="IL7" s="19"/>
      <c r="IM7" s="19"/>
      <c r="IN7" s="19"/>
      <c r="IO7" s="19"/>
      <c r="IP7" s="19"/>
      <c r="IQ7" s="19"/>
    </row>
    <row r="8" spans="1:256" s="21" customFormat="1" ht="15.75" x14ac:dyDescent="0.2">
      <c r="A8" s="1211" t="s">
        <v>6</v>
      </c>
      <c r="B8" s="1211"/>
      <c r="C8" s="1211"/>
      <c r="D8" s="1211"/>
      <c r="E8" s="567"/>
      <c r="F8" s="4"/>
      <c r="G8" s="4"/>
      <c r="IL8" s="19"/>
      <c r="IM8" s="19"/>
      <c r="IN8" s="19"/>
      <c r="IO8" s="19"/>
      <c r="IP8" s="19"/>
      <c r="IQ8" s="19"/>
    </row>
    <row r="9" spans="1:256" ht="13.5" customHeight="1" x14ac:dyDescent="0.2"/>
    <row r="10" spans="1:256" ht="15.75" customHeight="1" x14ac:dyDescent="0.2">
      <c r="A10" s="1208" t="s">
        <v>60</v>
      </c>
      <c r="B10" s="1221" t="s">
        <v>42</v>
      </c>
      <c r="C10" s="1190" t="s">
        <v>44</v>
      </c>
      <c r="D10" s="1190"/>
      <c r="E10" s="1190"/>
      <c r="F10" s="1190"/>
      <c r="G10" s="1190"/>
      <c r="H10" s="1223" t="s">
        <v>61</v>
      </c>
      <c r="I10" s="1223"/>
      <c r="J10" s="1223"/>
      <c r="K10" s="1223"/>
      <c r="L10" s="1223"/>
      <c r="M10" s="1190" t="s">
        <v>336</v>
      </c>
      <c r="N10" s="1190"/>
      <c r="O10" s="1190"/>
      <c r="P10" s="1190"/>
      <c r="Q10" s="1190"/>
      <c r="R10" s="147"/>
    </row>
    <row r="11" spans="1:256" ht="70.5" customHeight="1" thickBot="1" x14ac:dyDescent="0.25">
      <c r="A11" s="1208"/>
      <c r="B11" s="1221"/>
      <c r="C11" s="74" t="s">
        <v>48</v>
      </c>
      <c r="D11" s="75" t="s">
        <v>49</v>
      </c>
      <c r="E11" s="75" t="s">
        <v>50</v>
      </c>
      <c r="F11" s="75" t="s">
        <v>51</v>
      </c>
      <c r="G11" s="76" t="s">
        <v>52</v>
      </c>
      <c r="H11" s="568" t="s">
        <v>48</v>
      </c>
      <c r="I11" s="148" t="s">
        <v>49</v>
      </c>
      <c r="J11" s="148" t="s">
        <v>50</v>
      </c>
      <c r="K11" s="149" t="s">
        <v>51</v>
      </c>
      <c r="L11" s="150" t="s">
        <v>52</v>
      </c>
      <c r="M11" s="151" t="s">
        <v>48</v>
      </c>
      <c r="N11" s="75" t="s">
        <v>49</v>
      </c>
      <c r="O11" s="75" t="s">
        <v>50</v>
      </c>
      <c r="P11" s="75" t="s">
        <v>51</v>
      </c>
      <c r="Q11" s="77" t="s">
        <v>52</v>
      </c>
      <c r="R11" s="147"/>
    </row>
    <row r="12" spans="1:256" ht="13.5" customHeight="1" thickBot="1" x14ac:dyDescent="0.25">
      <c r="A12" s="1214" t="s">
        <v>62</v>
      </c>
      <c r="B12" s="188" t="s">
        <v>63</v>
      </c>
      <c r="C12" s="153">
        <v>83800</v>
      </c>
      <c r="D12" s="154">
        <v>100500</v>
      </c>
      <c r="E12" s="154">
        <v>100500</v>
      </c>
      <c r="F12" s="154">
        <v>112300</v>
      </c>
      <c r="G12" s="793">
        <v>165200</v>
      </c>
      <c r="H12" s="156">
        <v>0.13</v>
      </c>
      <c r="I12" s="157">
        <f>+H12</f>
        <v>0.13</v>
      </c>
      <c r="J12" s="157">
        <f>+H12</f>
        <v>0.13</v>
      </c>
      <c r="K12" s="157">
        <f>+H12</f>
        <v>0.13</v>
      </c>
      <c r="L12" s="1160">
        <f>+H12</f>
        <v>0.13</v>
      </c>
      <c r="M12" s="1162">
        <f>CEILING(C12*(1+H12),100)</f>
        <v>94700</v>
      </c>
      <c r="N12" s="159">
        <f>+CEILING(C12*(1.35)*(1+I12),100)</f>
        <v>127900</v>
      </c>
      <c r="O12" s="159">
        <f>+CEILING(C12*(1.4)*(1+J12),100)</f>
        <v>132600</v>
      </c>
      <c r="P12" s="159">
        <f t="shared" ref="P12:Q16" si="0">+CEILING(F12*(1+K12),100)</f>
        <v>126900</v>
      </c>
      <c r="Q12" s="160">
        <f t="shared" si="0"/>
        <v>186700</v>
      </c>
      <c r="R12" s="161"/>
    </row>
    <row r="13" spans="1:256" ht="13.5" customHeight="1" thickBot="1" x14ac:dyDescent="0.25">
      <c r="A13" s="1224"/>
      <c r="B13" s="795" t="s">
        <v>64</v>
      </c>
      <c r="C13" s="176">
        <v>136800</v>
      </c>
      <c r="D13" s="789">
        <v>164200</v>
      </c>
      <c r="E13" s="789">
        <v>164200</v>
      </c>
      <c r="F13" s="789">
        <v>230900</v>
      </c>
      <c r="G13" s="796">
        <v>344400</v>
      </c>
      <c r="H13" s="156">
        <v>0.13</v>
      </c>
      <c r="I13" s="167">
        <f>+H13</f>
        <v>0.13</v>
      </c>
      <c r="J13" s="167">
        <f>+H13</f>
        <v>0.13</v>
      </c>
      <c r="K13" s="167">
        <f>+H13</f>
        <v>0.13</v>
      </c>
      <c r="L13" s="1161">
        <f>+H13</f>
        <v>0.13</v>
      </c>
      <c r="M13" s="1165">
        <f>CEILING(C13*(1+H13),100)</f>
        <v>154600</v>
      </c>
      <c r="N13" s="180">
        <f t="shared" ref="N13:N16" si="1">+CEILING(C13*(1.35)*(1+I13),100)</f>
        <v>208700</v>
      </c>
      <c r="O13" s="180">
        <f t="shared" ref="O13:O16" si="2">+CEILING(C13*(1.4)*(1+J13),100)</f>
        <v>216500</v>
      </c>
      <c r="P13" s="180">
        <f t="shared" si="0"/>
        <v>261000</v>
      </c>
      <c r="Q13" s="181">
        <f t="shared" si="0"/>
        <v>389200</v>
      </c>
    </row>
    <row r="14" spans="1:256" ht="12.75" customHeight="1" thickBot="1" x14ac:dyDescent="0.25">
      <c r="A14" s="1225" t="s">
        <v>65</v>
      </c>
      <c r="B14" s="188" t="s">
        <v>63</v>
      </c>
      <c r="C14" s="153">
        <f>C12</f>
        <v>83800</v>
      </c>
      <c r="D14" s="154">
        <f t="shared" ref="D14:G14" si="3">D12</f>
        <v>100500</v>
      </c>
      <c r="E14" s="154">
        <f t="shared" si="3"/>
        <v>100500</v>
      </c>
      <c r="F14" s="154">
        <f t="shared" si="3"/>
        <v>112300</v>
      </c>
      <c r="G14" s="793">
        <f t="shared" si="3"/>
        <v>165200</v>
      </c>
      <c r="H14" s="156">
        <v>0.13</v>
      </c>
      <c r="I14" s="157">
        <f>+H14</f>
        <v>0.13</v>
      </c>
      <c r="J14" s="157">
        <f>+H14</f>
        <v>0.13</v>
      </c>
      <c r="K14" s="157">
        <f>+H14</f>
        <v>0.13</v>
      </c>
      <c r="L14" s="1160">
        <f>+H14</f>
        <v>0.13</v>
      </c>
      <c r="M14" s="1162">
        <f>CEILING(C14*(1+H14),100)</f>
        <v>94700</v>
      </c>
      <c r="N14" s="159">
        <f t="shared" si="1"/>
        <v>127900</v>
      </c>
      <c r="O14" s="159">
        <f t="shared" si="2"/>
        <v>132600</v>
      </c>
      <c r="P14" s="159">
        <f t="shared" si="0"/>
        <v>126900</v>
      </c>
      <c r="Q14" s="160">
        <f t="shared" si="0"/>
        <v>186700</v>
      </c>
      <c r="R14" s="175"/>
    </row>
    <row r="15" spans="1:256" ht="12.75" customHeight="1" thickBot="1" x14ac:dyDescent="0.25">
      <c r="A15" s="1226"/>
      <c r="B15" s="190" t="s">
        <v>64</v>
      </c>
      <c r="C15" s="163">
        <f>C13</f>
        <v>136800</v>
      </c>
      <c r="D15" s="164">
        <f t="shared" ref="D15:G15" si="4">D13</f>
        <v>164200</v>
      </c>
      <c r="E15" s="164">
        <f t="shared" si="4"/>
        <v>164200</v>
      </c>
      <c r="F15" s="164">
        <f t="shared" si="4"/>
        <v>230900</v>
      </c>
      <c r="G15" s="794">
        <f t="shared" si="4"/>
        <v>344400</v>
      </c>
      <c r="H15" s="156">
        <v>0.13</v>
      </c>
      <c r="I15" s="178">
        <f>+H15</f>
        <v>0.13</v>
      </c>
      <c r="J15" s="178">
        <f>+H15</f>
        <v>0.13</v>
      </c>
      <c r="K15" s="178">
        <f>+H15</f>
        <v>0.13</v>
      </c>
      <c r="L15" s="1164">
        <f>+H15</f>
        <v>0.13</v>
      </c>
      <c r="M15" s="1165">
        <f>CEILING(C15*(1+H15),100)</f>
        <v>154600</v>
      </c>
      <c r="N15" s="180">
        <f t="shared" si="1"/>
        <v>208700</v>
      </c>
      <c r="O15" s="180">
        <f t="shared" si="2"/>
        <v>216500</v>
      </c>
      <c r="P15" s="180">
        <f t="shared" si="0"/>
        <v>261000</v>
      </c>
      <c r="Q15" s="181">
        <f t="shared" si="0"/>
        <v>389200</v>
      </c>
      <c r="R15" s="175"/>
    </row>
    <row r="16" spans="1:256" ht="19.5" customHeight="1" thickBot="1" x14ac:dyDescent="0.25">
      <c r="A16" s="786" t="s">
        <v>66</v>
      </c>
      <c r="B16" s="790" t="s">
        <v>63</v>
      </c>
      <c r="C16" s="791">
        <v>33700</v>
      </c>
      <c r="D16" s="792">
        <v>40400</v>
      </c>
      <c r="E16" s="792">
        <v>40400</v>
      </c>
      <c r="F16" s="792">
        <v>42300</v>
      </c>
      <c r="G16" s="797">
        <v>50600</v>
      </c>
      <c r="H16" s="156">
        <v>0.13</v>
      </c>
      <c r="I16" s="182">
        <f>+H16</f>
        <v>0.13</v>
      </c>
      <c r="J16" s="182">
        <f>+H16</f>
        <v>0.13</v>
      </c>
      <c r="K16" s="182">
        <f>+H16</f>
        <v>0.13</v>
      </c>
      <c r="L16" s="1167">
        <f>+H16</f>
        <v>0.13</v>
      </c>
      <c r="M16" s="1168">
        <f>CEILING(C16*(1+H16),100)</f>
        <v>38100</v>
      </c>
      <c r="N16" s="183">
        <f t="shared" si="1"/>
        <v>51500</v>
      </c>
      <c r="O16" s="183">
        <f t="shared" si="2"/>
        <v>53400</v>
      </c>
      <c r="P16" s="183">
        <f t="shared" si="0"/>
        <v>47800</v>
      </c>
      <c r="Q16" s="184">
        <f t="shared" si="0"/>
        <v>57200</v>
      </c>
    </row>
    <row r="17" spans="1:18" ht="12.75" customHeight="1" thickBot="1" x14ac:dyDescent="0.25">
      <c r="A17" s="1214" t="s">
        <v>67</v>
      </c>
      <c r="B17" s="152" t="s">
        <v>63</v>
      </c>
      <c r="C17" s="1227"/>
      <c r="D17" s="1227"/>
      <c r="E17" s="1227"/>
      <c r="F17" s="1227"/>
      <c r="G17" s="1227"/>
      <c r="H17" s="1228"/>
      <c r="I17" s="1228"/>
      <c r="J17" s="1228"/>
      <c r="K17" s="1228"/>
      <c r="L17" s="1228"/>
      <c r="M17" s="1229"/>
      <c r="N17" s="1229"/>
      <c r="O17" s="1229"/>
      <c r="P17" s="1229"/>
      <c r="Q17" s="1229"/>
    </row>
    <row r="18" spans="1:18" ht="12.75" customHeight="1" x14ac:dyDescent="0.2">
      <c r="A18" s="1214"/>
      <c r="B18" s="162" t="s">
        <v>64</v>
      </c>
      <c r="C18" s="1227"/>
      <c r="D18" s="1227"/>
      <c r="E18" s="1227"/>
      <c r="F18" s="1227"/>
      <c r="G18" s="1227"/>
      <c r="H18" s="1228"/>
      <c r="I18" s="1228"/>
      <c r="J18" s="1228"/>
      <c r="K18" s="1228"/>
      <c r="L18" s="1228"/>
      <c r="M18" s="1229"/>
      <c r="N18" s="1229"/>
      <c r="O18" s="1229"/>
      <c r="P18" s="1229"/>
      <c r="Q18" s="1229"/>
    </row>
    <row r="19" spans="1:18" ht="12.75" customHeight="1" x14ac:dyDescent="0.2"/>
    <row r="20" spans="1:18" ht="15.75" customHeight="1" x14ac:dyDescent="0.2">
      <c r="A20" s="1208" t="s">
        <v>68</v>
      </c>
      <c r="B20" s="1221" t="s">
        <v>42</v>
      </c>
      <c r="C20" s="1190" t="s">
        <v>44</v>
      </c>
      <c r="D20" s="1190"/>
      <c r="E20" s="1190"/>
      <c r="F20" s="1190"/>
      <c r="G20" s="1190"/>
      <c r="H20" s="1222" t="s">
        <v>61</v>
      </c>
      <c r="I20" s="1222"/>
      <c r="J20" s="1222"/>
      <c r="K20" s="1222"/>
      <c r="L20" s="1222"/>
      <c r="M20" s="1190" t="s">
        <v>336</v>
      </c>
      <c r="N20" s="1190"/>
      <c r="O20" s="1190"/>
      <c r="P20" s="1190"/>
      <c r="Q20" s="1190"/>
      <c r="R20" s="147"/>
    </row>
    <row r="21" spans="1:18" ht="74.25" customHeight="1" thickBot="1" x14ac:dyDescent="0.25">
      <c r="A21" s="1208"/>
      <c r="B21" s="1221"/>
      <c r="C21" s="74" t="s">
        <v>48</v>
      </c>
      <c r="D21" s="75" t="s">
        <v>49</v>
      </c>
      <c r="E21" s="75" t="s">
        <v>50</v>
      </c>
      <c r="F21" s="75" t="s">
        <v>51</v>
      </c>
      <c r="G21" s="77" t="s">
        <v>52</v>
      </c>
      <c r="H21" s="185" t="s">
        <v>48</v>
      </c>
      <c r="I21" s="186" t="s">
        <v>49</v>
      </c>
      <c r="J21" s="186" t="s">
        <v>50</v>
      </c>
      <c r="K21" s="186" t="s">
        <v>51</v>
      </c>
      <c r="L21" s="187" t="s">
        <v>52</v>
      </c>
      <c r="M21" s="74" t="s">
        <v>48</v>
      </c>
      <c r="N21" s="75" t="s">
        <v>49</v>
      </c>
      <c r="O21" s="75" t="s">
        <v>50</v>
      </c>
      <c r="P21" s="75" t="s">
        <v>51</v>
      </c>
      <c r="Q21" s="77" t="s">
        <v>52</v>
      </c>
      <c r="R21" s="147"/>
    </row>
    <row r="22" spans="1:18" ht="12.75" customHeight="1" thickBot="1" x14ac:dyDescent="0.25">
      <c r="A22" s="1214" t="s">
        <v>69</v>
      </c>
      <c r="B22" s="188" t="s">
        <v>70</v>
      </c>
      <c r="C22" s="153">
        <v>327700</v>
      </c>
      <c r="D22" s="154">
        <v>393300</v>
      </c>
      <c r="E22" s="154">
        <v>393300</v>
      </c>
      <c r="F22" s="154">
        <v>409600</v>
      </c>
      <c r="G22" s="155">
        <v>491600</v>
      </c>
      <c r="H22" s="156">
        <v>0.06</v>
      </c>
      <c r="I22" s="157">
        <f>+H22</f>
        <v>0.06</v>
      </c>
      <c r="J22" s="157">
        <f>+H22</f>
        <v>0.06</v>
      </c>
      <c r="K22" s="157">
        <f>+H22</f>
        <v>0.06</v>
      </c>
      <c r="L22" s="158">
        <f>+H22</f>
        <v>0.06</v>
      </c>
      <c r="M22" s="1162">
        <f>CEILING(C22*(1+H22),100)</f>
        <v>347400</v>
      </c>
      <c r="N22" s="159">
        <f>+CEILING(C22*(1.35)*(1+I22),100)</f>
        <v>469000</v>
      </c>
      <c r="O22" s="159">
        <f>+CEILING(C22*(1.4)*(1+J22),100)</f>
        <v>486400</v>
      </c>
      <c r="P22" s="159">
        <f>+CEILING(F22*(1+K22),100)</f>
        <v>434200</v>
      </c>
      <c r="Q22" s="160">
        <f>+CEILING(G22*(1+L22),100)</f>
        <v>521100</v>
      </c>
      <c r="R22" s="175"/>
    </row>
    <row r="23" spans="1:18" ht="13.5" thickBot="1" x14ac:dyDescent="0.25">
      <c r="A23" s="1214"/>
      <c r="B23" s="189" t="s">
        <v>71</v>
      </c>
      <c r="C23" s="1215"/>
      <c r="D23" s="1215"/>
      <c r="E23" s="1215"/>
      <c r="F23" s="1215"/>
      <c r="G23" s="1215"/>
      <c r="H23" s="785"/>
      <c r="I23" s="1217"/>
      <c r="J23" s="1217"/>
      <c r="K23" s="1217"/>
      <c r="L23" s="1217"/>
      <c r="M23" s="1216"/>
      <c r="N23" s="1217"/>
      <c r="O23" s="1217"/>
      <c r="P23" s="1217"/>
      <c r="Q23" s="1217"/>
      <c r="R23" s="175"/>
    </row>
    <row r="24" spans="1:18" ht="13.5" thickBot="1" x14ac:dyDescent="0.25">
      <c r="A24" s="1214"/>
      <c r="B24" s="190" t="s">
        <v>72</v>
      </c>
      <c r="C24" s="163">
        <v>196700</v>
      </c>
      <c r="D24" s="164">
        <v>236000</v>
      </c>
      <c r="E24" s="164">
        <v>236000</v>
      </c>
      <c r="F24" s="164">
        <v>295000</v>
      </c>
      <c r="G24" s="165">
        <v>393300</v>
      </c>
      <c r="H24" s="177">
        <v>0.06</v>
      </c>
      <c r="I24" s="178">
        <f>+H24</f>
        <v>0.06</v>
      </c>
      <c r="J24" s="178">
        <f>+H24</f>
        <v>0.06</v>
      </c>
      <c r="K24" s="178">
        <f>+H24</f>
        <v>0.06</v>
      </c>
      <c r="L24" s="179">
        <f>+H24</f>
        <v>0.06</v>
      </c>
      <c r="M24" s="1163">
        <f>CEILING(C24*(1+H24),100)</f>
        <v>208600</v>
      </c>
      <c r="N24" s="1166">
        <f>+CEILING(C24*(1.35)*(1+I24),100)</f>
        <v>281500</v>
      </c>
      <c r="O24" s="1166">
        <f>+CEILING(C24*(1.4)*(1+J24),100)</f>
        <v>292000</v>
      </c>
      <c r="P24" s="170">
        <f>CEILING(F24*(1+K24),100)</f>
        <v>312700</v>
      </c>
      <c r="Q24" s="171">
        <f>CEILING(G24*(1+L24),100)</f>
        <v>416900</v>
      </c>
      <c r="R24" s="175"/>
    </row>
    <row r="25" spans="1:18" ht="12.75" customHeight="1" thickBot="1" x14ac:dyDescent="0.25">
      <c r="A25" s="1218" t="s">
        <v>73</v>
      </c>
      <c r="B25" s="191" t="s">
        <v>70</v>
      </c>
      <c r="C25" s="592">
        <f>C22</f>
        <v>327700</v>
      </c>
      <c r="D25" s="592">
        <f t="shared" ref="D25:G25" si="5">D22</f>
        <v>393300</v>
      </c>
      <c r="E25" s="592">
        <f t="shared" si="5"/>
        <v>393300</v>
      </c>
      <c r="F25" s="592">
        <f t="shared" si="5"/>
        <v>409600</v>
      </c>
      <c r="G25" s="592">
        <f t="shared" si="5"/>
        <v>491600</v>
      </c>
      <c r="H25" s="156">
        <v>0.06</v>
      </c>
      <c r="I25" s="157">
        <f>+H25</f>
        <v>0.06</v>
      </c>
      <c r="J25" s="157">
        <f>+H25</f>
        <v>0.06</v>
      </c>
      <c r="K25" s="157">
        <f>+H25</f>
        <v>0.06</v>
      </c>
      <c r="L25" s="158">
        <f>+H25</f>
        <v>0.06</v>
      </c>
      <c r="M25" s="172">
        <f>CEILING(C25*(1+H25),100)</f>
        <v>347400</v>
      </c>
      <c r="N25" s="173">
        <f>+CEILING(C25*(1.35)*(1+I25),100)</f>
        <v>469000</v>
      </c>
      <c r="O25" s="173">
        <f>+CEILING(C25*(1.4)*(1+J25),100)</f>
        <v>486400</v>
      </c>
      <c r="P25" s="173">
        <f>+CEILING(F25*(1+K25),100)</f>
        <v>434200</v>
      </c>
      <c r="Q25" s="174">
        <f>+CEILING(G25*(1+L25),100)</f>
        <v>521100</v>
      </c>
    </row>
    <row r="26" spans="1:18" ht="13.5" thickBot="1" x14ac:dyDescent="0.25">
      <c r="A26" s="1218"/>
      <c r="B26" s="189" t="s">
        <v>71</v>
      </c>
      <c r="C26" s="788">
        <v>264300</v>
      </c>
      <c r="D26" s="192"/>
      <c r="E26" s="192"/>
      <c r="F26" s="192"/>
      <c r="G26" s="193"/>
      <c r="H26" s="194">
        <v>0.06</v>
      </c>
      <c r="I26" s="1219"/>
      <c r="J26" s="1219"/>
      <c r="K26" s="1219"/>
      <c r="L26" s="1219"/>
      <c r="M26" s="195">
        <f>CEILING(C26*(1+H26),100)</f>
        <v>280200</v>
      </c>
      <c r="N26" s="1220"/>
      <c r="O26" s="1220"/>
      <c r="P26" s="1220"/>
      <c r="Q26" s="1220"/>
    </row>
    <row r="27" spans="1:18" ht="13.5" thickBot="1" x14ac:dyDescent="0.25">
      <c r="A27" s="1218"/>
      <c r="B27" s="190" t="s">
        <v>72</v>
      </c>
      <c r="C27" s="163">
        <f>C24</f>
        <v>196700</v>
      </c>
      <c r="D27" s="163">
        <f t="shared" ref="D27:G27" si="6">D24</f>
        <v>236000</v>
      </c>
      <c r="E27" s="163">
        <f t="shared" si="6"/>
        <v>236000</v>
      </c>
      <c r="F27" s="163">
        <f t="shared" si="6"/>
        <v>295000</v>
      </c>
      <c r="G27" s="163">
        <f t="shared" si="6"/>
        <v>393300</v>
      </c>
      <c r="H27" s="166">
        <v>0.06</v>
      </c>
      <c r="I27" s="167">
        <f>+H27</f>
        <v>0.06</v>
      </c>
      <c r="J27" s="167">
        <f>+H27</f>
        <v>0.06</v>
      </c>
      <c r="K27" s="167">
        <f>+H27</f>
        <v>0.06</v>
      </c>
      <c r="L27" s="168">
        <f>+H27</f>
        <v>0.06</v>
      </c>
      <c r="M27" s="169">
        <f>CEILING(C27*(1+H27),100)</f>
        <v>208600</v>
      </c>
      <c r="N27" s="170">
        <f>+CEILING(C27*(1.35)*(1+I27),100)</f>
        <v>281500</v>
      </c>
      <c r="O27" s="170">
        <f>+CEILING(C27*(1.4)*(1+J27),100)</f>
        <v>292000</v>
      </c>
      <c r="P27" s="170">
        <f>CEILING(F27*(1+K27),100)</f>
        <v>312700</v>
      </c>
      <c r="Q27" s="171">
        <f>CEILING(G27*(1+L27),100)</f>
        <v>416900</v>
      </c>
    </row>
    <row r="31" spans="1:18" x14ac:dyDescent="0.2">
      <c r="D31" s="196"/>
    </row>
    <row r="32" spans="1:18" ht="15.75" x14ac:dyDescent="0.2">
      <c r="A32" s="1211" t="s">
        <v>7</v>
      </c>
      <c r="B32" s="1211"/>
      <c r="C32" s="1211"/>
      <c r="D32" s="1211"/>
      <c r="E32" s="1211"/>
      <c r="F32" s="1211"/>
      <c r="G32" s="21"/>
      <c r="H32" s="21"/>
    </row>
    <row r="34" spans="1:13" ht="16.5" customHeight="1" x14ac:dyDescent="0.2">
      <c r="A34" s="1212" t="s">
        <v>60</v>
      </c>
      <c r="B34" s="1213" t="s">
        <v>42</v>
      </c>
      <c r="C34" s="1210" t="s">
        <v>337</v>
      </c>
      <c r="D34" s="1210"/>
      <c r="E34" s="1210"/>
      <c r="F34" s="1210"/>
      <c r="G34" s="1210"/>
      <c r="H34" s="1210"/>
    </row>
    <row r="35" spans="1:13" ht="63.75" x14ac:dyDescent="0.2">
      <c r="A35" s="1212"/>
      <c r="B35" s="1213"/>
      <c r="C35" s="197" t="s">
        <v>48</v>
      </c>
      <c r="D35" s="198" t="s">
        <v>49</v>
      </c>
      <c r="E35" s="198" t="s">
        <v>50</v>
      </c>
      <c r="F35" s="198" t="s">
        <v>51</v>
      </c>
      <c r="G35" s="199" t="s">
        <v>52</v>
      </c>
      <c r="H35" s="575" t="s">
        <v>74</v>
      </c>
    </row>
    <row r="36" spans="1:13" ht="20.25" customHeight="1" thickBot="1" x14ac:dyDescent="0.25">
      <c r="A36" s="1204" t="str">
        <f>+A12</f>
        <v>Jardín Infantil Lobito Marino</v>
      </c>
      <c r="B36" s="200" t="str">
        <f>+B12</f>
        <v>Media jornada</v>
      </c>
      <c r="C36" s="201">
        <v>29</v>
      </c>
      <c r="D36" s="202">
        <v>1</v>
      </c>
      <c r="E36" s="202">
        <v>0</v>
      </c>
      <c r="F36" s="202">
        <v>2</v>
      </c>
      <c r="G36" s="203">
        <v>1</v>
      </c>
      <c r="H36" s="204">
        <f>SUM(C36:G36)</f>
        <v>33</v>
      </c>
    </row>
    <row r="37" spans="1:13" ht="20.25" customHeight="1" thickBot="1" x14ac:dyDescent="0.25">
      <c r="A37" s="1204"/>
      <c r="B37" s="205" t="str">
        <f t="shared" ref="B37:B42" si="7">+B13</f>
        <v>Jornada completa</v>
      </c>
      <c r="C37" s="1065">
        <v>95</v>
      </c>
      <c r="D37" s="702">
        <v>0</v>
      </c>
      <c r="E37" s="702">
        <v>0</v>
      </c>
      <c r="F37" s="702">
        <v>2</v>
      </c>
      <c r="G37" s="703">
        <v>0</v>
      </c>
      <c r="H37" s="209">
        <f>SUM(C37:G37)</f>
        <v>97</v>
      </c>
      <c r="I37" s="210">
        <f>SUM(H36:H37)</f>
        <v>130</v>
      </c>
      <c r="J37" s="211"/>
      <c r="K37" s="211"/>
      <c r="L37" s="211"/>
      <c r="M37" s="211"/>
    </row>
    <row r="38" spans="1:13" ht="20.25" customHeight="1" thickBot="1" x14ac:dyDescent="0.25">
      <c r="A38" s="1205" t="str">
        <f>+A14</f>
        <v>Jardín Infantil Los Delfines</v>
      </c>
      <c r="B38" s="200" t="str">
        <f t="shared" si="7"/>
        <v>Media jornada</v>
      </c>
      <c r="C38" s="232">
        <v>0</v>
      </c>
      <c r="D38" s="232">
        <v>0</v>
      </c>
      <c r="E38" s="232">
        <v>0</v>
      </c>
      <c r="F38" s="232">
        <v>0</v>
      </c>
      <c r="G38" s="232">
        <v>0</v>
      </c>
      <c r="H38" s="700">
        <f>SUM(C38:G38)</f>
        <v>0</v>
      </c>
      <c r="I38" s="212"/>
      <c r="J38" s="211"/>
      <c r="K38" s="211"/>
      <c r="L38" s="213"/>
      <c r="M38" s="211"/>
    </row>
    <row r="39" spans="1:13" ht="20.25" customHeight="1" thickBot="1" x14ac:dyDescent="0.25">
      <c r="A39" s="1205"/>
      <c r="B39" s="214" t="str">
        <f t="shared" si="7"/>
        <v>Jornada completa</v>
      </c>
      <c r="C39" s="232">
        <v>120</v>
      </c>
      <c r="D39" s="232">
        <v>0</v>
      </c>
      <c r="E39" s="232">
        <v>0</v>
      </c>
      <c r="F39" s="232">
        <v>0</v>
      </c>
      <c r="G39" s="232">
        <v>0</v>
      </c>
      <c r="H39" s="701">
        <f>SUM(C39:G39)</f>
        <v>120</v>
      </c>
      <c r="I39" s="210">
        <f>SUM(H38:H39)</f>
        <v>120</v>
      </c>
      <c r="J39" s="216"/>
      <c r="K39" s="211"/>
      <c r="L39" s="213"/>
      <c r="M39" s="211"/>
    </row>
    <row r="40" spans="1:13" ht="20.25" customHeight="1" thickBot="1" x14ac:dyDescent="0.25">
      <c r="A40" s="566" t="str">
        <f>+A16</f>
        <v>Jardín Infantil Pecesitos de Colores</v>
      </c>
      <c r="B40" s="217" t="str">
        <f t="shared" si="7"/>
        <v>Media jornada</v>
      </c>
      <c r="C40" s="704">
        <v>24</v>
      </c>
      <c r="D40" s="704">
        <v>0</v>
      </c>
      <c r="E40" s="704">
        <v>0</v>
      </c>
      <c r="F40" s="704">
        <v>1</v>
      </c>
      <c r="G40" s="705">
        <v>0</v>
      </c>
      <c r="H40" s="215">
        <f>SUM(C40:G40)</f>
        <v>25</v>
      </c>
      <c r="I40" s="210">
        <f>+H40</f>
        <v>25</v>
      </c>
      <c r="J40" s="216"/>
      <c r="K40" s="211"/>
      <c r="L40" s="211"/>
      <c r="M40" s="211"/>
    </row>
    <row r="41" spans="1:13" ht="20.25" customHeight="1" thickBot="1" x14ac:dyDescent="0.25">
      <c r="A41" s="1206" t="str">
        <f>+A17</f>
        <v>Jardín Infantil Caracolito de Mar</v>
      </c>
      <c r="B41" s="218" t="str">
        <f t="shared" si="7"/>
        <v>Media jornada</v>
      </c>
      <c r="C41" s="1207"/>
      <c r="D41" s="1207"/>
      <c r="E41" s="1207"/>
      <c r="F41" s="1207"/>
      <c r="G41" s="1207"/>
      <c r="H41" s="219"/>
      <c r="I41" s="212"/>
    </row>
    <row r="42" spans="1:13" ht="20.25" customHeight="1" x14ac:dyDescent="0.2">
      <c r="A42" s="1206"/>
      <c r="B42" s="205" t="str">
        <f t="shared" si="7"/>
        <v>Jornada completa</v>
      </c>
      <c r="C42" s="1207"/>
      <c r="D42" s="1207"/>
      <c r="E42" s="1207"/>
      <c r="F42" s="1207"/>
      <c r="G42" s="1207"/>
      <c r="H42" s="220"/>
      <c r="I42" s="212"/>
    </row>
    <row r="43" spans="1:13" x14ac:dyDescent="0.2">
      <c r="I43" s="212"/>
    </row>
    <row r="44" spans="1:13" ht="16.5" customHeight="1" x14ac:dyDescent="0.2">
      <c r="A44" s="1208" t="s">
        <v>68</v>
      </c>
      <c r="B44" s="1209" t="s">
        <v>42</v>
      </c>
      <c r="C44" s="1210" t="s">
        <v>337</v>
      </c>
      <c r="D44" s="1210"/>
      <c r="E44" s="1210"/>
      <c r="F44" s="1210"/>
      <c r="G44" s="1210"/>
      <c r="H44" s="1210"/>
      <c r="I44" s="212"/>
    </row>
    <row r="45" spans="1:13" ht="63.75" x14ac:dyDescent="0.2">
      <c r="A45" s="1208"/>
      <c r="B45" s="1209"/>
      <c r="C45" s="197" t="s">
        <v>48</v>
      </c>
      <c r="D45" s="198" t="s">
        <v>49</v>
      </c>
      <c r="E45" s="198" t="s">
        <v>50</v>
      </c>
      <c r="F45" s="198" t="s">
        <v>51</v>
      </c>
      <c r="G45" s="199" t="s">
        <v>52</v>
      </c>
      <c r="H45" s="575" t="s">
        <v>74</v>
      </c>
      <c r="I45" s="212"/>
    </row>
    <row r="46" spans="1:13" ht="20.25" customHeight="1" x14ac:dyDescent="0.2">
      <c r="A46" s="1202" t="str">
        <f>+A22</f>
        <v>Sala Cuna Caracolito de Mar</v>
      </c>
      <c r="B46" s="221" t="str">
        <f>+B22</f>
        <v>Diurna</v>
      </c>
      <c r="C46" s="706">
        <v>34</v>
      </c>
      <c r="D46" s="202">
        <v>0</v>
      </c>
      <c r="E46" s="202">
        <v>0</v>
      </c>
      <c r="F46" s="202">
        <v>0</v>
      </c>
      <c r="G46" s="203">
        <v>0</v>
      </c>
      <c r="H46" s="204">
        <f>SUM(C46:G46)</f>
        <v>34</v>
      </c>
      <c r="I46" s="222"/>
    </row>
    <row r="47" spans="1:13" ht="20.25" customHeight="1" x14ac:dyDescent="0.2">
      <c r="A47" s="1202"/>
      <c r="B47" s="223" t="str">
        <f>+B23</f>
        <v>Nocturna</v>
      </c>
      <c r="C47" s="1203"/>
      <c r="D47" s="1203"/>
      <c r="E47" s="1203"/>
      <c r="F47" s="1203"/>
      <c r="G47" s="1203"/>
      <c r="H47" s="224"/>
      <c r="I47" s="212"/>
    </row>
    <row r="48" spans="1:13" ht="20.25" customHeight="1" x14ac:dyDescent="0.2">
      <c r="A48" s="1202"/>
      <c r="B48" s="225" t="str">
        <f>+B24</f>
        <v>Media Jornada</v>
      </c>
      <c r="C48" s="206"/>
      <c r="D48" s="207"/>
      <c r="E48" s="207"/>
      <c r="F48" s="207"/>
      <c r="G48" s="208"/>
      <c r="H48" s="209">
        <f>SUM(C48:G48)</f>
        <v>0</v>
      </c>
      <c r="I48" s="210">
        <f>+H46+H48</f>
        <v>34</v>
      </c>
    </row>
    <row r="49" spans="1:9" ht="20.25" customHeight="1" x14ac:dyDescent="0.2">
      <c r="A49" s="1204" t="str">
        <f>+A25</f>
        <v>Sala Cuna Mar Azul</v>
      </c>
      <c r="B49" s="218" t="str">
        <f>+B25</f>
        <v>Diurna</v>
      </c>
      <c r="C49" s="226">
        <v>70</v>
      </c>
      <c r="D49" s="227">
        <v>0</v>
      </c>
      <c r="E49" s="227">
        <v>0</v>
      </c>
      <c r="F49" s="227">
        <v>0</v>
      </c>
      <c r="G49" s="228">
        <v>0</v>
      </c>
      <c r="H49" s="229">
        <f>SUM(C49:G49)</f>
        <v>70</v>
      </c>
      <c r="I49" s="212"/>
    </row>
    <row r="50" spans="1:9" ht="20.25" customHeight="1" x14ac:dyDescent="0.2">
      <c r="A50" s="1204"/>
      <c r="B50" s="230" t="str">
        <f>+B26</f>
        <v>Nocturna</v>
      </c>
      <c r="C50" s="231">
        <v>20</v>
      </c>
      <c r="D50" s="232">
        <v>0</v>
      </c>
      <c r="E50" s="232">
        <v>0</v>
      </c>
      <c r="F50" s="232">
        <v>0</v>
      </c>
      <c r="G50" s="233">
        <v>0</v>
      </c>
      <c r="H50" s="234">
        <f>SUM(C50:G50)</f>
        <v>20</v>
      </c>
      <c r="I50" s="212"/>
    </row>
    <row r="51" spans="1:9" ht="20.25" customHeight="1" x14ac:dyDescent="0.2">
      <c r="A51" s="1204"/>
      <c r="B51" s="205" t="str">
        <f>+B27</f>
        <v>Media Jornada</v>
      </c>
      <c r="C51" s="206">
        <v>0</v>
      </c>
      <c r="D51" s="207">
        <v>0</v>
      </c>
      <c r="E51" s="207">
        <v>0</v>
      </c>
      <c r="F51" s="207">
        <v>0</v>
      </c>
      <c r="G51" s="208">
        <v>0</v>
      </c>
      <c r="H51" s="209">
        <f>SUM(C51:G51)</f>
        <v>0</v>
      </c>
      <c r="I51" s="210">
        <f>+H49+H51</f>
        <v>70</v>
      </c>
    </row>
  </sheetData>
  <sheetProtection algorithmName="SHA-512" hashValue="4Yhc3fnMLNT1bZyk+0k8qloZnx4mwppl+OxssDAEMPBrTucUl7vp7hOsEbiIvu7G7mIl12NTqBgvMgsqyx9nqQ==" saltValue="HwH0TwzNNSCoiAayMeYCPQ==" spinCount="100000" sheet="1" objects="1" scenarios="1"/>
  <mergeCells count="40">
    <mergeCell ref="C5:D5"/>
    <mergeCell ref="F5:G5"/>
    <mergeCell ref="A8:D8"/>
    <mergeCell ref="A10:A11"/>
    <mergeCell ref="B10:B11"/>
    <mergeCell ref="C10:G10"/>
    <mergeCell ref="H10:L10"/>
    <mergeCell ref="M10:Q10"/>
    <mergeCell ref="A12:A13"/>
    <mergeCell ref="A14:A15"/>
    <mergeCell ref="A17:A18"/>
    <mergeCell ref="C17:G18"/>
    <mergeCell ref="H17:L18"/>
    <mergeCell ref="M17:Q18"/>
    <mergeCell ref="A20:A21"/>
    <mergeCell ref="B20:B21"/>
    <mergeCell ref="C20:G20"/>
    <mergeCell ref="H20:L20"/>
    <mergeCell ref="M20:Q20"/>
    <mergeCell ref="A22:A24"/>
    <mergeCell ref="C23:G23"/>
    <mergeCell ref="M23:Q23"/>
    <mergeCell ref="A25:A27"/>
    <mergeCell ref="I26:L26"/>
    <mergeCell ref="N26:Q26"/>
    <mergeCell ref="I23:L23"/>
    <mergeCell ref="A32:F32"/>
    <mergeCell ref="A34:A35"/>
    <mergeCell ref="B34:B35"/>
    <mergeCell ref="C34:H34"/>
    <mergeCell ref="A36:A37"/>
    <mergeCell ref="A46:A48"/>
    <mergeCell ref="C47:G47"/>
    <mergeCell ref="A49:A51"/>
    <mergeCell ref="A38:A39"/>
    <mergeCell ref="A41:A42"/>
    <mergeCell ref="C41:G42"/>
    <mergeCell ref="A44:A45"/>
    <mergeCell ref="B44:B45"/>
    <mergeCell ref="C44:H44"/>
  </mergeCells>
  <pageMargins left="0.7" right="0.7" top="0.75" bottom="0.75" header="0.51180555555555496" footer="0.51180555555555496"/>
  <pageSetup paperSize="9" firstPageNumber="0" orientation="portrait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C00000"/>
    <pageSetUpPr fitToPage="1"/>
  </sheetPr>
  <dimension ref="A1:AMK538"/>
  <sheetViews>
    <sheetView showGridLines="0" topLeftCell="D311" zoomScaleNormal="100" workbookViewId="0">
      <selection activeCell="I158" sqref="I158"/>
    </sheetView>
  </sheetViews>
  <sheetFormatPr baseColWidth="10" defaultColWidth="9.140625" defaultRowHeight="12.75" x14ac:dyDescent="0.2"/>
  <cols>
    <col min="1" max="1" width="31.42578125" style="19"/>
    <col min="2" max="2" width="21.5703125" style="19"/>
    <col min="3" max="3" width="66.5703125" style="19" customWidth="1"/>
    <col min="4" max="4" width="19.140625" style="19" bestFit="1" customWidth="1"/>
    <col min="5" max="5" width="14.85546875" style="19"/>
    <col min="6" max="6" width="14.85546875" style="235"/>
    <col min="7" max="7" width="14.85546875" style="21"/>
    <col min="8" max="8" width="23.5703125" style="21"/>
    <col min="9" max="9" width="11.5703125" style="236" customWidth="1"/>
    <col min="10" max="10" width="16.140625" style="236"/>
    <col min="11" max="11" width="96.5703125" style="19"/>
    <col min="12" max="12" width="14.85546875" style="19"/>
    <col min="13" max="13" width="13.85546875" style="19"/>
    <col min="14" max="14" width="14" style="19"/>
    <col min="15" max="15" width="13.42578125" style="19"/>
    <col min="16" max="1025" width="11.5703125" style="19"/>
    <col min="1026" max="16384" width="9.140625" style="579"/>
  </cols>
  <sheetData>
    <row r="1" spans="1:8" x14ac:dyDescent="0.2">
      <c r="C1" s="4"/>
      <c r="D1" s="4" t="s">
        <v>75</v>
      </c>
      <c r="E1" s="4"/>
      <c r="F1" s="4"/>
      <c r="G1" s="4"/>
      <c r="H1" s="4"/>
    </row>
    <row r="2" spans="1:8" x14ac:dyDescent="0.2">
      <c r="C2" s="4"/>
      <c r="D2" s="4" t="s">
        <v>76</v>
      </c>
      <c r="E2" s="4"/>
      <c r="F2" s="4"/>
      <c r="G2" s="4"/>
      <c r="H2" s="4"/>
    </row>
    <row r="3" spans="1:8" x14ac:dyDescent="0.2">
      <c r="C3" s="4"/>
      <c r="E3" s="4"/>
      <c r="F3" s="4"/>
      <c r="G3" s="4"/>
      <c r="H3" s="4"/>
    </row>
    <row r="4" spans="1:8" ht="19.5" customHeight="1" x14ac:dyDescent="0.2">
      <c r="C4" s="569" t="s">
        <v>27</v>
      </c>
      <c r="D4" s="1196" t="s">
        <v>77</v>
      </c>
      <c r="E4" s="1196"/>
      <c r="F4" s="4"/>
      <c r="G4" s="4"/>
      <c r="H4" s="4"/>
    </row>
    <row r="5" spans="1:8" x14ac:dyDescent="0.2">
      <c r="B5" s="4"/>
      <c r="C5" s="4"/>
      <c r="D5" s="4"/>
      <c r="E5" s="4"/>
      <c r="F5" s="4"/>
      <c r="G5" s="4"/>
      <c r="H5" s="4"/>
    </row>
    <row r="6" spans="1:8" x14ac:dyDescent="0.2">
      <c r="B6" s="4"/>
      <c r="C6" s="4"/>
      <c r="D6" s="4"/>
      <c r="E6" s="4"/>
      <c r="F6" s="4"/>
      <c r="G6" s="4"/>
      <c r="H6" s="4"/>
    </row>
    <row r="7" spans="1:8" x14ac:dyDescent="0.2">
      <c r="C7" s="21"/>
    </row>
    <row r="8" spans="1:8" ht="15.75" x14ac:dyDescent="0.2">
      <c r="A8" s="1211" t="s">
        <v>9</v>
      </c>
      <c r="B8" s="1211"/>
      <c r="C8" s="1211"/>
      <c r="D8" s="4"/>
      <c r="G8" s="19"/>
    </row>
    <row r="10" spans="1:8" ht="12.75" customHeight="1" x14ac:dyDescent="0.2">
      <c r="A10" s="1235" t="s">
        <v>29</v>
      </c>
      <c r="B10" s="1236" t="s">
        <v>78</v>
      </c>
      <c r="C10" s="1237" t="s">
        <v>79</v>
      </c>
      <c r="D10" s="1238" t="s">
        <v>80</v>
      </c>
      <c r="E10" s="1239" t="s">
        <v>81</v>
      </c>
      <c r="F10" s="1239"/>
      <c r="G10" s="1239"/>
      <c r="H10" s="1232" t="s">
        <v>338</v>
      </c>
    </row>
    <row r="11" spans="1:8" ht="25.5" x14ac:dyDescent="0.2">
      <c r="A11" s="1235"/>
      <c r="B11" s="1236"/>
      <c r="C11" s="1237"/>
      <c r="D11" s="1238"/>
      <c r="E11" s="38" t="s">
        <v>82</v>
      </c>
      <c r="F11" s="237" t="s">
        <v>83</v>
      </c>
      <c r="G11" s="570" t="s">
        <v>84</v>
      </c>
      <c r="H11" s="1232"/>
    </row>
    <row r="12" spans="1:8" ht="15.75" customHeight="1" x14ac:dyDescent="0.2">
      <c r="A12" s="1256" t="str">
        <f>+'B) Reajuste Tarifas y Ocupación'!A12</f>
        <v>Jardín Infantil Lobito Marino</v>
      </c>
      <c r="B12" s="238"/>
      <c r="C12" s="239" t="s">
        <v>85</v>
      </c>
      <c r="D12" s="240">
        <f>SUM(D13,D18)</f>
        <v>162993976.7086769</v>
      </c>
      <c r="E12" s="241"/>
      <c r="F12" s="241"/>
      <c r="G12" s="242">
        <f>SUM(G13,G18)</f>
        <v>41865743.280000001</v>
      </c>
      <c r="H12" s="243">
        <f>SUM(H13,H18)</f>
        <v>204859719.98867691</v>
      </c>
    </row>
    <row r="13" spans="1:8" x14ac:dyDescent="0.2">
      <c r="A13" s="1256"/>
      <c r="B13" s="244"/>
      <c r="C13" s="245" t="s">
        <v>86</v>
      </c>
      <c r="D13" s="246">
        <f>SUM(D14:D17)</f>
        <v>147870913.90000001</v>
      </c>
      <c r="E13" s="247"/>
      <c r="F13" s="247"/>
      <c r="G13" s="46">
        <f>SUM(G14:G17)</f>
        <v>677999.99999999988</v>
      </c>
      <c r="H13" s="248">
        <f>SUM(H14:H17)</f>
        <v>148548913.90000001</v>
      </c>
    </row>
    <row r="14" spans="1:8" x14ac:dyDescent="0.2">
      <c r="A14" s="1256"/>
      <c r="B14" s="593">
        <v>53103040100000</v>
      </c>
      <c r="C14" s="594" t="s">
        <v>87</v>
      </c>
      <c r="D14" s="277">
        <f>'F) Remuneraciones'!L11</f>
        <v>146329312.90000001</v>
      </c>
      <c r="E14" s="595"/>
      <c r="F14" s="596"/>
      <c r="G14" s="249">
        <f>E14*F14</f>
        <v>0</v>
      </c>
      <c r="H14" s="250">
        <f>D14+G14</f>
        <v>146329312.90000001</v>
      </c>
    </row>
    <row r="15" spans="1:8" x14ac:dyDescent="0.2">
      <c r="A15" s="1256"/>
      <c r="B15" s="593">
        <v>53103050000000</v>
      </c>
      <c r="C15" s="594" t="s">
        <v>88</v>
      </c>
      <c r="D15" s="251">
        <v>0</v>
      </c>
      <c r="E15" s="252">
        <v>0</v>
      </c>
      <c r="F15" s="253">
        <v>0</v>
      </c>
      <c r="G15" s="249">
        <f>E15*F15</f>
        <v>0</v>
      </c>
      <c r="H15" s="250">
        <f>D15+G15</f>
        <v>0</v>
      </c>
    </row>
    <row r="16" spans="1:8" x14ac:dyDescent="0.2">
      <c r="A16" s="1256"/>
      <c r="B16" s="598">
        <v>53103040400000</v>
      </c>
      <c r="C16" s="599" t="s">
        <v>89</v>
      </c>
      <c r="D16" s="251">
        <v>1541601</v>
      </c>
      <c r="E16" s="252">
        <v>0</v>
      </c>
      <c r="F16" s="253">
        <v>0</v>
      </c>
      <c r="G16" s="249">
        <f>E16*F16</f>
        <v>0</v>
      </c>
      <c r="H16" s="250">
        <f>D16+G16</f>
        <v>1541601</v>
      </c>
    </row>
    <row r="17" spans="1:8" x14ac:dyDescent="0.2">
      <c r="A17" s="1256"/>
      <c r="B17" s="593">
        <v>53103080010000</v>
      </c>
      <c r="C17" s="594" t="s">
        <v>90</v>
      </c>
      <c r="D17" s="251">
        <v>0</v>
      </c>
      <c r="E17" s="252">
        <f>50000*1.13</f>
        <v>56499.999999999993</v>
      </c>
      <c r="F17" s="253">
        <f>2*6</f>
        <v>12</v>
      </c>
      <c r="G17" s="249">
        <f>E17*F17</f>
        <v>677999.99999999988</v>
      </c>
      <c r="H17" s="250">
        <f>D17+G17</f>
        <v>677999.99999999988</v>
      </c>
    </row>
    <row r="18" spans="1:8" x14ac:dyDescent="0.2">
      <c r="A18" s="1256"/>
      <c r="B18" s="244"/>
      <c r="C18" s="245" t="s">
        <v>91</v>
      </c>
      <c r="D18" s="246">
        <f>SUM(D19:D38)</f>
        <v>15123062.808676889</v>
      </c>
      <c r="E18" s="247"/>
      <c r="F18" s="247"/>
      <c r="G18" s="246">
        <f>SUM(G19:G38)</f>
        <v>41187743.280000001</v>
      </c>
      <c r="H18" s="248">
        <f>SUM(H19:H38)</f>
        <v>56310806.088676892</v>
      </c>
    </row>
    <row r="19" spans="1:8" x14ac:dyDescent="0.2">
      <c r="A19" s="1256"/>
      <c r="B19" s="593">
        <v>53201010100000</v>
      </c>
      <c r="C19" s="594" t="s">
        <v>92</v>
      </c>
      <c r="D19" s="724">
        <v>0</v>
      </c>
      <c r="E19" s="724">
        <v>1859</v>
      </c>
      <c r="F19" s="720">
        <f>17*20*11</f>
        <v>3740</v>
      </c>
      <c r="G19" s="718">
        <f t="shared" ref="G19:G38" si="0">E19*F19</f>
        <v>6952660</v>
      </c>
      <c r="H19" s="719">
        <f t="shared" ref="H19:H38" si="1">D19+G19</f>
        <v>6952660</v>
      </c>
    </row>
    <row r="20" spans="1:8" x14ac:dyDescent="0.2">
      <c r="A20" s="1256"/>
      <c r="B20" s="593">
        <v>53201010100000</v>
      </c>
      <c r="C20" s="594" t="s">
        <v>93</v>
      </c>
      <c r="D20" s="724">
        <f>'H) Detalle Datos'!L26</f>
        <v>1980000</v>
      </c>
      <c r="E20" s="724">
        <f>1300*1.13</f>
        <v>1468.9999999999998</v>
      </c>
      <c r="F20" s="1069">
        <f>95*20*10</f>
        <v>19000</v>
      </c>
      <c r="G20" s="718">
        <f t="shared" si="0"/>
        <v>27910999.999999996</v>
      </c>
      <c r="H20" s="719">
        <f t="shared" si="1"/>
        <v>29890999.999999996</v>
      </c>
    </row>
    <row r="21" spans="1:8" x14ac:dyDescent="0.2">
      <c r="A21" s="1256"/>
      <c r="B21" s="593">
        <v>53201010100000</v>
      </c>
      <c r="C21" s="594" t="s">
        <v>94</v>
      </c>
      <c r="D21" s="251">
        <v>0</v>
      </c>
      <c r="E21" s="252">
        <f>E19</f>
        <v>1859</v>
      </c>
      <c r="F21" s="255">
        <f>2*20*6</f>
        <v>240</v>
      </c>
      <c r="G21" s="249">
        <f t="shared" si="0"/>
        <v>446160</v>
      </c>
      <c r="H21" s="250">
        <f t="shared" si="1"/>
        <v>446160</v>
      </c>
    </row>
    <row r="22" spans="1:8" x14ac:dyDescent="0.2">
      <c r="A22" s="1256"/>
      <c r="B22" s="593">
        <v>53202010100000</v>
      </c>
      <c r="C22" s="594" t="s">
        <v>95</v>
      </c>
      <c r="D22" s="252">
        <v>0</v>
      </c>
      <c r="E22" s="252">
        <v>0</v>
      </c>
      <c r="F22" s="256">
        <v>0</v>
      </c>
      <c r="G22" s="249">
        <f t="shared" si="0"/>
        <v>0</v>
      </c>
      <c r="H22" s="250">
        <f t="shared" si="1"/>
        <v>0</v>
      </c>
    </row>
    <row r="23" spans="1:8" x14ac:dyDescent="0.2">
      <c r="A23" s="1256"/>
      <c r="B23" s="593">
        <v>53203010100000</v>
      </c>
      <c r="C23" s="594" t="s">
        <v>96</v>
      </c>
      <c r="D23" s="257">
        <v>0</v>
      </c>
      <c r="E23" s="257">
        <v>0</v>
      </c>
      <c r="F23" s="258">
        <v>0</v>
      </c>
      <c r="G23" s="249">
        <f t="shared" si="0"/>
        <v>0</v>
      </c>
      <c r="H23" s="250">
        <f t="shared" si="1"/>
        <v>0</v>
      </c>
    </row>
    <row r="24" spans="1:8" x14ac:dyDescent="0.2">
      <c r="A24" s="1256"/>
      <c r="B24" s="593">
        <v>53203030000000</v>
      </c>
      <c r="C24" s="594" t="s">
        <v>97</v>
      </c>
      <c r="D24" s="257">
        <v>0</v>
      </c>
      <c r="E24" s="257">
        <v>0</v>
      </c>
      <c r="F24" s="258">
        <v>0</v>
      </c>
      <c r="G24" s="249">
        <f t="shared" si="0"/>
        <v>0</v>
      </c>
      <c r="H24" s="250">
        <f t="shared" si="1"/>
        <v>0</v>
      </c>
    </row>
    <row r="25" spans="1:8" x14ac:dyDescent="0.2">
      <c r="A25" s="1256"/>
      <c r="B25" s="593">
        <v>53204030000000</v>
      </c>
      <c r="C25" s="594" t="s">
        <v>98</v>
      </c>
      <c r="D25" s="257">
        <v>0</v>
      </c>
      <c r="E25" s="257">
        <f>18990*1.13</f>
        <v>21458.699999999997</v>
      </c>
      <c r="F25" s="258">
        <v>6</v>
      </c>
      <c r="G25" s="249">
        <f t="shared" si="0"/>
        <v>128752.19999999998</v>
      </c>
      <c r="H25" s="250">
        <f t="shared" si="1"/>
        <v>128752.19999999998</v>
      </c>
    </row>
    <row r="26" spans="1:8" x14ac:dyDescent="0.2">
      <c r="A26" s="1256"/>
      <c r="B26" s="593">
        <v>53204100100001</v>
      </c>
      <c r="C26" s="594" t="s">
        <v>99</v>
      </c>
      <c r="D26" s="1087">
        <f>'H) Detalle Datos'!AE59</f>
        <v>5928534.8086768892</v>
      </c>
      <c r="E26" s="257">
        <v>0</v>
      </c>
      <c r="F26" s="258">
        <v>0</v>
      </c>
      <c r="G26" s="249">
        <f t="shared" si="0"/>
        <v>0</v>
      </c>
      <c r="H26" s="1088">
        <f t="shared" si="1"/>
        <v>5928534.8086768892</v>
      </c>
    </row>
    <row r="27" spans="1:8" x14ac:dyDescent="0.2">
      <c r="A27" s="1256"/>
      <c r="B27" s="593">
        <v>53204130100000</v>
      </c>
      <c r="C27" s="594" t="s">
        <v>100</v>
      </c>
      <c r="D27" s="257">
        <f>'H) Detalle Datos'!M22</f>
        <v>500990</v>
      </c>
      <c r="E27" s="257">
        <v>0</v>
      </c>
      <c r="F27" s="258">
        <v>0</v>
      </c>
      <c r="G27" s="249">
        <f t="shared" si="0"/>
        <v>0</v>
      </c>
      <c r="H27" s="250">
        <f t="shared" si="1"/>
        <v>500990</v>
      </c>
    </row>
    <row r="28" spans="1:8" x14ac:dyDescent="0.2">
      <c r="A28" s="1256"/>
      <c r="B28" s="593">
        <v>53205010100000</v>
      </c>
      <c r="C28" s="594" t="s">
        <v>101</v>
      </c>
      <c r="D28" s="257">
        <v>2174644</v>
      </c>
      <c r="E28" s="257">
        <v>0</v>
      </c>
      <c r="F28" s="258">
        <v>0</v>
      </c>
      <c r="G28" s="249">
        <f t="shared" si="0"/>
        <v>0</v>
      </c>
      <c r="H28" s="250">
        <f t="shared" si="1"/>
        <v>2174644</v>
      </c>
    </row>
    <row r="29" spans="1:8" x14ac:dyDescent="0.2">
      <c r="A29" s="1256"/>
      <c r="B29" s="593">
        <v>53205020100000</v>
      </c>
      <c r="C29" s="594" t="s">
        <v>102</v>
      </c>
      <c r="D29" s="257">
        <v>2177785</v>
      </c>
      <c r="E29" s="257">
        <v>0</v>
      </c>
      <c r="F29" s="258">
        <v>0</v>
      </c>
      <c r="G29" s="249">
        <f t="shared" si="0"/>
        <v>0</v>
      </c>
      <c r="H29" s="250">
        <f t="shared" si="1"/>
        <v>2177785</v>
      </c>
    </row>
    <row r="30" spans="1:8" x14ac:dyDescent="0.2">
      <c r="A30" s="1256"/>
      <c r="B30" s="593">
        <v>53205030100000</v>
      </c>
      <c r="C30" s="594" t="s">
        <v>103</v>
      </c>
      <c r="D30" s="257">
        <v>2361109</v>
      </c>
      <c r="E30" s="257">
        <v>0</v>
      </c>
      <c r="F30" s="258">
        <v>0</v>
      </c>
      <c r="G30" s="249">
        <f t="shared" si="0"/>
        <v>0</v>
      </c>
      <c r="H30" s="250">
        <f t="shared" si="1"/>
        <v>2361109</v>
      </c>
    </row>
    <row r="31" spans="1:8" x14ac:dyDescent="0.2">
      <c r="A31" s="1256"/>
      <c r="B31" s="593">
        <v>53205050100000</v>
      </c>
      <c r="C31" s="594" t="s">
        <v>104</v>
      </c>
      <c r="D31" s="257">
        <v>0</v>
      </c>
      <c r="E31" s="257">
        <f>51793*1.13</f>
        <v>58526.09</v>
      </c>
      <c r="F31" s="258">
        <v>12</v>
      </c>
      <c r="G31" s="249">
        <f t="shared" si="0"/>
        <v>702313.08</v>
      </c>
      <c r="H31" s="250">
        <f t="shared" si="1"/>
        <v>702313.08</v>
      </c>
    </row>
    <row r="32" spans="1:8" x14ac:dyDescent="0.2">
      <c r="A32" s="1256"/>
      <c r="B32" s="593">
        <v>53205070100000</v>
      </c>
      <c r="C32" s="594" t="s">
        <v>105</v>
      </c>
      <c r="D32" s="257">
        <v>0</v>
      </c>
      <c r="E32" s="257">
        <v>0</v>
      </c>
      <c r="F32" s="258">
        <v>0</v>
      </c>
      <c r="G32" s="249">
        <f t="shared" si="0"/>
        <v>0</v>
      </c>
      <c r="H32" s="250">
        <f t="shared" si="1"/>
        <v>0</v>
      </c>
    </row>
    <row r="33" spans="1:8" x14ac:dyDescent="0.2">
      <c r="A33" s="1256"/>
      <c r="B33" s="593">
        <v>53208010100000</v>
      </c>
      <c r="C33" s="594" t="s">
        <v>106</v>
      </c>
      <c r="D33" s="257">
        <v>0</v>
      </c>
      <c r="E33" s="257">
        <v>936585</v>
      </c>
      <c r="F33" s="258">
        <v>2</v>
      </c>
      <c r="G33" s="249">
        <f t="shared" si="0"/>
        <v>1873170</v>
      </c>
      <c r="H33" s="250">
        <f t="shared" si="1"/>
        <v>1873170</v>
      </c>
    </row>
    <row r="34" spans="1:8" x14ac:dyDescent="0.2">
      <c r="A34" s="1256"/>
      <c r="B34" s="593">
        <v>53208070100001</v>
      </c>
      <c r="C34" s="594" t="s">
        <v>107</v>
      </c>
      <c r="D34" s="259">
        <v>0</v>
      </c>
      <c r="E34" s="259">
        <v>0</v>
      </c>
      <c r="F34" s="256">
        <v>0</v>
      </c>
      <c r="G34" s="249">
        <f t="shared" si="0"/>
        <v>0</v>
      </c>
      <c r="H34" s="250">
        <f t="shared" si="1"/>
        <v>0</v>
      </c>
    </row>
    <row r="35" spans="1:8" x14ac:dyDescent="0.2">
      <c r="A35" s="1256"/>
      <c r="B35" s="593">
        <v>53208100100001</v>
      </c>
      <c r="C35" s="594" t="s">
        <v>108</v>
      </c>
      <c r="D35" s="257">
        <v>0</v>
      </c>
      <c r="E35" s="257">
        <v>0</v>
      </c>
      <c r="F35" s="258">
        <v>0</v>
      </c>
      <c r="G35" s="249">
        <f t="shared" si="0"/>
        <v>0</v>
      </c>
      <c r="H35" s="250">
        <f t="shared" si="1"/>
        <v>0</v>
      </c>
    </row>
    <row r="36" spans="1:8" x14ac:dyDescent="0.2">
      <c r="A36" s="1256"/>
      <c r="B36" s="593">
        <v>53211030000000</v>
      </c>
      <c r="C36" s="594" t="s">
        <v>109</v>
      </c>
      <c r="D36" s="257">
        <v>0</v>
      </c>
      <c r="E36" s="257"/>
      <c r="F36" s="258">
        <v>0</v>
      </c>
      <c r="G36" s="249">
        <f t="shared" si="0"/>
        <v>0</v>
      </c>
      <c r="H36" s="250">
        <f t="shared" si="1"/>
        <v>0</v>
      </c>
    </row>
    <row r="37" spans="1:8" x14ac:dyDescent="0.2">
      <c r="A37" s="1256"/>
      <c r="B37" s="593">
        <v>53212020100000</v>
      </c>
      <c r="C37" s="594" t="s">
        <v>110</v>
      </c>
      <c r="D37" s="257">
        <v>0</v>
      </c>
      <c r="E37" s="257">
        <f>58772*6</f>
        <v>352632</v>
      </c>
      <c r="F37" s="258">
        <v>9</v>
      </c>
      <c r="G37" s="249">
        <f t="shared" si="0"/>
        <v>3173688</v>
      </c>
      <c r="H37" s="250">
        <f t="shared" si="1"/>
        <v>3173688</v>
      </c>
    </row>
    <row r="38" spans="1:8" x14ac:dyDescent="0.2">
      <c r="A38" s="1256"/>
      <c r="B38" s="593">
        <v>53214020000000</v>
      </c>
      <c r="C38" s="594" t="s">
        <v>111</v>
      </c>
      <c r="D38" s="259"/>
      <c r="E38" s="259">
        <v>0</v>
      </c>
      <c r="F38" s="256">
        <v>0</v>
      </c>
      <c r="G38" s="249">
        <f t="shared" si="0"/>
        <v>0</v>
      </c>
      <c r="H38" s="250">
        <f t="shared" si="1"/>
        <v>0</v>
      </c>
    </row>
    <row r="39" spans="1:8" ht="15.75" customHeight="1" x14ac:dyDescent="0.2">
      <c r="A39" s="1256"/>
      <c r="B39" s="238"/>
      <c r="C39" s="239" t="s">
        <v>112</v>
      </c>
      <c r="D39" s="240">
        <f>+D40+D45+D47+D56+D65+D73</f>
        <v>5190135</v>
      </c>
      <c r="E39" s="274"/>
      <c r="F39" s="274"/>
      <c r="G39" s="240">
        <f>+G40+G45+G47+G56+G65+G73</f>
        <v>9393006.1199999992</v>
      </c>
      <c r="H39" s="240">
        <f>+H40+H45+H47+H56+H65+H73</f>
        <v>14583141.120000001</v>
      </c>
    </row>
    <row r="40" spans="1:8" x14ac:dyDescent="0.2">
      <c r="A40" s="1256"/>
      <c r="B40" s="244"/>
      <c r="C40" s="245" t="s">
        <v>113</v>
      </c>
      <c r="D40" s="246">
        <f>SUM(D41:D44)</f>
        <v>399900</v>
      </c>
      <c r="E40" s="261"/>
      <c r="F40" s="261"/>
      <c r="G40" s="261">
        <f>SUM(G41:G44)</f>
        <v>1500264.7999999998</v>
      </c>
      <c r="H40" s="262">
        <f>SUM(H41:H44)</f>
        <v>1900164.8</v>
      </c>
    </row>
    <row r="41" spans="1:8" x14ac:dyDescent="0.2">
      <c r="A41" s="1256"/>
      <c r="B41" s="593">
        <v>53202020100000</v>
      </c>
      <c r="C41" s="594" t="s">
        <v>114</v>
      </c>
      <c r="D41" s="724">
        <f>79980*5</f>
        <v>399900</v>
      </c>
      <c r="E41" s="724">
        <f>43000*1.13</f>
        <v>48589.999999999993</v>
      </c>
      <c r="F41" s="725">
        <v>17</v>
      </c>
      <c r="G41" s="249">
        <f>E41*F41</f>
        <v>826029.99999999988</v>
      </c>
      <c r="H41" s="250">
        <f>D41+G41</f>
        <v>1225930</v>
      </c>
    </row>
    <row r="42" spans="1:8" x14ac:dyDescent="0.2">
      <c r="A42" s="1256"/>
      <c r="B42" s="593">
        <v>53202030000000</v>
      </c>
      <c r="C42" s="594" t="s">
        <v>115</v>
      </c>
      <c r="D42" s="724">
        <v>0</v>
      </c>
      <c r="E42" s="724">
        <f>E108</f>
        <v>44058.7</v>
      </c>
      <c r="F42" s="725">
        <v>4</v>
      </c>
      <c r="G42" s="249">
        <f>E42*F42</f>
        <v>176234.8</v>
      </c>
      <c r="H42" s="250">
        <f>D42+G42</f>
        <v>176234.8</v>
      </c>
    </row>
    <row r="43" spans="1:8" x14ac:dyDescent="0.2">
      <c r="A43" s="1256"/>
      <c r="B43" s="593">
        <v>53211020000000</v>
      </c>
      <c r="C43" s="594" t="s">
        <v>116</v>
      </c>
      <c r="D43" s="716"/>
      <c r="E43" s="716">
        <f>E109</f>
        <v>249000</v>
      </c>
      <c r="F43" s="723">
        <v>2</v>
      </c>
      <c r="G43" s="249">
        <f>E43*F43</f>
        <v>498000</v>
      </c>
      <c r="H43" s="250">
        <f>D43+G43</f>
        <v>498000</v>
      </c>
    </row>
    <row r="44" spans="1:8" x14ac:dyDescent="0.2">
      <c r="A44" s="1256"/>
      <c r="B44" s="593">
        <v>53101040600000</v>
      </c>
      <c r="C44" s="594" t="s">
        <v>117</v>
      </c>
      <c r="D44" s="257">
        <v>0</v>
      </c>
      <c r="E44" s="257">
        <v>0</v>
      </c>
      <c r="F44" s="258">
        <v>0</v>
      </c>
      <c r="G44" s="249">
        <f>E44*F44</f>
        <v>0</v>
      </c>
      <c r="H44" s="250">
        <f>D44+G44</f>
        <v>0</v>
      </c>
    </row>
    <row r="45" spans="1:8" x14ac:dyDescent="0.2">
      <c r="A45" s="1256"/>
      <c r="B45" s="244"/>
      <c r="C45" s="245" t="s">
        <v>118</v>
      </c>
      <c r="D45" s="254">
        <f>SUM(D46)</f>
        <v>0</v>
      </c>
      <c r="E45" s="260"/>
      <c r="F45" s="263"/>
      <c r="G45" s="261">
        <f>SUM(G46:G46)</f>
        <v>447480</v>
      </c>
      <c r="H45" s="262">
        <f>SUM(H46:H46)</f>
        <v>447480</v>
      </c>
    </row>
    <row r="46" spans="1:8" x14ac:dyDescent="0.2">
      <c r="A46" s="1256"/>
      <c r="B46" s="601">
        <v>53205990000000</v>
      </c>
      <c r="C46" s="594" t="s">
        <v>119</v>
      </c>
      <c r="D46" s="257">
        <v>0</v>
      </c>
      <c r="E46" s="257">
        <f>33000*1.13</f>
        <v>37290</v>
      </c>
      <c r="F46" s="258">
        <v>12</v>
      </c>
      <c r="G46" s="249">
        <f>E46*F46</f>
        <v>447480</v>
      </c>
      <c r="H46" s="250">
        <f>D46+G46</f>
        <v>447480</v>
      </c>
    </row>
    <row r="47" spans="1:8" x14ac:dyDescent="0.2">
      <c r="A47" s="1256"/>
      <c r="B47" s="244"/>
      <c r="C47" s="245" t="s">
        <v>120</v>
      </c>
      <c r="D47" s="254">
        <f>SUM(D48:D55)</f>
        <v>2699649</v>
      </c>
      <c r="E47" s="260"/>
      <c r="F47" s="263"/>
      <c r="G47" s="246">
        <f>SUM(G48:G55)</f>
        <v>2947040</v>
      </c>
      <c r="H47" s="248">
        <f>SUM(H48:H55)</f>
        <v>5646689</v>
      </c>
    </row>
    <row r="48" spans="1:8" x14ac:dyDescent="0.2">
      <c r="A48" s="1256"/>
      <c r="B48" s="593">
        <v>53204010000000</v>
      </c>
      <c r="C48" s="594" t="s">
        <v>121</v>
      </c>
      <c r="D48" s="257">
        <v>789249</v>
      </c>
      <c r="E48" s="257">
        <v>0</v>
      </c>
      <c r="F48" s="258">
        <v>0</v>
      </c>
      <c r="G48" s="249">
        <f t="shared" ref="G48:G55" si="2">E48*F48</f>
        <v>0</v>
      </c>
      <c r="H48" s="250">
        <f t="shared" ref="H48:H55" si="3">D48+G48</f>
        <v>789249</v>
      </c>
    </row>
    <row r="49" spans="1:8" x14ac:dyDescent="0.2">
      <c r="A49" s="1256"/>
      <c r="B49" s="601">
        <v>53204040200000</v>
      </c>
      <c r="C49" s="594" t="s">
        <v>122</v>
      </c>
      <c r="D49" s="257">
        <v>0</v>
      </c>
      <c r="E49" s="257">
        <f>E115</f>
        <v>20339.999999999996</v>
      </c>
      <c r="F49" s="258">
        <v>6</v>
      </c>
      <c r="G49" s="249">
        <f t="shared" si="2"/>
        <v>122039.99999999997</v>
      </c>
      <c r="H49" s="250">
        <f t="shared" si="3"/>
        <v>122039.99999999997</v>
      </c>
    </row>
    <row r="50" spans="1:8" x14ac:dyDescent="0.2">
      <c r="A50" s="1256"/>
      <c r="B50" s="593">
        <v>53204060000000</v>
      </c>
      <c r="C50" s="594" t="s">
        <v>123</v>
      </c>
      <c r="D50" s="257"/>
      <c r="E50" s="257">
        <v>0</v>
      </c>
      <c r="F50" s="258">
        <v>0</v>
      </c>
      <c r="G50" s="249">
        <f t="shared" si="2"/>
        <v>0</v>
      </c>
      <c r="H50" s="250">
        <f t="shared" si="3"/>
        <v>0</v>
      </c>
    </row>
    <row r="51" spans="1:8" x14ac:dyDescent="0.2">
      <c r="A51" s="1256"/>
      <c r="B51" s="593">
        <v>53204070000000</v>
      </c>
      <c r="C51" s="594" t="s">
        <v>124</v>
      </c>
      <c r="D51" s="716">
        <f>'H) Detalle Datos'!E17+'H) Detalle Datos'!I17</f>
        <v>1760400</v>
      </c>
      <c r="E51" s="716">
        <f>250000*1.13</f>
        <v>282500</v>
      </c>
      <c r="F51" s="723">
        <v>10</v>
      </c>
      <c r="G51" s="718">
        <f t="shared" si="2"/>
        <v>2825000</v>
      </c>
      <c r="H51" s="719">
        <f t="shared" si="3"/>
        <v>4585400</v>
      </c>
    </row>
    <row r="52" spans="1:8" x14ac:dyDescent="0.2">
      <c r="A52" s="1256"/>
      <c r="B52" s="593">
        <v>53204080000000</v>
      </c>
      <c r="C52" s="594" t="s">
        <v>125</v>
      </c>
      <c r="D52" s="257">
        <v>0</v>
      </c>
      <c r="E52" s="257">
        <v>0</v>
      </c>
      <c r="F52" s="258">
        <v>0</v>
      </c>
      <c r="G52" s="249">
        <f t="shared" si="2"/>
        <v>0</v>
      </c>
      <c r="H52" s="250">
        <f t="shared" si="3"/>
        <v>0</v>
      </c>
    </row>
    <row r="53" spans="1:8" x14ac:dyDescent="0.2">
      <c r="A53" s="1256"/>
      <c r="B53" s="593">
        <v>53214010000000</v>
      </c>
      <c r="C53" s="594" t="s">
        <v>126</v>
      </c>
      <c r="D53" s="259"/>
      <c r="E53" s="259">
        <v>0</v>
      </c>
      <c r="F53" s="256">
        <v>0</v>
      </c>
      <c r="G53" s="249">
        <f t="shared" si="2"/>
        <v>0</v>
      </c>
      <c r="H53" s="250">
        <f t="shared" si="3"/>
        <v>0</v>
      </c>
    </row>
    <row r="54" spans="1:8" x14ac:dyDescent="0.2">
      <c r="A54" s="1256"/>
      <c r="B54" s="593">
        <v>53214040000000</v>
      </c>
      <c r="C54" s="594" t="s">
        <v>127</v>
      </c>
      <c r="D54" s="259">
        <v>150000</v>
      </c>
      <c r="E54" s="259">
        <v>0</v>
      </c>
      <c r="F54" s="256">
        <v>0</v>
      </c>
      <c r="G54" s="249">
        <f t="shared" si="2"/>
        <v>0</v>
      </c>
      <c r="H54" s="250">
        <f t="shared" si="3"/>
        <v>150000</v>
      </c>
    </row>
    <row r="55" spans="1:8" x14ac:dyDescent="0.2">
      <c r="A55" s="1256"/>
      <c r="B55" s="598">
        <v>53204020100000</v>
      </c>
      <c r="C55" s="594" t="s">
        <v>128</v>
      </c>
      <c r="D55" s="257">
        <v>0</v>
      </c>
      <c r="E55" s="257">
        <v>0</v>
      </c>
      <c r="F55" s="258">
        <v>0</v>
      </c>
      <c r="G55" s="249">
        <f t="shared" si="2"/>
        <v>0</v>
      </c>
      <c r="H55" s="250">
        <f t="shared" si="3"/>
        <v>0</v>
      </c>
    </row>
    <row r="56" spans="1:8" x14ac:dyDescent="0.2">
      <c r="A56" s="1256"/>
      <c r="B56" s="244"/>
      <c r="C56" s="245" t="s">
        <v>129</v>
      </c>
      <c r="D56" s="246">
        <f>SUM(D57:D64)</f>
        <v>2090586</v>
      </c>
      <c r="E56" s="261"/>
      <c r="F56" s="283"/>
      <c r="G56" s="246">
        <f>SUM(G57:G64)</f>
        <v>2125221.3199999998</v>
      </c>
      <c r="H56" s="248">
        <f>SUM(H57:H64)</f>
        <v>4215807.32</v>
      </c>
    </row>
    <row r="57" spans="1:8" x14ac:dyDescent="0.2">
      <c r="A57" s="1256"/>
      <c r="B57" s="593">
        <v>53207010000000</v>
      </c>
      <c r="C57" s="594" t="s">
        <v>130</v>
      </c>
      <c r="D57" s="257">
        <v>0</v>
      </c>
      <c r="E57" s="257">
        <v>0</v>
      </c>
      <c r="F57" s="258">
        <v>0</v>
      </c>
      <c r="G57" s="249">
        <f t="shared" ref="G57:G64" si="4">E57*F57</f>
        <v>0</v>
      </c>
      <c r="H57" s="250">
        <f t="shared" ref="H57:H64" si="5">D57+G57</f>
        <v>0</v>
      </c>
    </row>
    <row r="58" spans="1:8" x14ac:dyDescent="0.2">
      <c r="A58" s="1256"/>
      <c r="B58" s="593">
        <v>53207020000000</v>
      </c>
      <c r="C58" s="594" t="s">
        <v>131</v>
      </c>
      <c r="D58" s="257">
        <v>0</v>
      </c>
      <c r="E58" s="257">
        <v>0</v>
      </c>
      <c r="F58" s="258">
        <v>0</v>
      </c>
      <c r="G58" s="249">
        <f t="shared" si="4"/>
        <v>0</v>
      </c>
      <c r="H58" s="250">
        <f t="shared" si="5"/>
        <v>0</v>
      </c>
    </row>
    <row r="59" spans="1:8" x14ac:dyDescent="0.2">
      <c r="A59" s="1256"/>
      <c r="B59" s="593">
        <v>53208020000000</v>
      </c>
      <c r="C59" s="594" t="s">
        <v>132</v>
      </c>
      <c r="D59" s="257">
        <v>0</v>
      </c>
      <c r="E59" s="257">
        <v>0</v>
      </c>
      <c r="F59" s="258">
        <v>0</v>
      </c>
      <c r="G59" s="249">
        <f t="shared" si="4"/>
        <v>0</v>
      </c>
      <c r="H59" s="250">
        <f t="shared" si="5"/>
        <v>0</v>
      </c>
    </row>
    <row r="60" spans="1:8" x14ac:dyDescent="0.2">
      <c r="A60" s="1256"/>
      <c r="B60" s="593">
        <v>53208990000000</v>
      </c>
      <c r="C60" s="594" t="s">
        <v>133</v>
      </c>
      <c r="D60" s="257">
        <v>0</v>
      </c>
      <c r="E60" s="257">
        <f>E126</f>
        <v>129205.32999999999</v>
      </c>
      <c r="F60" s="258">
        <v>4</v>
      </c>
      <c r="G60" s="249">
        <f t="shared" si="4"/>
        <v>516821.31999999995</v>
      </c>
      <c r="H60" s="250">
        <f t="shared" si="5"/>
        <v>516821.31999999995</v>
      </c>
    </row>
    <row r="61" spans="1:8" x14ac:dyDescent="0.2">
      <c r="A61" s="1256"/>
      <c r="B61" s="598">
        <v>53210020300000</v>
      </c>
      <c r="C61" s="594" t="s">
        <v>134</v>
      </c>
      <c r="D61" s="264">
        <v>0</v>
      </c>
      <c r="E61" s="41">
        <v>8200</v>
      </c>
      <c r="F61" s="265">
        <f>+'B) Reajuste Tarifas y Ocupación'!I37</f>
        <v>130</v>
      </c>
      <c r="G61" s="249">
        <f t="shared" si="4"/>
        <v>1066000</v>
      </c>
      <c r="H61" s="250">
        <f t="shared" si="5"/>
        <v>1066000</v>
      </c>
    </row>
    <row r="62" spans="1:8" x14ac:dyDescent="0.2">
      <c r="A62" s="1256"/>
      <c r="B62" s="593">
        <v>53208990000000</v>
      </c>
      <c r="C62" s="594" t="s">
        <v>135</v>
      </c>
      <c r="D62" s="600">
        <v>0</v>
      </c>
      <c r="E62" s="257">
        <v>0</v>
      </c>
      <c r="F62" s="258">
        <v>0</v>
      </c>
      <c r="G62" s="249">
        <f t="shared" si="4"/>
        <v>0</v>
      </c>
      <c r="H62" s="250">
        <f t="shared" si="5"/>
        <v>0</v>
      </c>
    </row>
    <row r="63" spans="1:8" x14ac:dyDescent="0.2">
      <c r="A63" s="1256"/>
      <c r="B63" s="593">
        <v>53209990000000</v>
      </c>
      <c r="C63" s="594" t="s">
        <v>136</v>
      </c>
      <c r="D63" s="257">
        <v>0</v>
      </c>
      <c r="E63" s="257">
        <f>120000*1.13</f>
        <v>135600</v>
      </c>
      <c r="F63" s="258">
        <v>4</v>
      </c>
      <c r="G63" s="249">
        <f t="shared" si="4"/>
        <v>542400</v>
      </c>
      <c r="H63" s="250">
        <f t="shared" si="5"/>
        <v>542400</v>
      </c>
    </row>
    <row r="64" spans="1:8" x14ac:dyDescent="0.2">
      <c r="A64" s="1256"/>
      <c r="B64" s="593">
        <v>53210020100000</v>
      </c>
      <c r="C64" s="594" t="s">
        <v>137</v>
      </c>
      <c r="D64" s="600">
        <v>2090586</v>
      </c>
      <c r="E64" s="257">
        <v>0</v>
      </c>
      <c r="F64" s="258">
        <v>0</v>
      </c>
      <c r="G64" s="249">
        <f t="shared" si="4"/>
        <v>0</v>
      </c>
      <c r="H64" s="250">
        <f t="shared" si="5"/>
        <v>2090586</v>
      </c>
    </row>
    <row r="65" spans="1:10" x14ac:dyDescent="0.2">
      <c r="A65" s="1256"/>
      <c r="B65" s="244"/>
      <c r="C65" s="245" t="s">
        <v>138</v>
      </c>
      <c r="D65" s="246">
        <f>SUM(D66:D72)</f>
        <v>0</v>
      </c>
      <c r="E65" s="261"/>
      <c r="F65" s="283"/>
      <c r="G65" s="246">
        <f>SUM(G66:G72)</f>
        <v>903999.99999999988</v>
      </c>
      <c r="H65" s="248">
        <f>SUM(H66:H72)</f>
        <v>903999.99999999988</v>
      </c>
    </row>
    <row r="66" spans="1:10" x14ac:dyDescent="0.2">
      <c r="A66" s="1256"/>
      <c r="B66" s="593">
        <v>53206030000000</v>
      </c>
      <c r="C66" s="594" t="s">
        <v>139</v>
      </c>
      <c r="D66" s="257">
        <v>0</v>
      </c>
      <c r="E66" s="257">
        <v>0</v>
      </c>
      <c r="F66" s="258">
        <v>0</v>
      </c>
      <c r="G66" s="249">
        <f t="shared" ref="G66:G72" si="6">E66*F66</f>
        <v>0</v>
      </c>
      <c r="H66" s="250">
        <f t="shared" ref="H66:H72" si="7">D66+G66</f>
        <v>0</v>
      </c>
    </row>
    <row r="67" spans="1:10" x14ac:dyDescent="0.2">
      <c r="A67" s="1256"/>
      <c r="B67" s="593">
        <v>53206040000000</v>
      </c>
      <c r="C67" s="594" t="s">
        <v>140</v>
      </c>
      <c r="D67" s="257">
        <v>0</v>
      </c>
      <c r="E67" s="257">
        <v>0</v>
      </c>
      <c r="F67" s="258">
        <v>0</v>
      </c>
      <c r="G67" s="249">
        <f t="shared" si="6"/>
        <v>0</v>
      </c>
      <c r="H67" s="250">
        <f t="shared" si="7"/>
        <v>0</v>
      </c>
    </row>
    <row r="68" spans="1:10" x14ac:dyDescent="0.2">
      <c r="A68" s="1256"/>
      <c r="B68" s="593">
        <v>53206060000000</v>
      </c>
      <c r="C68" s="594" t="s">
        <v>141</v>
      </c>
      <c r="D68" s="257">
        <v>0</v>
      </c>
      <c r="E68" s="257">
        <v>0</v>
      </c>
      <c r="F68" s="258">
        <v>0</v>
      </c>
      <c r="G68" s="249">
        <f t="shared" si="6"/>
        <v>0</v>
      </c>
      <c r="H68" s="250">
        <f t="shared" si="7"/>
        <v>0</v>
      </c>
    </row>
    <row r="69" spans="1:10" x14ac:dyDescent="0.2">
      <c r="A69" s="1256"/>
      <c r="B69" s="593">
        <v>53206070000000</v>
      </c>
      <c r="C69" s="594" t="s">
        <v>142</v>
      </c>
      <c r="D69" s="257">
        <v>0</v>
      </c>
      <c r="E69" s="257">
        <v>0</v>
      </c>
      <c r="F69" s="258">
        <v>0</v>
      </c>
      <c r="G69" s="249">
        <f t="shared" si="6"/>
        <v>0</v>
      </c>
      <c r="H69" s="250">
        <f t="shared" si="7"/>
        <v>0</v>
      </c>
    </row>
    <row r="70" spans="1:10" x14ac:dyDescent="0.2">
      <c r="A70" s="1256"/>
      <c r="B70" s="593">
        <v>53206990000000</v>
      </c>
      <c r="C70" s="594" t="s">
        <v>143</v>
      </c>
      <c r="D70" s="257">
        <v>0</v>
      </c>
      <c r="E70" s="257">
        <v>0</v>
      </c>
      <c r="F70" s="258">
        <v>0</v>
      </c>
      <c r="G70" s="249">
        <f t="shared" si="6"/>
        <v>0</v>
      </c>
      <c r="H70" s="250">
        <f t="shared" si="7"/>
        <v>0</v>
      </c>
    </row>
    <row r="71" spans="1:10" x14ac:dyDescent="0.2">
      <c r="A71" s="1256"/>
      <c r="B71" s="593">
        <v>53208030000000</v>
      </c>
      <c r="C71" s="594" t="s">
        <v>144</v>
      </c>
      <c r="D71" s="257">
        <v>0</v>
      </c>
      <c r="E71" s="257">
        <f>80000*1.13</f>
        <v>90399.999999999985</v>
      </c>
      <c r="F71" s="258">
        <v>10</v>
      </c>
      <c r="G71" s="249">
        <f t="shared" si="6"/>
        <v>903999.99999999988</v>
      </c>
      <c r="H71" s="250">
        <f t="shared" si="7"/>
        <v>903999.99999999988</v>
      </c>
    </row>
    <row r="72" spans="1:10" x14ac:dyDescent="0.2">
      <c r="A72" s="1256"/>
      <c r="B72" s="593">
        <v>53206990000000</v>
      </c>
      <c r="C72" s="594" t="s">
        <v>145</v>
      </c>
      <c r="D72" s="257"/>
      <c r="E72" s="257">
        <v>0</v>
      </c>
      <c r="F72" s="258">
        <v>0</v>
      </c>
      <c r="G72" s="249">
        <f t="shared" si="6"/>
        <v>0</v>
      </c>
      <c r="H72" s="250">
        <f t="shared" si="7"/>
        <v>0</v>
      </c>
    </row>
    <row r="73" spans="1:10" x14ac:dyDescent="0.2">
      <c r="A73" s="1256"/>
      <c r="B73" s="244"/>
      <c r="C73" s="245" t="s">
        <v>146</v>
      </c>
      <c r="D73" s="246">
        <f>SUM(D74)</f>
        <v>0</v>
      </c>
      <c r="E73" s="261"/>
      <c r="F73" s="261"/>
      <c r="G73" s="246">
        <f>SUM(G74:G74)</f>
        <v>1468999.9999999998</v>
      </c>
      <c r="H73" s="248">
        <f>SUM(H74:H74)</f>
        <v>1468999.9999999998</v>
      </c>
      <c r="I73" s="19"/>
      <c r="J73" s="19"/>
    </row>
    <row r="74" spans="1:10" x14ac:dyDescent="0.2">
      <c r="A74" s="1256"/>
      <c r="B74" s="602"/>
      <c r="C74" s="603" t="s">
        <v>147</v>
      </c>
      <c r="D74" s="251">
        <v>0</v>
      </c>
      <c r="E74" s="251">
        <f>10000*1.13</f>
        <v>11299.999999999998</v>
      </c>
      <c r="F74" s="1069">
        <v>130</v>
      </c>
      <c r="G74" s="249">
        <f>E74*F74</f>
        <v>1468999.9999999998</v>
      </c>
      <c r="H74" s="266">
        <f>D74+G74</f>
        <v>1468999.9999999998</v>
      </c>
      <c r="I74" s="711" t="s">
        <v>148</v>
      </c>
      <c r="J74" s="264">
        <f>+H72+H71+H70+H69+H68+H67+H66+H64+H63+H62+H61+H60+H59+H58+H57+H55+H52+H51+H50+H49+H48+H46+H44+H43+H37+H36+H35+H33+H32+H31+H30+H29+H28+H27+H26+H25+H24+H23</f>
        <v>30582962.408676889</v>
      </c>
    </row>
    <row r="75" spans="1:10" x14ac:dyDescent="0.2">
      <c r="A75" s="1256"/>
      <c r="B75" s="604"/>
      <c r="C75" s="285" t="s">
        <v>149</v>
      </c>
      <c r="D75" s="267">
        <f>SUM(D12,D39)</f>
        <v>168184111.7086769</v>
      </c>
      <c r="E75" s="349"/>
      <c r="F75" s="349"/>
      <c r="G75" s="267">
        <f>SUM(G12,G39)</f>
        <v>51258749.399999999</v>
      </c>
      <c r="H75" s="268">
        <f>SUM(H12,H39)</f>
        <v>219442861.10867691</v>
      </c>
      <c r="I75" s="713" t="s">
        <v>150</v>
      </c>
      <c r="J75" s="722">
        <f>+H75-J74</f>
        <v>188859898.70000002</v>
      </c>
    </row>
    <row r="76" spans="1:10" ht="12.75" customHeight="1" x14ac:dyDescent="0.2">
      <c r="A76" s="1235" t="s">
        <v>151</v>
      </c>
      <c r="B76" s="1236" t="s">
        <v>78</v>
      </c>
      <c r="C76" s="1239" t="s">
        <v>79</v>
      </c>
      <c r="D76" s="1238" t="s">
        <v>80</v>
      </c>
      <c r="E76" s="1239" t="s">
        <v>81</v>
      </c>
      <c r="F76" s="1239"/>
      <c r="G76" s="1239"/>
      <c r="H76" s="1257" t="s">
        <v>338</v>
      </c>
      <c r="I76" s="19"/>
      <c r="J76" s="19"/>
    </row>
    <row r="77" spans="1:10" ht="25.5" x14ac:dyDescent="0.2">
      <c r="A77" s="1235"/>
      <c r="B77" s="1236"/>
      <c r="C77" s="1239"/>
      <c r="D77" s="1238"/>
      <c r="E77" s="38" t="s">
        <v>82</v>
      </c>
      <c r="F77" s="237" t="s">
        <v>83</v>
      </c>
      <c r="G77" s="570" t="s">
        <v>84</v>
      </c>
      <c r="H77" s="1257"/>
      <c r="I77" s="19"/>
      <c r="J77" s="19"/>
    </row>
    <row r="78" spans="1:10" ht="15.75" customHeight="1" x14ac:dyDescent="0.2">
      <c r="A78" s="1233" t="str">
        <f>+'B) Reajuste Tarifas y Ocupación'!A14</f>
        <v>Jardín Infantil Los Delfines</v>
      </c>
      <c r="B78" s="238"/>
      <c r="C78" s="239" t="s">
        <v>85</v>
      </c>
      <c r="D78" s="240">
        <f>SUM(D79,D84)</f>
        <v>147861319.69999999</v>
      </c>
      <c r="E78" s="241"/>
      <c r="F78" s="241"/>
      <c r="G78" s="242">
        <f>SUM(G79,G84)</f>
        <v>50584451.279999994</v>
      </c>
      <c r="H78" s="243">
        <f>SUM(H79,H84)</f>
        <v>198445770.97999996</v>
      </c>
    </row>
    <row r="79" spans="1:10" x14ac:dyDescent="0.2">
      <c r="A79" s="1233"/>
      <c r="B79" s="244"/>
      <c r="C79" s="245" t="s">
        <v>86</v>
      </c>
      <c r="D79" s="246">
        <f>SUM(D80:D83)</f>
        <v>126898097.39999999</v>
      </c>
      <c r="E79" s="247"/>
      <c r="F79" s="247"/>
      <c r="G79" s="46">
        <f>SUM(G80:G83)</f>
        <v>112999.99999999999</v>
      </c>
      <c r="H79" s="248">
        <f>SUM(H80:H83)</f>
        <v>127011097.39999999</v>
      </c>
    </row>
    <row r="80" spans="1:10" x14ac:dyDescent="0.2">
      <c r="A80" s="1233"/>
      <c r="B80" s="593">
        <v>53103040100000</v>
      </c>
      <c r="C80" s="594" t="s">
        <v>87</v>
      </c>
      <c r="D80" s="277">
        <f>'F) Remuneraciones'!L34</f>
        <v>125439291.39999999</v>
      </c>
      <c r="E80" s="595"/>
      <c r="F80" s="596"/>
      <c r="G80" s="249">
        <f>E80*F80</f>
        <v>0</v>
      </c>
      <c r="H80" s="250">
        <f>D80+G80</f>
        <v>125439291.39999999</v>
      </c>
    </row>
    <row r="81" spans="1:8" x14ac:dyDescent="0.2">
      <c r="A81" s="1233"/>
      <c r="B81" s="593">
        <v>53103050000000</v>
      </c>
      <c r="C81" s="594" t="s">
        <v>152</v>
      </c>
      <c r="D81" s="251">
        <v>0</v>
      </c>
      <c r="E81" s="252">
        <v>0</v>
      </c>
      <c r="F81" s="253">
        <v>0</v>
      </c>
      <c r="G81" s="249">
        <f>E81*F81</f>
        <v>0</v>
      </c>
      <c r="H81" s="250">
        <f>D81+G81</f>
        <v>0</v>
      </c>
    </row>
    <row r="82" spans="1:8" x14ac:dyDescent="0.2">
      <c r="A82" s="1233"/>
      <c r="B82" s="598">
        <v>53103040400000</v>
      </c>
      <c r="C82" s="599" t="s">
        <v>89</v>
      </c>
      <c r="D82" s="251">
        <v>1458806</v>
      </c>
      <c r="E82" s="252">
        <v>0</v>
      </c>
      <c r="F82" s="253">
        <v>0</v>
      </c>
      <c r="G82" s="249">
        <f>E82*F82</f>
        <v>0</v>
      </c>
      <c r="H82" s="250">
        <f>D82+G82</f>
        <v>1458806</v>
      </c>
    </row>
    <row r="83" spans="1:8" x14ac:dyDescent="0.2">
      <c r="A83" s="1233"/>
      <c r="B83" s="593">
        <v>53103080010000</v>
      </c>
      <c r="C83" s="594" t="s">
        <v>90</v>
      </c>
      <c r="D83" s="251">
        <v>0</v>
      </c>
      <c r="E83" s="252">
        <f>50000*1.13</f>
        <v>56499.999999999993</v>
      </c>
      <c r="F83" s="253">
        <v>2</v>
      </c>
      <c r="G83" s="249">
        <f>E83*F83</f>
        <v>112999.99999999999</v>
      </c>
      <c r="H83" s="250">
        <f>D83+G83</f>
        <v>112999.99999999999</v>
      </c>
    </row>
    <row r="84" spans="1:8" x14ac:dyDescent="0.2">
      <c r="A84" s="1233"/>
      <c r="B84" s="244"/>
      <c r="C84" s="245" t="s">
        <v>91</v>
      </c>
      <c r="D84" s="246">
        <f>SUM(D85:D104)</f>
        <v>20963222.299999997</v>
      </c>
      <c r="E84" s="247"/>
      <c r="F84" s="247"/>
      <c r="G84" s="246">
        <f>SUM(G85:G104)</f>
        <v>50471451.279999994</v>
      </c>
      <c r="H84" s="248">
        <f>SUM(H85:H104)</f>
        <v>71434673.579999983</v>
      </c>
    </row>
    <row r="85" spans="1:8" x14ac:dyDescent="0.2">
      <c r="A85" s="1233"/>
      <c r="B85" s="593">
        <v>53201010100000</v>
      </c>
      <c r="C85" s="594" t="s">
        <v>92</v>
      </c>
      <c r="D85" s="251">
        <v>0</v>
      </c>
      <c r="E85" s="252">
        <f>E19</f>
        <v>1859</v>
      </c>
      <c r="F85" s="720">
        <f>16*20*11</f>
        <v>3520</v>
      </c>
      <c r="G85" s="249">
        <f t="shared" ref="G85:G104" si="8">E85*F85</f>
        <v>6543680</v>
      </c>
      <c r="H85" s="250">
        <f t="shared" ref="H85:H104" si="9">D85+G85</f>
        <v>6543680</v>
      </c>
    </row>
    <row r="86" spans="1:8" x14ac:dyDescent="0.2">
      <c r="A86" s="1233"/>
      <c r="B86" s="593">
        <v>53201010100000</v>
      </c>
      <c r="C86" s="594" t="s">
        <v>93</v>
      </c>
      <c r="D86" s="251">
        <v>0</v>
      </c>
      <c r="E86" s="252">
        <f>E20</f>
        <v>1468.9999999999998</v>
      </c>
      <c r="F86" s="253">
        <f>120*20*10</f>
        <v>24000</v>
      </c>
      <c r="G86" s="249">
        <f t="shared" si="8"/>
        <v>35255999.999999993</v>
      </c>
      <c r="H86" s="250">
        <f t="shared" si="9"/>
        <v>35255999.999999993</v>
      </c>
    </row>
    <row r="87" spans="1:8" x14ac:dyDescent="0.2">
      <c r="A87" s="1233"/>
      <c r="B87" s="593">
        <v>53201010100000</v>
      </c>
      <c r="C87" s="594" t="s">
        <v>94</v>
      </c>
      <c r="D87" s="251">
        <v>0</v>
      </c>
      <c r="E87" s="252">
        <f>E21</f>
        <v>1859</v>
      </c>
      <c r="F87" s="253">
        <f>2*20*6</f>
        <v>240</v>
      </c>
      <c r="G87" s="249">
        <f t="shared" si="8"/>
        <v>446160</v>
      </c>
      <c r="H87" s="250">
        <f t="shared" si="9"/>
        <v>446160</v>
      </c>
    </row>
    <row r="88" spans="1:8" x14ac:dyDescent="0.2">
      <c r="A88" s="1233"/>
      <c r="B88" s="593">
        <v>53202010100000</v>
      </c>
      <c r="C88" s="594" t="s">
        <v>95</v>
      </c>
      <c r="D88" s="252">
        <v>0</v>
      </c>
      <c r="E88" s="252">
        <f>23990*1.13</f>
        <v>27108.699999999997</v>
      </c>
      <c r="F88" s="255">
        <v>60</v>
      </c>
      <c r="G88" s="249">
        <f t="shared" si="8"/>
        <v>1626521.9999999998</v>
      </c>
      <c r="H88" s="250">
        <f t="shared" si="9"/>
        <v>1626521.9999999998</v>
      </c>
    </row>
    <row r="89" spans="1:8" x14ac:dyDescent="0.2">
      <c r="A89" s="1233"/>
      <c r="B89" s="593">
        <v>53203010100000</v>
      </c>
      <c r="C89" s="594" t="s">
        <v>96</v>
      </c>
      <c r="D89" s="257">
        <v>0</v>
      </c>
      <c r="E89" s="257">
        <v>0</v>
      </c>
      <c r="F89" s="258">
        <v>0</v>
      </c>
      <c r="G89" s="249">
        <f t="shared" si="8"/>
        <v>0</v>
      </c>
      <c r="H89" s="250">
        <f t="shared" si="9"/>
        <v>0</v>
      </c>
    </row>
    <row r="90" spans="1:8" x14ac:dyDescent="0.2">
      <c r="A90" s="1233"/>
      <c r="B90" s="593">
        <v>53203030000000</v>
      </c>
      <c r="C90" s="594" t="s">
        <v>97</v>
      </c>
      <c r="D90" s="257">
        <v>0</v>
      </c>
      <c r="E90" s="257">
        <v>0</v>
      </c>
      <c r="F90" s="258">
        <v>0</v>
      </c>
      <c r="G90" s="249">
        <f t="shared" si="8"/>
        <v>0</v>
      </c>
      <c r="H90" s="250">
        <f t="shared" si="9"/>
        <v>0</v>
      </c>
    </row>
    <row r="91" spans="1:8" x14ac:dyDescent="0.2">
      <c r="A91" s="1233"/>
      <c r="B91" s="593">
        <v>53204030000000</v>
      </c>
      <c r="C91" s="594" t="s">
        <v>98</v>
      </c>
      <c r="D91" s="257">
        <v>0</v>
      </c>
      <c r="E91" s="257">
        <f>18990*1.13</f>
        <v>21458.699999999997</v>
      </c>
      <c r="F91" s="258">
        <v>6</v>
      </c>
      <c r="G91" s="249">
        <f t="shared" si="8"/>
        <v>128752.19999999998</v>
      </c>
      <c r="H91" s="250">
        <f t="shared" si="9"/>
        <v>128752.19999999998</v>
      </c>
    </row>
    <row r="92" spans="1:8" x14ac:dyDescent="0.2">
      <c r="A92" s="1233"/>
      <c r="B92" s="593">
        <v>53204100100001</v>
      </c>
      <c r="C92" s="594" t="s">
        <v>99</v>
      </c>
      <c r="D92" s="1087">
        <f>'H) Detalle Datos'!AO50</f>
        <v>8405203.2999999989</v>
      </c>
      <c r="E92" s="257"/>
      <c r="F92" s="258">
        <v>1</v>
      </c>
      <c r="G92" s="249">
        <f t="shared" si="8"/>
        <v>0</v>
      </c>
      <c r="H92" s="250">
        <f t="shared" si="9"/>
        <v>8405203.2999999989</v>
      </c>
    </row>
    <row r="93" spans="1:8" x14ac:dyDescent="0.2">
      <c r="A93" s="1233"/>
      <c r="B93" s="593">
        <v>53204130100000</v>
      </c>
      <c r="C93" s="594" t="s">
        <v>100</v>
      </c>
      <c r="D93" s="257">
        <f>'H) Detalle Datos'!P18+'H) Detalle Datos'!P19</f>
        <v>759990</v>
      </c>
      <c r="E93" s="257">
        <v>0</v>
      </c>
      <c r="F93" s="258">
        <v>0</v>
      </c>
      <c r="G93" s="249">
        <f t="shared" si="8"/>
        <v>0</v>
      </c>
      <c r="H93" s="250">
        <f t="shared" si="9"/>
        <v>759990</v>
      </c>
    </row>
    <row r="94" spans="1:8" x14ac:dyDescent="0.2">
      <c r="A94" s="1233"/>
      <c r="B94" s="593">
        <v>53205010100000</v>
      </c>
      <c r="C94" s="594" t="s">
        <v>101</v>
      </c>
      <c r="D94" s="257">
        <v>3256409</v>
      </c>
      <c r="E94" s="257">
        <v>0</v>
      </c>
      <c r="F94" s="258">
        <v>0</v>
      </c>
      <c r="G94" s="249">
        <f t="shared" si="8"/>
        <v>0</v>
      </c>
      <c r="H94" s="250">
        <f t="shared" si="9"/>
        <v>3256409</v>
      </c>
    </row>
    <row r="95" spans="1:8" x14ac:dyDescent="0.2">
      <c r="A95" s="1233"/>
      <c r="B95" s="593">
        <v>53205020100000</v>
      </c>
      <c r="C95" s="594" t="s">
        <v>102</v>
      </c>
      <c r="D95" s="257">
        <v>3026705</v>
      </c>
      <c r="E95" s="257">
        <v>0</v>
      </c>
      <c r="F95" s="258">
        <v>0</v>
      </c>
      <c r="G95" s="249">
        <f t="shared" si="8"/>
        <v>0</v>
      </c>
      <c r="H95" s="250">
        <f t="shared" si="9"/>
        <v>3026705</v>
      </c>
    </row>
    <row r="96" spans="1:8" x14ac:dyDescent="0.2">
      <c r="A96" s="1233"/>
      <c r="B96" s="593">
        <v>53205030100000</v>
      </c>
      <c r="C96" s="594" t="s">
        <v>103</v>
      </c>
      <c r="D96" s="257">
        <v>4514915</v>
      </c>
      <c r="E96" s="257">
        <v>0</v>
      </c>
      <c r="F96" s="258">
        <v>0</v>
      </c>
      <c r="G96" s="249">
        <f t="shared" si="8"/>
        <v>0</v>
      </c>
      <c r="H96" s="250">
        <f t="shared" si="9"/>
        <v>4514915</v>
      </c>
    </row>
    <row r="97" spans="1:8" x14ac:dyDescent="0.2">
      <c r="A97" s="1233"/>
      <c r="B97" s="593">
        <v>53205050100000</v>
      </c>
      <c r="C97" s="594" t="s">
        <v>104</v>
      </c>
      <c r="D97" s="257">
        <v>0</v>
      </c>
      <c r="E97" s="257">
        <f>51793*1.13</f>
        <v>58526.09</v>
      </c>
      <c r="F97" s="258">
        <v>12</v>
      </c>
      <c r="G97" s="249">
        <f t="shared" si="8"/>
        <v>702313.08</v>
      </c>
      <c r="H97" s="250">
        <f t="shared" si="9"/>
        <v>702313.08</v>
      </c>
    </row>
    <row r="98" spans="1:8" x14ac:dyDescent="0.2">
      <c r="A98" s="1233"/>
      <c r="B98" s="593">
        <v>53205070100000</v>
      </c>
      <c r="C98" s="594" t="s">
        <v>105</v>
      </c>
      <c r="D98" s="257">
        <v>0</v>
      </c>
      <c r="E98" s="257">
        <v>0</v>
      </c>
      <c r="F98" s="258">
        <v>0</v>
      </c>
      <c r="G98" s="249">
        <f t="shared" si="8"/>
        <v>0</v>
      </c>
      <c r="H98" s="250">
        <f t="shared" si="9"/>
        <v>0</v>
      </c>
    </row>
    <row r="99" spans="1:8" x14ac:dyDescent="0.2">
      <c r="A99" s="1233"/>
      <c r="B99" s="593">
        <v>53208010100000</v>
      </c>
      <c r="C99" s="594" t="s">
        <v>106</v>
      </c>
      <c r="D99" s="257">
        <v>0</v>
      </c>
      <c r="E99" s="257">
        <v>1297168</v>
      </c>
      <c r="F99" s="258">
        <v>2</v>
      </c>
      <c r="G99" s="249">
        <f t="shared" si="8"/>
        <v>2594336</v>
      </c>
      <c r="H99" s="250">
        <f t="shared" si="9"/>
        <v>2594336</v>
      </c>
    </row>
    <row r="100" spans="1:8" x14ac:dyDescent="0.2">
      <c r="A100" s="1233"/>
      <c r="B100" s="593">
        <v>53208070100001</v>
      </c>
      <c r="C100" s="594" t="s">
        <v>107</v>
      </c>
      <c r="D100" s="252">
        <v>0</v>
      </c>
      <c r="E100" s="252">
        <v>0</v>
      </c>
      <c r="F100" s="255">
        <v>0</v>
      </c>
      <c r="G100" s="249">
        <f t="shared" si="8"/>
        <v>0</v>
      </c>
      <c r="H100" s="250">
        <f t="shared" si="9"/>
        <v>0</v>
      </c>
    </row>
    <row r="101" spans="1:8" x14ac:dyDescent="0.2">
      <c r="A101" s="1233"/>
      <c r="B101" s="593">
        <v>53208100100001</v>
      </c>
      <c r="C101" s="594" t="s">
        <v>108</v>
      </c>
      <c r="D101" s="257">
        <f>'H) Detalle Datos'!P24</f>
        <v>1000000</v>
      </c>
      <c r="E101" s="257">
        <v>0</v>
      </c>
      <c r="F101" s="258">
        <v>0</v>
      </c>
      <c r="G101" s="249">
        <f t="shared" si="8"/>
        <v>0</v>
      </c>
      <c r="H101" s="250">
        <f t="shared" si="9"/>
        <v>1000000</v>
      </c>
    </row>
    <row r="102" spans="1:8" x14ac:dyDescent="0.2">
      <c r="A102" s="1233"/>
      <c r="B102" s="593">
        <v>53211030000000</v>
      </c>
      <c r="C102" s="594" t="s">
        <v>109</v>
      </c>
      <c r="D102" s="257">
        <v>0</v>
      </c>
      <c r="E102" s="257">
        <v>0</v>
      </c>
      <c r="F102" s="258">
        <v>0</v>
      </c>
      <c r="G102" s="249">
        <f t="shared" si="8"/>
        <v>0</v>
      </c>
      <c r="H102" s="250">
        <f t="shared" si="9"/>
        <v>0</v>
      </c>
    </row>
    <row r="103" spans="1:8" x14ac:dyDescent="0.2">
      <c r="A103" s="1233"/>
      <c r="B103" s="593">
        <v>53212020100000</v>
      </c>
      <c r="C103" s="594" t="s">
        <v>110</v>
      </c>
      <c r="D103" s="257">
        <v>0</v>
      </c>
      <c r="E103" s="257">
        <f>58772*6</f>
        <v>352632</v>
      </c>
      <c r="F103" s="258">
        <v>9</v>
      </c>
      <c r="G103" s="249">
        <f t="shared" si="8"/>
        <v>3173688</v>
      </c>
      <c r="H103" s="250">
        <f t="shared" si="9"/>
        <v>3173688</v>
      </c>
    </row>
    <row r="104" spans="1:8" ht="15.75" customHeight="1" x14ac:dyDescent="0.2">
      <c r="A104" s="1233"/>
      <c r="B104" s="593">
        <v>53214020000000</v>
      </c>
      <c r="C104" s="594" t="s">
        <v>111</v>
      </c>
      <c r="D104" s="252">
        <f>'H) Detalle Datos'!P22</f>
        <v>0</v>
      </c>
      <c r="E104" s="252">
        <v>0</v>
      </c>
      <c r="F104" s="255">
        <v>0</v>
      </c>
      <c r="G104" s="249">
        <f t="shared" si="8"/>
        <v>0</v>
      </c>
      <c r="H104" s="250">
        <f t="shared" si="9"/>
        <v>0</v>
      </c>
    </row>
    <row r="105" spans="1:8" x14ac:dyDescent="0.2">
      <c r="A105" s="1233"/>
      <c r="B105" s="238"/>
      <c r="C105" s="239" t="s">
        <v>112</v>
      </c>
      <c r="D105" s="240">
        <f>+D106+D111+D113+D122+D131+D139</f>
        <v>7250667</v>
      </c>
      <c r="E105" s="274"/>
      <c r="F105" s="282"/>
      <c r="G105" s="240">
        <f>+G106+G111+G113+G122+G131+G139</f>
        <v>9228516.1199999992</v>
      </c>
      <c r="H105" s="240">
        <f>+H106+H111+H113+H122+H131+H139</f>
        <v>16479183.120000001</v>
      </c>
    </row>
    <row r="106" spans="1:8" x14ac:dyDescent="0.2">
      <c r="A106" s="1233"/>
      <c r="B106" s="244"/>
      <c r="C106" s="245" t="s">
        <v>113</v>
      </c>
      <c r="D106" s="246">
        <f>SUM(D107:D110)</f>
        <v>399900</v>
      </c>
      <c r="E106" s="261"/>
      <c r="F106" s="283"/>
      <c r="G106" s="261">
        <f>SUM(G107:G110)</f>
        <v>1548854.7999999998</v>
      </c>
      <c r="H106" s="262">
        <f>SUM(H107:H110)</f>
        <v>1948754.8</v>
      </c>
    </row>
    <row r="107" spans="1:8" x14ac:dyDescent="0.2">
      <c r="A107" s="1233"/>
      <c r="B107" s="593">
        <v>53202020100000</v>
      </c>
      <c r="C107" s="594" t="s">
        <v>114</v>
      </c>
      <c r="D107" s="251">
        <f>79980*5</f>
        <v>399900</v>
      </c>
      <c r="E107" s="252">
        <f>43000*1.13</f>
        <v>48589.999999999993</v>
      </c>
      <c r="F107" s="255">
        <v>18</v>
      </c>
      <c r="G107" s="249">
        <f>E107*F107</f>
        <v>874619.99999999988</v>
      </c>
      <c r="H107" s="250">
        <f>D107+G107</f>
        <v>1274520</v>
      </c>
    </row>
    <row r="108" spans="1:8" x14ac:dyDescent="0.2">
      <c r="A108" s="1233"/>
      <c r="B108" s="593">
        <v>53202030000000</v>
      </c>
      <c r="C108" s="594" t="s">
        <v>115</v>
      </c>
      <c r="D108" s="251">
        <v>0</v>
      </c>
      <c r="E108" s="252">
        <f>38990*1.13</f>
        <v>44058.7</v>
      </c>
      <c r="F108" s="255">
        <v>4</v>
      </c>
      <c r="G108" s="249">
        <f>E108*F108</f>
        <v>176234.8</v>
      </c>
      <c r="H108" s="250">
        <f>D108+G108</f>
        <v>176234.8</v>
      </c>
    </row>
    <row r="109" spans="1:8" x14ac:dyDescent="0.2">
      <c r="A109" s="1233"/>
      <c r="B109" s="593">
        <v>53211020000000</v>
      </c>
      <c r="C109" s="594" t="s">
        <v>116</v>
      </c>
      <c r="D109" s="257">
        <v>0</v>
      </c>
      <c r="E109" s="257">
        <v>249000</v>
      </c>
      <c r="F109" s="258">
        <v>2</v>
      </c>
      <c r="G109" s="249">
        <f>E109*F109</f>
        <v>498000</v>
      </c>
      <c r="H109" s="250">
        <f>D109+G109</f>
        <v>498000</v>
      </c>
    </row>
    <row r="110" spans="1:8" x14ac:dyDescent="0.2">
      <c r="A110" s="1233"/>
      <c r="B110" s="593">
        <v>53101040600000</v>
      </c>
      <c r="C110" s="594" t="s">
        <v>117</v>
      </c>
      <c r="D110" s="257">
        <v>0</v>
      </c>
      <c r="E110" s="257">
        <v>0</v>
      </c>
      <c r="F110" s="258">
        <v>0</v>
      </c>
      <c r="G110" s="249">
        <f>E110*F110</f>
        <v>0</v>
      </c>
      <c r="H110" s="250">
        <f>D110+G110</f>
        <v>0</v>
      </c>
    </row>
    <row r="111" spans="1:8" x14ac:dyDescent="0.2">
      <c r="A111" s="1233"/>
      <c r="B111" s="244"/>
      <c r="C111" s="245" t="s">
        <v>118</v>
      </c>
      <c r="D111" s="246">
        <f>SUM(D112)</f>
        <v>0</v>
      </c>
      <c r="E111" s="261"/>
      <c r="F111" s="283"/>
      <c r="G111" s="261">
        <f>SUM(G112:G112)</f>
        <v>0</v>
      </c>
      <c r="H111" s="262">
        <f>SUM(H112:H112)</f>
        <v>0</v>
      </c>
    </row>
    <row r="112" spans="1:8" x14ac:dyDescent="0.2">
      <c r="A112" s="1233"/>
      <c r="B112" s="601">
        <v>53205990000000</v>
      </c>
      <c r="C112" s="594" t="s">
        <v>119</v>
      </c>
      <c r="D112" s="257">
        <v>0</v>
      </c>
      <c r="E112" s="257">
        <v>0</v>
      </c>
      <c r="F112" s="258">
        <v>0</v>
      </c>
      <c r="G112" s="249">
        <f>E112*F112</f>
        <v>0</v>
      </c>
      <c r="H112" s="250">
        <f>D112+G112</f>
        <v>0</v>
      </c>
    </row>
    <row r="113" spans="1:8" x14ac:dyDescent="0.2">
      <c r="A113" s="1233"/>
      <c r="B113" s="244"/>
      <c r="C113" s="245" t="s">
        <v>120</v>
      </c>
      <c r="D113" s="246">
        <f>SUM(D114:D121)</f>
        <v>3972000</v>
      </c>
      <c r="E113" s="261"/>
      <c r="F113" s="283"/>
      <c r="G113" s="246">
        <f>SUM(G114:G121)</f>
        <v>3512040</v>
      </c>
      <c r="H113" s="248">
        <f>SUM(H114:H121)</f>
        <v>7484040</v>
      </c>
    </row>
    <row r="114" spans="1:8" x14ac:dyDescent="0.2">
      <c r="A114" s="1233"/>
      <c r="B114" s="593">
        <v>53204010000000</v>
      </c>
      <c r="C114" s="594" t="s">
        <v>121</v>
      </c>
      <c r="D114" s="257">
        <v>700600</v>
      </c>
      <c r="E114" s="257">
        <v>0</v>
      </c>
      <c r="F114" s="258">
        <v>0</v>
      </c>
      <c r="G114" s="249">
        <f t="shared" ref="G114:G121" si="10">E114*F114</f>
        <v>0</v>
      </c>
      <c r="H114" s="250">
        <f t="shared" ref="H114:H121" si="11">D114+G114</f>
        <v>700600</v>
      </c>
    </row>
    <row r="115" spans="1:8" x14ac:dyDescent="0.2">
      <c r="A115" s="1233"/>
      <c r="B115" s="601">
        <v>53204040200000</v>
      </c>
      <c r="C115" s="594" t="s">
        <v>122</v>
      </c>
      <c r="D115" s="257">
        <v>0</v>
      </c>
      <c r="E115" s="257">
        <f>18000*1.13</f>
        <v>20339.999999999996</v>
      </c>
      <c r="F115" s="258">
        <v>6</v>
      </c>
      <c r="G115" s="249">
        <f t="shared" si="10"/>
        <v>122039.99999999997</v>
      </c>
      <c r="H115" s="250">
        <f t="shared" si="11"/>
        <v>122039.99999999997</v>
      </c>
    </row>
    <row r="116" spans="1:8" x14ac:dyDescent="0.2">
      <c r="A116" s="1233"/>
      <c r="B116" s="593">
        <v>53204060000000</v>
      </c>
      <c r="C116" s="594" t="s">
        <v>123</v>
      </c>
      <c r="D116" s="257">
        <v>0</v>
      </c>
      <c r="E116" s="257">
        <v>0</v>
      </c>
      <c r="F116" s="258">
        <v>0</v>
      </c>
      <c r="G116" s="249">
        <f t="shared" si="10"/>
        <v>0</v>
      </c>
      <c r="H116" s="250">
        <f t="shared" si="11"/>
        <v>0</v>
      </c>
    </row>
    <row r="117" spans="1:8" x14ac:dyDescent="0.2">
      <c r="A117" s="1233"/>
      <c r="B117" s="593">
        <v>53204070000000</v>
      </c>
      <c r="C117" s="594" t="s">
        <v>124</v>
      </c>
      <c r="D117" s="257">
        <f>'H) Detalle Datos'!E11+'H) Detalle Datos'!I11</f>
        <v>1702400</v>
      </c>
      <c r="E117" s="257">
        <f>250000*1.13</f>
        <v>282500</v>
      </c>
      <c r="F117" s="258">
        <v>12</v>
      </c>
      <c r="G117" s="249">
        <f t="shared" si="10"/>
        <v>3390000</v>
      </c>
      <c r="H117" s="250">
        <f t="shared" si="11"/>
        <v>5092400</v>
      </c>
    </row>
    <row r="118" spans="1:8" x14ac:dyDescent="0.2">
      <c r="A118" s="1233"/>
      <c r="B118" s="593">
        <v>53204080000000</v>
      </c>
      <c r="C118" s="594" t="s">
        <v>125</v>
      </c>
      <c r="D118" s="257">
        <f>'H) Detalle Datos'!P23</f>
        <v>850000</v>
      </c>
      <c r="E118" s="257">
        <v>0</v>
      </c>
      <c r="F118" s="258">
        <v>0</v>
      </c>
      <c r="G118" s="249">
        <f t="shared" si="10"/>
        <v>0</v>
      </c>
      <c r="H118" s="250">
        <f t="shared" si="11"/>
        <v>850000</v>
      </c>
    </row>
    <row r="119" spans="1:8" x14ac:dyDescent="0.2">
      <c r="A119" s="1233"/>
      <c r="B119" s="593">
        <v>53214010000000</v>
      </c>
      <c r="C119" s="594" t="s">
        <v>126</v>
      </c>
      <c r="D119" s="259">
        <f>'H) Detalle Datos'!P20+'H) Detalle Datos'!P21</f>
        <v>569000</v>
      </c>
      <c r="E119" s="259">
        <v>0</v>
      </c>
      <c r="F119" s="256">
        <v>0</v>
      </c>
      <c r="G119" s="249">
        <f t="shared" si="10"/>
        <v>0</v>
      </c>
      <c r="H119" s="250">
        <f t="shared" si="11"/>
        <v>569000</v>
      </c>
    </row>
    <row r="120" spans="1:8" x14ac:dyDescent="0.2">
      <c r="A120" s="1233"/>
      <c r="B120" s="593">
        <v>53214040000000</v>
      </c>
      <c r="C120" s="594" t="s">
        <v>127</v>
      </c>
      <c r="D120" s="259">
        <v>150000</v>
      </c>
      <c r="E120" s="259">
        <f>'H) Detalle Datos'!P22</f>
        <v>0</v>
      </c>
      <c r="F120" s="256">
        <v>1</v>
      </c>
      <c r="G120" s="249">
        <f t="shared" si="10"/>
        <v>0</v>
      </c>
      <c r="H120" s="250">
        <f t="shared" si="11"/>
        <v>150000</v>
      </c>
    </row>
    <row r="121" spans="1:8" x14ac:dyDescent="0.2">
      <c r="A121" s="1233"/>
      <c r="B121" s="598">
        <v>53204020100000</v>
      </c>
      <c r="C121" s="594" t="s">
        <v>128</v>
      </c>
      <c r="D121" s="257">
        <v>0</v>
      </c>
      <c r="E121" s="257">
        <v>0</v>
      </c>
      <c r="F121" s="258">
        <v>0</v>
      </c>
      <c r="G121" s="249">
        <f t="shared" si="10"/>
        <v>0</v>
      </c>
      <c r="H121" s="250">
        <f t="shared" si="11"/>
        <v>0</v>
      </c>
    </row>
    <row r="122" spans="1:8" x14ac:dyDescent="0.2">
      <c r="A122" s="1233"/>
      <c r="B122" s="244"/>
      <c r="C122" s="245" t="s">
        <v>129</v>
      </c>
      <c r="D122" s="246">
        <f>SUM(D123:D130)</f>
        <v>2878767</v>
      </c>
      <c r="E122" s="261"/>
      <c r="F122" s="283"/>
      <c r="G122" s="246">
        <f>SUM(G123:G130)</f>
        <v>1907621.3199999998</v>
      </c>
      <c r="H122" s="248">
        <f>SUM(H123:H130)</f>
        <v>4786388.32</v>
      </c>
    </row>
    <row r="123" spans="1:8" x14ac:dyDescent="0.2">
      <c r="A123" s="1233"/>
      <c r="B123" s="593">
        <v>53207010000000</v>
      </c>
      <c r="C123" s="594" t="s">
        <v>130</v>
      </c>
      <c r="D123" s="257">
        <v>0</v>
      </c>
      <c r="E123" s="257">
        <v>0</v>
      </c>
      <c r="F123" s="258">
        <v>0</v>
      </c>
      <c r="G123" s="249">
        <f t="shared" ref="G123:G130" si="12">E123*F123</f>
        <v>0</v>
      </c>
      <c r="H123" s="250">
        <f t="shared" ref="H123:H130" si="13">D123+G123</f>
        <v>0</v>
      </c>
    </row>
    <row r="124" spans="1:8" x14ac:dyDescent="0.2">
      <c r="A124" s="1233"/>
      <c r="B124" s="593">
        <v>53207020000000</v>
      </c>
      <c r="C124" s="594" t="s">
        <v>131</v>
      </c>
      <c r="D124" s="257">
        <v>0</v>
      </c>
      <c r="E124" s="257">
        <v>0</v>
      </c>
      <c r="F124" s="258">
        <v>0</v>
      </c>
      <c r="G124" s="249">
        <f t="shared" si="12"/>
        <v>0</v>
      </c>
      <c r="H124" s="250">
        <f t="shared" si="13"/>
        <v>0</v>
      </c>
    </row>
    <row r="125" spans="1:8" x14ac:dyDescent="0.2">
      <c r="A125" s="1233"/>
      <c r="B125" s="593">
        <v>53208020000000</v>
      </c>
      <c r="C125" s="594" t="s">
        <v>132</v>
      </c>
      <c r="D125" s="257">
        <v>0</v>
      </c>
      <c r="E125" s="257">
        <v>0</v>
      </c>
      <c r="F125" s="258">
        <v>0</v>
      </c>
      <c r="G125" s="249">
        <f t="shared" si="12"/>
        <v>0</v>
      </c>
      <c r="H125" s="250">
        <f t="shared" si="13"/>
        <v>0</v>
      </c>
    </row>
    <row r="126" spans="1:8" x14ac:dyDescent="0.2">
      <c r="A126" s="1233"/>
      <c r="B126" s="593">
        <v>53208990000000</v>
      </c>
      <c r="C126" s="594" t="s">
        <v>133</v>
      </c>
      <c r="D126" s="257">
        <v>0</v>
      </c>
      <c r="E126" s="257">
        <f>114341*1.13</f>
        <v>129205.32999999999</v>
      </c>
      <c r="F126" s="258">
        <v>4</v>
      </c>
      <c r="G126" s="249">
        <f t="shared" si="12"/>
        <v>516821.31999999995</v>
      </c>
      <c r="H126" s="250">
        <f t="shared" si="13"/>
        <v>516821.31999999995</v>
      </c>
    </row>
    <row r="127" spans="1:8" x14ac:dyDescent="0.2">
      <c r="A127" s="1233"/>
      <c r="B127" s="598">
        <v>53210020300000</v>
      </c>
      <c r="C127" s="594" t="s">
        <v>134</v>
      </c>
      <c r="D127" s="284">
        <v>0</v>
      </c>
      <c r="E127" s="41">
        <v>8200</v>
      </c>
      <c r="F127" s="265">
        <f>'B) Reajuste Tarifas y Ocupación'!I39</f>
        <v>120</v>
      </c>
      <c r="G127" s="249">
        <f t="shared" si="12"/>
        <v>984000</v>
      </c>
      <c r="H127" s="250">
        <f t="shared" si="13"/>
        <v>984000</v>
      </c>
    </row>
    <row r="128" spans="1:8" x14ac:dyDescent="0.2">
      <c r="A128" s="1233"/>
      <c r="B128" s="593">
        <v>53208990000000</v>
      </c>
      <c r="C128" s="594" t="s">
        <v>135</v>
      </c>
      <c r="D128" s="257">
        <v>0</v>
      </c>
      <c r="E128" s="257">
        <v>0</v>
      </c>
      <c r="F128" s="258">
        <v>0</v>
      </c>
      <c r="G128" s="249">
        <f t="shared" si="12"/>
        <v>0</v>
      </c>
      <c r="H128" s="250">
        <f t="shared" si="13"/>
        <v>0</v>
      </c>
    </row>
    <row r="129" spans="1:10" x14ac:dyDescent="0.2">
      <c r="A129" s="1233"/>
      <c r="B129" s="593">
        <v>53209990000000</v>
      </c>
      <c r="C129" s="594" t="s">
        <v>136</v>
      </c>
      <c r="D129" s="257">
        <v>0</v>
      </c>
      <c r="E129" s="257">
        <f>120000*1.13</f>
        <v>135600</v>
      </c>
      <c r="F129" s="258">
        <v>3</v>
      </c>
      <c r="G129" s="249">
        <f t="shared" si="12"/>
        <v>406800</v>
      </c>
      <c r="H129" s="250">
        <f t="shared" si="13"/>
        <v>406800</v>
      </c>
    </row>
    <row r="130" spans="1:10" x14ac:dyDescent="0.2">
      <c r="A130" s="1233"/>
      <c r="B130" s="593">
        <v>53210020100000</v>
      </c>
      <c r="C130" s="594" t="s">
        <v>137</v>
      </c>
      <c r="D130" s="600">
        <v>2878767</v>
      </c>
      <c r="E130" s="257">
        <v>0</v>
      </c>
      <c r="F130" s="258">
        <v>0</v>
      </c>
      <c r="G130" s="249">
        <f t="shared" si="12"/>
        <v>0</v>
      </c>
      <c r="H130" s="250">
        <f t="shared" si="13"/>
        <v>2878767</v>
      </c>
    </row>
    <row r="131" spans="1:10" x14ac:dyDescent="0.2">
      <c r="A131" s="1233"/>
      <c r="B131" s="244"/>
      <c r="C131" s="245" t="s">
        <v>138</v>
      </c>
      <c r="D131" s="246">
        <f>SUM(D132:D138)</f>
        <v>0</v>
      </c>
      <c r="E131" s="261"/>
      <c r="F131" s="283"/>
      <c r="G131" s="246">
        <f>SUM(G132:G138)</f>
        <v>903999.99999999988</v>
      </c>
      <c r="H131" s="248">
        <f>SUM(H132:H138)</f>
        <v>903999.99999999988</v>
      </c>
    </row>
    <row r="132" spans="1:10" x14ac:dyDescent="0.2">
      <c r="A132" s="1233"/>
      <c r="B132" s="593">
        <v>53206030000000</v>
      </c>
      <c r="C132" s="594" t="s">
        <v>139</v>
      </c>
      <c r="D132" s="257">
        <v>0</v>
      </c>
      <c r="E132" s="257">
        <v>0</v>
      </c>
      <c r="F132" s="258">
        <v>0</v>
      </c>
      <c r="G132" s="249">
        <f t="shared" ref="G132:G138" si="14">E132*F132</f>
        <v>0</v>
      </c>
      <c r="H132" s="250">
        <f t="shared" ref="H132:H138" si="15">D132+G132</f>
        <v>0</v>
      </c>
    </row>
    <row r="133" spans="1:10" x14ac:dyDescent="0.2">
      <c r="A133" s="1233"/>
      <c r="B133" s="593">
        <v>53206040000000</v>
      </c>
      <c r="C133" s="594" t="s">
        <v>140</v>
      </c>
      <c r="D133" s="257">
        <v>0</v>
      </c>
      <c r="E133" s="257">
        <v>0</v>
      </c>
      <c r="F133" s="258">
        <v>0</v>
      </c>
      <c r="G133" s="249">
        <f t="shared" si="14"/>
        <v>0</v>
      </c>
      <c r="H133" s="250">
        <f t="shared" si="15"/>
        <v>0</v>
      </c>
    </row>
    <row r="134" spans="1:10" x14ac:dyDescent="0.2">
      <c r="A134" s="1233"/>
      <c r="B134" s="593">
        <v>53206060000000</v>
      </c>
      <c r="C134" s="594" t="s">
        <v>141</v>
      </c>
      <c r="D134" s="257">
        <v>0</v>
      </c>
      <c r="E134" s="257">
        <v>0</v>
      </c>
      <c r="F134" s="258">
        <v>0</v>
      </c>
      <c r="G134" s="249">
        <f t="shared" si="14"/>
        <v>0</v>
      </c>
      <c r="H134" s="250">
        <f t="shared" si="15"/>
        <v>0</v>
      </c>
    </row>
    <row r="135" spans="1:10" x14ac:dyDescent="0.2">
      <c r="A135" s="1233"/>
      <c r="B135" s="593">
        <v>53206070000000</v>
      </c>
      <c r="C135" s="594" t="s">
        <v>142</v>
      </c>
      <c r="D135" s="257">
        <v>0</v>
      </c>
      <c r="E135" s="257">
        <v>0</v>
      </c>
      <c r="F135" s="258">
        <v>0</v>
      </c>
      <c r="G135" s="249">
        <f t="shared" si="14"/>
        <v>0</v>
      </c>
      <c r="H135" s="250">
        <f t="shared" si="15"/>
        <v>0</v>
      </c>
    </row>
    <row r="136" spans="1:10" x14ac:dyDescent="0.2">
      <c r="A136" s="1233"/>
      <c r="B136" s="593">
        <v>53206990000000</v>
      </c>
      <c r="C136" s="594" t="s">
        <v>143</v>
      </c>
      <c r="D136" s="257">
        <v>0</v>
      </c>
      <c r="E136" s="257">
        <v>0</v>
      </c>
      <c r="F136" s="258">
        <v>0</v>
      </c>
      <c r="G136" s="249">
        <f t="shared" si="14"/>
        <v>0</v>
      </c>
      <c r="H136" s="250">
        <f t="shared" si="15"/>
        <v>0</v>
      </c>
    </row>
    <row r="137" spans="1:10" x14ac:dyDescent="0.2">
      <c r="A137" s="1233"/>
      <c r="B137" s="593">
        <v>53208030000000</v>
      </c>
      <c r="C137" s="594" t="s">
        <v>144</v>
      </c>
      <c r="D137" s="257">
        <v>0</v>
      </c>
      <c r="E137" s="257">
        <f>80000*1.13</f>
        <v>90399.999999999985</v>
      </c>
      <c r="F137" s="258">
        <v>10</v>
      </c>
      <c r="G137" s="249">
        <f t="shared" si="14"/>
        <v>903999.99999999988</v>
      </c>
      <c r="H137" s="250">
        <f t="shared" si="15"/>
        <v>903999.99999999988</v>
      </c>
    </row>
    <row r="138" spans="1:10" x14ac:dyDescent="0.2">
      <c r="A138" s="1233"/>
      <c r="B138" s="593">
        <v>53206990000000</v>
      </c>
      <c r="C138" s="594" t="s">
        <v>145</v>
      </c>
      <c r="D138" s="257">
        <v>0</v>
      </c>
      <c r="E138" s="257">
        <v>0</v>
      </c>
      <c r="F138" s="258">
        <v>0</v>
      </c>
      <c r="G138" s="249">
        <f t="shared" si="14"/>
        <v>0</v>
      </c>
      <c r="H138" s="250">
        <f t="shared" si="15"/>
        <v>0</v>
      </c>
    </row>
    <row r="139" spans="1:10" x14ac:dyDescent="0.2">
      <c r="A139" s="1233"/>
      <c r="B139" s="244"/>
      <c r="C139" s="245" t="s">
        <v>146</v>
      </c>
      <c r="D139" s="246">
        <f>SUM(D140)</f>
        <v>0</v>
      </c>
      <c r="E139" s="261"/>
      <c r="F139" s="261"/>
      <c r="G139" s="246">
        <f>SUM(G140:G140)</f>
        <v>1355999.9999999998</v>
      </c>
      <c r="H139" s="248">
        <f>SUM(H140:H140)</f>
        <v>1355999.9999999998</v>
      </c>
    </row>
    <row r="140" spans="1:10" x14ac:dyDescent="0.2">
      <c r="A140" s="1233"/>
      <c r="B140" s="602"/>
      <c r="C140" s="603" t="s">
        <v>147</v>
      </c>
      <c r="D140" s="251">
        <v>0</v>
      </c>
      <c r="E140" s="251">
        <f>10000*1.13</f>
        <v>11299.999999999998</v>
      </c>
      <c r="F140" s="253">
        <v>120</v>
      </c>
      <c r="G140" s="249">
        <f>E140*F140</f>
        <v>1355999.9999999998</v>
      </c>
      <c r="H140" s="266">
        <f>D140+G140</f>
        <v>1355999.9999999998</v>
      </c>
      <c r="I140" s="711" t="s">
        <v>148</v>
      </c>
      <c r="J140" s="712">
        <f>+H138+H137+H136+H135+H134+H133+H132+H130+H129+H128+H127+H126+H125+H124+H123+H121+H118+H117+H116+H115+H114+H112+H110+H109+H103+H102+H101+H99+H98+H97+H96+H95+H94+H93+H92+H91+H90+H89</f>
        <v>40515739.899999999</v>
      </c>
    </row>
    <row r="141" spans="1:10" x14ac:dyDescent="0.2">
      <c r="A141" s="1233"/>
      <c r="B141" s="269"/>
      <c r="C141" s="270" t="s">
        <v>149</v>
      </c>
      <c r="D141" s="267">
        <f>SUM(D78,D105)</f>
        <v>155111986.69999999</v>
      </c>
      <c r="E141" s="349"/>
      <c r="F141" s="349"/>
      <c r="G141" s="267">
        <f>SUM(G78,G105)</f>
        <v>59812967.399999991</v>
      </c>
      <c r="H141" s="268">
        <f>SUM(H78,H105)</f>
        <v>214924954.09999996</v>
      </c>
      <c r="I141" s="713" t="s">
        <v>150</v>
      </c>
      <c r="J141" s="714">
        <f>+H141-J140</f>
        <v>174409214.19999996</v>
      </c>
    </row>
    <row r="142" spans="1:10" ht="12.75" customHeight="1" x14ac:dyDescent="0.2">
      <c r="A142" s="1235" t="s">
        <v>151</v>
      </c>
      <c r="B142" s="1236" t="s">
        <v>78</v>
      </c>
      <c r="C142" s="1239" t="s">
        <v>79</v>
      </c>
      <c r="D142" s="1238" t="s">
        <v>80</v>
      </c>
      <c r="E142" s="1239" t="s">
        <v>81</v>
      </c>
      <c r="F142" s="1239"/>
      <c r="G142" s="1239"/>
      <c r="H142" s="1252" t="s">
        <v>338</v>
      </c>
    </row>
    <row r="143" spans="1:10" ht="25.5" x14ac:dyDescent="0.2">
      <c r="A143" s="1235"/>
      <c r="B143" s="1236"/>
      <c r="C143" s="1239"/>
      <c r="D143" s="1238"/>
      <c r="E143" s="271" t="s">
        <v>82</v>
      </c>
      <c r="F143" s="272" t="s">
        <v>83</v>
      </c>
      <c r="G143" s="570" t="s">
        <v>84</v>
      </c>
      <c r="H143" s="1252"/>
    </row>
    <row r="144" spans="1:10" ht="15.75" customHeight="1" x14ac:dyDescent="0.2">
      <c r="A144" s="1233" t="str">
        <f>+'B) Reajuste Tarifas y Ocupación'!A16</f>
        <v>Jardín Infantil Pecesitos de Colores</v>
      </c>
      <c r="B144" s="238"/>
      <c r="C144" s="273" t="s">
        <v>85</v>
      </c>
      <c r="D144" s="240">
        <f>SUM(D145,D150)</f>
        <v>13784816.199999999</v>
      </c>
      <c r="E144" s="274"/>
      <c r="F144" s="274"/>
      <c r="G144" s="242">
        <f>SUM(G145,G150)</f>
        <v>3975204.48</v>
      </c>
      <c r="H144" s="243">
        <f>SUM(H145,H150)</f>
        <v>17760020.68</v>
      </c>
      <c r="I144" s="275"/>
      <c r="J144" s="275"/>
    </row>
    <row r="145" spans="1:10" x14ac:dyDescent="0.2">
      <c r="A145" s="1233"/>
      <c r="B145" s="244"/>
      <c r="C145" s="276" t="s">
        <v>86</v>
      </c>
      <c r="D145" s="246">
        <f>SUM(D146:D149)</f>
        <v>10909971.879999999</v>
      </c>
      <c r="E145" s="261"/>
      <c r="F145" s="261"/>
      <c r="G145" s="46">
        <f>SUM(G146:G149)</f>
        <v>677999.99999999988</v>
      </c>
      <c r="H145" s="248">
        <f>SUM(H146:H149)</f>
        <v>11587971.879999999</v>
      </c>
      <c r="I145" s="275"/>
      <c r="J145" s="275"/>
    </row>
    <row r="146" spans="1:10" x14ac:dyDescent="0.2">
      <c r="A146" s="1233"/>
      <c r="B146" s="593">
        <v>53103040100000</v>
      </c>
      <c r="C146" s="594" t="s">
        <v>87</v>
      </c>
      <c r="D146" s="277">
        <f>'F) Remuneraciones'!L57</f>
        <v>9918155.879999999</v>
      </c>
      <c r="E146" s="278">
        <v>0</v>
      </c>
      <c r="F146" s="279">
        <v>0</v>
      </c>
      <c r="G146" s="249">
        <f>E146*F146</f>
        <v>0</v>
      </c>
      <c r="H146" s="250">
        <f>D146+G146</f>
        <v>9918155.879999999</v>
      </c>
      <c r="I146" s="275"/>
      <c r="J146" s="275"/>
    </row>
    <row r="147" spans="1:10" x14ac:dyDescent="0.2">
      <c r="A147" s="1233"/>
      <c r="B147" s="593">
        <v>53103050000000</v>
      </c>
      <c r="C147" s="594" t="s">
        <v>152</v>
      </c>
      <c r="D147" s="251"/>
      <c r="E147" s="252">
        <v>0</v>
      </c>
      <c r="F147" s="253">
        <v>0</v>
      </c>
      <c r="G147" s="249">
        <f>E147*F147</f>
        <v>0</v>
      </c>
      <c r="H147" s="250">
        <f>D147+G147</f>
        <v>0</v>
      </c>
      <c r="I147" s="275"/>
      <c r="J147" s="275"/>
    </row>
    <row r="148" spans="1:10" x14ac:dyDescent="0.2">
      <c r="A148" s="1233"/>
      <c r="B148" s="598">
        <v>53103040400000</v>
      </c>
      <c r="C148" s="599" t="s">
        <v>89</v>
      </c>
      <c r="D148" s="251">
        <v>991816</v>
      </c>
      <c r="E148" s="252">
        <v>0</v>
      </c>
      <c r="F148" s="253">
        <v>0</v>
      </c>
      <c r="G148" s="249">
        <f>E148*F148</f>
        <v>0</v>
      </c>
      <c r="H148" s="250">
        <f>D148+G148</f>
        <v>991816</v>
      </c>
      <c r="I148" s="275"/>
      <c r="J148" s="275"/>
    </row>
    <row r="149" spans="1:10" x14ac:dyDescent="0.2">
      <c r="A149" s="1233"/>
      <c r="B149" s="593">
        <v>53103080010000</v>
      </c>
      <c r="C149" s="594" t="s">
        <v>90</v>
      </c>
      <c r="D149" s="251">
        <v>0</v>
      </c>
      <c r="E149" s="252">
        <f>50000*1.13</f>
        <v>56499.999999999993</v>
      </c>
      <c r="F149" s="253">
        <f>2*6</f>
        <v>12</v>
      </c>
      <c r="G149" s="249">
        <f>E149*F149</f>
        <v>677999.99999999988</v>
      </c>
      <c r="H149" s="250">
        <f>D149+G149</f>
        <v>677999.99999999988</v>
      </c>
      <c r="I149" s="275"/>
      <c r="J149" s="275"/>
    </row>
    <row r="150" spans="1:10" x14ac:dyDescent="0.2">
      <c r="A150" s="1233"/>
      <c r="B150" s="244"/>
      <c r="C150" s="245" t="s">
        <v>91</v>
      </c>
      <c r="D150" s="246">
        <f>SUM(D151:D170)</f>
        <v>2874844.32</v>
      </c>
      <c r="E150" s="261"/>
      <c r="F150" s="261"/>
      <c r="G150" s="246">
        <f>SUM(G151:G170)</f>
        <v>3297204.48</v>
      </c>
      <c r="H150" s="248">
        <f>SUM(H151:H170)</f>
        <v>6172048.8000000007</v>
      </c>
      <c r="I150" s="275"/>
      <c r="J150" s="275"/>
    </row>
    <row r="151" spans="1:10" x14ac:dyDescent="0.2">
      <c r="A151" s="1233"/>
      <c r="B151" s="593">
        <v>53201010100000</v>
      </c>
      <c r="C151" s="594" t="s">
        <v>92</v>
      </c>
      <c r="D151" s="251">
        <v>0</v>
      </c>
      <c r="E151" s="252">
        <f>E19</f>
        <v>1859</v>
      </c>
      <c r="F151" s="253">
        <f>1*20*11</f>
        <v>220</v>
      </c>
      <c r="G151" s="249">
        <f t="shared" ref="G151:G170" si="16">E151*F151</f>
        <v>408980</v>
      </c>
      <c r="H151" s="250">
        <f t="shared" ref="H151:H170" si="17">D151+G151</f>
        <v>408980</v>
      </c>
      <c r="I151" s="275"/>
      <c r="J151" s="275"/>
    </row>
    <row r="152" spans="1:10" x14ac:dyDescent="0.2">
      <c r="A152" s="1233"/>
      <c r="B152" s="593">
        <v>53201010100000</v>
      </c>
      <c r="C152" s="594" t="s">
        <v>93</v>
      </c>
      <c r="D152" s="251">
        <v>0</v>
      </c>
      <c r="E152" s="252">
        <v>0</v>
      </c>
      <c r="F152" s="253">
        <v>0</v>
      </c>
      <c r="G152" s="249">
        <f t="shared" si="16"/>
        <v>0</v>
      </c>
      <c r="H152" s="250">
        <f t="shared" si="17"/>
        <v>0</v>
      </c>
      <c r="I152" s="275"/>
      <c r="J152" s="275"/>
    </row>
    <row r="153" spans="1:10" x14ac:dyDescent="0.2">
      <c r="A153" s="1233"/>
      <c r="B153" s="593">
        <v>53201010100000</v>
      </c>
      <c r="C153" s="594" t="s">
        <v>94</v>
      </c>
      <c r="D153" s="251">
        <v>0</v>
      </c>
      <c r="E153" s="252">
        <f>E151</f>
        <v>1859</v>
      </c>
      <c r="F153" s="253">
        <f>2*20*6</f>
        <v>240</v>
      </c>
      <c r="G153" s="249">
        <f t="shared" si="16"/>
        <v>446160</v>
      </c>
      <c r="H153" s="250">
        <f t="shared" si="17"/>
        <v>446160</v>
      </c>
      <c r="I153" s="275"/>
      <c r="J153" s="275"/>
    </row>
    <row r="154" spans="1:10" x14ac:dyDescent="0.2">
      <c r="A154" s="1233"/>
      <c r="B154" s="593">
        <v>53202010100000</v>
      </c>
      <c r="C154" s="594" t="s">
        <v>95</v>
      </c>
      <c r="D154" s="259">
        <v>0</v>
      </c>
      <c r="E154" s="259">
        <v>0</v>
      </c>
      <c r="F154" s="280">
        <v>0</v>
      </c>
      <c r="G154" s="249">
        <f t="shared" si="16"/>
        <v>0</v>
      </c>
      <c r="H154" s="250">
        <f t="shared" si="17"/>
        <v>0</v>
      </c>
      <c r="I154" s="275"/>
      <c r="J154" s="275"/>
    </row>
    <row r="155" spans="1:10" x14ac:dyDescent="0.2">
      <c r="A155" s="1233"/>
      <c r="B155" s="593">
        <v>53203010100000</v>
      </c>
      <c r="C155" s="594" t="s">
        <v>96</v>
      </c>
      <c r="D155" s="257">
        <v>0</v>
      </c>
      <c r="E155" s="257">
        <v>0</v>
      </c>
      <c r="F155" s="281">
        <v>0</v>
      </c>
      <c r="G155" s="249">
        <f t="shared" si="16"/>
        <v>0</v>
      </c>
      <c r="H155" s="250">
        <f t="shared" si="17"/>
        <v>0</v>
      </c>
      <c r="I155" s="275"/>
      <c r="J155" s="275"/>
    </row>
    <row r="156" spans="1:10" x14ac:dyDescent="0.2">
      <c r="A156" s="1233"/>
      <c r="B156" s="593">
        <v>53203030000000</v>
      </c>
      <c r="C156" s="594" t="s">
        <v>97</v>
      </c>
      <c r="D156" s="257">
        <v>0</v>
      </c>
      <c r="E156" s="257">
        <v>0</v>
      </c>
      <c r="F156" s="281">
        <v>0</v>
      </c>
      <c r="G156" s="249">
        <f t="shared" si="16"/>
        <v>0</v>
      </c>
      <c r="H156" s="250">
        <f t="shared" si="17"/>
        <v>0</v>
      </c>
      <c r="I156" s="275"/>
      <c r="J156" s="275"/>
    </row>
    <row r="157" spans="1:10" x14ac:dyDescent="0.2">
      <c r="A157" s="1233"/>
      <c r="B157" s="593">
        <v>53204030000000</v>
      </c>
      <c r="C157" s="594" t="s">
        <v>98</v>
      </c>
      <c r="D157" s="257">
        <v>0</v>
      </c>
      <c r="E157" s="257">
        <f>E25</f>
        <v>21458.699999999997</v>
      </c>
      <c r="F157" s="281">
        <v>2</v>
      </c>
      <c r="G157" s="249">
        <f t="shared" si="16"/>
        <v>42917.399999999994</v>
      </c>
      <c r="H157" s="250">
        <f t="shared" si="17"/>
        <v>42917.399999999994</v>
      </c>
      <c r="I157" s="275"/>
      <c r="J157" s="275"/>
    </row>
    <row r="158" spans="1:10" x14ac:dyDescent="0.2">
      <c r="A158" s="1233"/>
      <c r="B158" s="593">
        <v>53204100100001</v>
      </c>
      <c r="C158" s="594" t="s">
        <v>99</v>
      </c>
      <c r="D158" s="1087">
        <f>'H) Detalle Datos'!BS52</f>
        <v>1448822.8</v>
      </c>
      <c r="E158" s="257">
        <v>0</v>
      </c>
      <c r="F158" s="281">
        <v>0</v>
      </c>
      <c r="G158" s="249">
        <f t="shared" si="16"/>
        <v>0</v>
      </c>
      <c r="H158" s="250">
        <f t="shared" si="17"/>
        <v>1448822.8</v>
      </c>
      <c r="I158" s="275"/>
      <c r="J158" s="275"/>
    </row>
    <row r="159" spans="1:10" x14ac:dyDescent="0.2">
      <c r="A159" s="1233"/>
      <c r="B159" s="593">
        <v>53204130100000</v>
      </c>
      <c r="C159" s="594" t="s">
        <v>100</v>
      </c>
      <c r="D159" s="257">
        <f>'H) Detalle Datos'!R29</f>
        <v>59980</v>
      </c>
      <c r="E159" s="257">
        <f>'H) Detalle Datos'!R28</f>
        <v>109990</v>
      </c>
      <c r="F159" s="281">
        <v>1</v>
      </c>
      <c r="G159" s="249">
        <f t="shared" si="16"/>
        <v>109990</v>
      </c>
      <c r="H159" s="250">
        <f t="shared" si="17"/>
        <v>169970</v>
      </c>
      <c r="I159" s="275"/>
      <c r="J159" s="275"/>
    </row>
    <row r="160" spans="1:10" x14ac:dyDescent="0.2">
      <c r="A160" s="1233"/>
      <c r="B160" s="593">
        <v>53205010100000</v>
      </c>
      <c r="C160" s="594" t="s">
        <v>101</v>
      </c>
      <c r="D160" s="257">
        <f>542074*1.13</f>
        <v>612543.62</v>
      </c>
      <c r="E160" s="257">
        <v>0</v>
      </c>
      <c r="F160" s="281">
        <v>0</v>
      </c>
      <c r="G160" s="249">
        <f t="shared" si="16"/>
        <v>0</v>
      </c>
      <c r="H160" s="250">
        <f t="shared" si="17"/>
        <v>612543.62</v>
      </c>
      <c r="I160" s="275"/>
      <c r="J160" s="275"/>
    </row>
    <row r="161" spans="1:10" x14ac:dyDescent="0.2">
      <c r="A161" s="1233"/>
      <c r="B161" s="593">
        <v>53205020100000</v>
      </c>
      <c r="C161" s="594" t="s">
        <v>102</v>
      </c>
      <c r="D161" s="257">
        <f>174470*1.13</f>
        <v>197151.09999999998</v>
      </c>
      <c r="E161" s="257">
        <v>0</v>
      </c>
      <c r="F161" s="281">
        <v>0</v>
      </c>
      <c r="G161" s="249">
        <f t="shared" si="16"/>
        <v>0</v>
      </c>
      <c r="H161" s="250">
        <f t="shared" si="17"/>
        <v>197151.09999999998</v>
      </c>
      <c r="I161" s="275"/>
      <c r="J161" s="275"/>
    </row>
    <row r="162" spans="1:10" x14ac:dyDescent="0.2">
      <c r="A162" s="1233"/>
      <c r="B162" s="593">
        <v>53205030100000</v>
      </c>
      <c r="C162" s="594" t="s">
        <v>103</v>
      </c>
      <c r="D162" s="257">
        <f>138360*1.13</f>
        <v>156346.79999999999</v>
      </c>
      <c r="E162" s="257">
        <v>0</v>
      </c>
      <c r="F162" s="281">
        <v>0</v>
      </c>
      <c r="G162" s="249">
        <f t="shared" si="16"/>
        <v>0</v>
      </c>
      <c r="H162" s="250">
        <f t="shared" si="17"/>
        <v>156346.79999999999</v>
      </c>
      <c r="I162" s="275"/>
      <c r="J162" s="275"/>
    </row>
    <row r="163" spans="1:10" x14ac:dyDescent="0.2">
      <c r="A163" s="1233"/>
      <c r="B163" s="593">
        <v>53205050100000</v>
      </c>
      <c r="C163" s="594" t="s">
        <v>104</v>
      </c>
      <c r="D163" s="257">
        <v>0</v>
      </c>
      <c r="E163" s="257">
        <f>E97</f>
        <v>58526.09</v>
      </c>
      <c r="F163" s="281">
        <v>12</v>
      </c>
      <c r="G163" s="249">
        <f t="shared" si="16"/>
        <v>702313.08</v>
      </c>
      <c r="H163" s="250">
        <f t="shared" si="17"/>
        <v>702313.08</v>
      </c>
      <c r="I163" s="275"/>
      <c r="J163" s="275"/>
    </row>
    <row r="164" spans="1:10" x14ac:dyDescent="0.2">
      <c r="A164" s="1233"/>
      <c r="B164" s="593">
        <v>53205070100000</v>
      </c>
      <c r="C164" s="594" t="s">
        <v>105</v>
      </c>
      <c r="D164" s="257">
        <v>0</v>
      </c>
      <c r="E164" s="257">
        <v>0</v>
      </c>
      <c r="F164" s="281">
        <v>0</v>
      </c>
      <c r="G164" s="249">
        <f t="shared" si="16"/>
        <v>0</v>
      </c>
      <c r="H164" s="250">
        <f t="shared" si="17"/>
        <v>0</v>
      </c>
      <c r="I164" s="275"/>
      <c r="J164" s="275"/>
    </row>
    <row r="165" spans="1:10" x14ac:dyDescent="0.2">
      <c r="A165" s="1233"/>
      <c r="B165" s="593">
        <v>53208010100000</v>
      </c>
      <c r="C165" s="594" t="s">
        <v>106</v>
      </c>
      <c r="D165" s="257">
        <v>0</v>
      </c>
      <c r="E165" s="257">
        <v>0</v>
      </c>
      <c r="F165" s="281">
        <v>0</v>
      </c>
      <c r="G165" s="249">
        <f t="shared" si="16"/>
        <v>0</v>
      </c>
      <c r="H165" s="250">
        <f t="shared" si="17"/>
        <v>0</v>
      </c>
      <c r="I165" s="275"/>
      <c r="J165" s="275"/>
    </row>
    <row r="166" spans="1:10" x14ac:dyDescent="0.2">
      <c r="A166" s="1233"/>
      <c r="B166" s="593">
        <v>53208070100001</v>
      </c>
      <c r="C166" s="594" t="s">
        <v>107</v>
      </c>
      <c r="D166" s="259">
        <v>0</v>
      </c>
      <c r="E166" s="259">
        <v>0</v>
      </c>
      <c r="F166" s="280">
        <v>0</v>
      </c>
      <c r="G166" s="249">
        <f t="shared" si="16"/>
        <v>0</v>
      </c>
      <c r="H166" s="250">
        <f t="shared" si="17"/>
        <v>0</v>
      </c>
      <c r="I166" s="275"/>
      <c r="J166" s="275"/>
    </row>
    <row r="167" spans="1:10" x14ac:dyDescent="0.2">
      <c r="A167" s="1233"/>
      <c r="B167" s="593">
        <v>53208100100001</v>
      </c>
      <c r="C167" s="594" t="s">
        <v>108</v>
      </c>
      <c r="D167" s="257">
        <f>'H) Detalle Datos'!R30</f>
        <v>400000</v>
      </c>
      <c r="E167" s="257">
        <v>0</v>
      </c>
      <c r="F167" s="281">
        <v>0</v>
      </c>
      <c r="G167" s="249">
        <f t="shared" si="16"/>
        <v>0</v>
      </c>
      <c r="H167" s="250">
        <f t="shared" si="17"/>
        <v>400000</v>
      </c>
      <c r="I167" s="275"/>
      <c r="J167" s="275"/>
    </row>
    <row r="168" spans="1:10" x14ac:dyDescent="0.2">
      <c r="A168" s="1233"/>
      <c r="B168" s="593">
        <v>53211030000000</v>
      </c>
      <c r="C168" s="594" t="s">
        <v>109</v>
      </c>
      <c r="D168" s="257">
        <v>0</v>
      </c>
      <c r="E168" s="257">
        <v>0</v>
      </c>
      <c r="F168" s="281">
        <v>0</v>
      </c>
      <c r="G168" s="249">
        <f t="shared" si="16"/>
        <v>0</v>
      </c>
      <c r="H168" s="250">
        <f t="shared" si="17"/>
        <v>0</v>
      </c>
      <c r="I168" s="275"/>
      <c r="J168" s="275"/>
    </row>
    <row r="169" spans="1:10" x14ac:dyDescent="0.2">
      <c r="A169" s="1233"/>
      <c r="B169" s="593">
        <v>53212020100000</v>
      </c>
      <c r="C169" s="594" t="s">
        <v>110</v>
      </c>
      <c r="D169" s="257">
        <v>0</v>
      </c>
      <c r="E169" s="257">
        <f>58772*3</f>
        <v>176316</v>
      </c>
      <c r="F169" s="281">
        <v>9</v>
      </c>
      <c r="G169" s="249">
        <f t="shared" si="16"/>
        <v>1586844</v>
      </c>
      <c r="H169" s="250">
        <f t="shared" si="17"/>
        <v>1586844</v>
      </c>
      <c r="I169" s="275"/>
      <c r="J169" s="275"/>
    </row>
    <row r="170" spans="1:10" ht="15.75" customHeight="1" x14ac:dyDescent="0.2">
      <c r="A170" s="1233"/>
      <c r="B170" s="593">
        <v>53214020000000</v>
      </c>
      <c r="C170" s="594" t="s">
        <v>111</v>
      </c>
      <c r="D170" s="259">
        <f>'H) Detalle Datos'!A117</f>
        <v>0</v>
      </c>
      <c r="E170" s="259">
        <v>0</v>
      </c>
      <c r="F170" s="280">
        <v>0</v>
      </c>
      <c r="G170" s="249">
        <f t="shared" si="16"/>
        <v>0</v>
      </c>
      <c r="H170" s="250">
        <f t="shared" si="17"/>
        <v>0</v>
      </c>
      <c r="I170" s="275"/>
      <c r="J170" s="275"/>
    </row>
    <row r="171" spans="1:10" x14ac:dyDescent="0.2">
      <c r="A171" s="1233"/>
      <c r="B171" s="238"/>
      <c r="C171" s="239" t="s">
        <v>112</v>
      </c>
      <c r="D171" s="240">
        <f>+D172+D177+D179+D188+D197+D205</f>
        <v>1776605.95</v>
      </c>
      <c r="E171" s="274"/>
      <c r="F171" s="282"/>
      <c r="G171" s="240">
        <f>+G172+G177+G179+G188+G197+G205</f>
        <v>3708220.0199999996</v>
      </c>
      <c r="H171" s="240">
        <f>+H172+H177+H179+H188+H197+H205</f>
        <v>5484825.9699999997</v>
      </c>
      <c r="I171" s="275"/>
      <c r="J171" s="275"/>
    </row>
    <row r="172" spans="1:10" x14ac:dyDescent="0.2">
      <c r="A172" s="1233"/>
      <c r="B172" s="244"/>
      <c r="C172" s="245" t="s">
        <v>113</v>
      </c>
      <c r="D172" s="246">
        <f>SUM(D173:D176)</f>
        <v>79980</v>
      </c>
      <c r="E172" s="261"/>
      <c r="F172" s="283"/>
      <c r="G172" s="261">
        <f>SUM(G173:G176)</f>
        <v>438828.69999999995</v>
      </c>
      <c r="H172" s="262">
        <f>SUM(H173:H176)</f>
        <v>518808.69999999995</v>
      </c>
      <c r="I172" s="275"/>
      <c r="J172" s="275"/>
    </row>
    <row r="173" spans="1:10" x14ac:dyDescent="0.2">
      <c r="A173" s="1233"/>
      <c r="B173" s="593">
        <v>53202020100000</v>
      </c>
      <c r="C173" s="594" t="s">
        <v>114</v>
      </c>
      <c r="D173" s="251">
        <v>79980</v>
      </c>
      <c r="E173" s="252">
        <f>43000*1.13</f>
        <v>48589.999999999993</v>
      </c>
      <c r="F173" s="255">
        <v>3</v>
      </c>
      <c r="G173" s="249">
        <f>E173*F173</f>
        <v>145769.99999999997</v>
      </c>
      <c r="H173" s="250">
        <f>D173+G173</f>
        <v>225749.99999999997</v>
      </c>
      <c r="I173" s="275"/>
      <c r="J173" s="275"/>
    </row>
    <row r="174" spans="1:10" x14ac:dyDescent="0.2">
      <c r="A174" s="1233"/>
      <c r="B174" s="593">
        <v>53202030000000</v>
      </c>
      <c r="C174" s="594" t="s">
        <v>115</v>
      </c>
      <c r="D174" s="251">
        <v>0</v>
      </c>
      <c r="E174" s="252">
        <f>38990*1.13</f>
        <v>44058.7</v>
      </c>
      <c r="F174" s="255">
        <v>1</v>
      </c>
      <c r="G174" s="249">
        <f>E174*F174</f>
        <v>44058.7</v>
      </c>
      <c r="H174" s="250">
        <f>D174+G174</f>
        <v>44058.7</v>
      </c>
      <c r="I174" s="275"/>
      <c r="J174" s="275"/>
    </row>
    <row r="175" spans="1:10" x14ac:dyDescent="0.2">
      <c r="A175" s="1233"/>
      <c r="B175" s="593">
        <v>53211020000000</v>
      </c>
      <c r="C175" s="594" t="s">
        <v>116</v>
      </c>
      <c r="D175" s="257">
        <v>0</v>
      </c>
      <c r="E175" s="257">
        <v>249000</v>
      </c>
      <c r="F175" s="258">
        <v>1</v>
      </c>
      <c r="G175" s="249">
        <f>E175*F175</f>
        <v>249000</v>
      </c>
      <c r="H175" s="250">
        <f>D175+G175</f>
        <v>249000</v>
      </c>
      <c r="I175" s="275"/>
      <c r="J175" s="275"/>
    </row>
    <row r="176" spans="1:10" x14ac:dyDescent="0.2">
      <c r="A176" s="1233"/>
      <c r="B176" s="593">
        <v>53101040600000</v>
      </c>
      <c r="C176" s="594" t="s">
        <v>117</v>
      </c>
      <c r="D176" s="257">
        <v>0</v>
      </c>
      <c r="E176" s="257">
        <v>0</v>
      </c>
      <c r="F176" s="258">
        <v>0</v>
      </c>
      <c r="G176" s="249">
        <f>E176*F176</f>
        <v>0</v>
      </c>
      <c r="H176" s="250">
        <f>D176+G176</f>
        <v>0</v>
      </c>
      <c r="I176" s="275"/>
      <c r="J176" s="275"/>
    </row>
    <row r="177" spans="1:10" x14ac:dyDescent="0.2">
      <c r="A177" s="1233"/>
      <c r="B177" s="244"/>
      <c r="C177" s="245" t="s">
        <v>118</v>
      </c>
      <c r="D177" s="246">
        <f>SUM(D178)</f>
        <v>0</v>
      </c>
      <c r="E177" s="261"/>
      <c r="F177" s="283"/>
      <c r="G177" s="261">
        <f>SUM(G178:G178)</f>
        <v>230520</v>
      </c>
      <c r="H177" s="262">
        <f>SUM(H178:H178)</f>
        <v>230520</v>
      </c>
      <c r="I177" s="275"/>
      <c r="J177" s="275"/>
    </row>
    <row r="178" spans="1:10" x14ac:dyDescent="0.2">
      <c r="A178" s="1233"/>
      <c r="B178" s="601">
        <v>53205990000000</v>
      </c>
      <c r="C178" s="594" t="s">
        <v>119</v>
      </c>
      <c r="D178" s="257">
        <v>0</v>
      </c>
      <c r="E178" s="257">
        <f>17000*1.13</f>
        <v>19210</v>
      </c>
      <c r="F178" s="258">
        <v>12</v>
      </c>
      <c r="G178" s="249">
        <f>E178*F178</f>
        <v>230520</v>
      </c>
      <c r="H178" s="250">
        <f>D178+G178</f>
        <v>230520</v>
      </c>
      <c r="I178" s="275"/>
      <c r="J178" s="275"/>
    </row>
    <row r="179" spans="1:10" x14ac:dyDescent="0.2">
      <c r="A179" s="1233"/>
      <c r="B179" s="244"/>
      <c r="C179" s="245" t="s">
        <v>120</v>
      </c>
      <c r="D179" s="246">
        <f>SUM(D180:D187)</f>
        <v>1211428.95</v>
      </c>
      <c r="E179" s="261"/>
      <c r="F179" s="283"/>
      <c r="G179" s="246">
        <f>SUM(G180:G187)</f>
        <v>644650</v>
      </c>
      <c r="H179" s="248">
        <f>SUM(H180:H187)</f>
        <v>1856078.95</v>
      </c>
      <c r="I179" s="275"/>
      <c r="J179" s="275"/>
    </row>
    <row r="180" spans="1:10" x14ac:dyDescent="0.2">
      <c r="A180" s="1233"/>
      <c r="B180" s="593">
        <v>53204010000000</v>
      </c>
      <c r="C180" s="594" t="s">
        <v>121</v>
      </c>
      <c r="D180" s="257">
        <f>76469+142215*1.13</f>
        <v>237171.94999999998</v>
      </c>
      <c r="E180" s="257">
        <v>41815</v>
      </c>
      <c r="F180" s="258">
        <v>2</v>
      </c>
      <c r="G180" s="249">
        <f t="shared" ref="G180:G187" si="18">E180*F180</f>
        <v>83630</v>
      </c>
      <c r="H180" s="250">
        <f t="shared" ref="H180:H187" si="19">D180+G180</f>
        <v>320801.94999999995</v>
      </c>
      <c r="I180" s="275"/>
      <c r="J180" s="275"/>
    </row>
    <row r="181" spans="1:10" x14ac:dyDescent="0.2">
      <c r="A181" s="1233"/>
      <c r="B181" s="601">
        <v>53204040200000</v>
      </c>
      <c r="C181" s="594" t="s">
        <v>122</v>
      </c>
      <c r="D181" s="257"/>
      <c r="E181" s="257">
        <f>18000*1.13</f>
        <v>20339.999999999996</v>
      </c>
      <c r="F181" s="258">
        <v>3</v>
      </c>
      <c r="G181" s="249">
        <f t="shared" si="18"/>
        <v>61019.999999999985</v>
      </c>
      <c r="H181" s="250">
        <f t="shared" si="19"/>
        <v>61019.999999999985</v>
      </c>
      <c r="I181" s="275"/>
      <c r="J181" s="275"/>
    </row>
    <row r="182" spans="1:10" x14ac:dyDescent="0.2">
      <c r="A182" s="1233"/>
      <c r="B182" s="593">
        <v>53204060000000</v>
      </c>
      <c r="C182" s="594" t="s">
        <v>123</v>
      </c>
      <c r="D182" s="257">
        <v>0</v>
      </c>
      <c r="E182" s="257">
        <v>0</v>
      </c>
      <c r="F182" s="258">
        <v>0</v>
      </c>
      <c r="G182" s="249">
        <f t="shared" si="18"/>
        <v>0</v>
      </c>
      <c r="H182" s="250">
        <f t="shared" si="19"/>
        <v>0</v>
      </c>
      <c r="I182" s="275"/>
      <c r="J182" s="275"/>
    </row>
    <row r="183" spans="1:10" x14ac:dyDescent="0.2">
      <c r="A183" s="1233"/>
      <c r="B183" s="593">
        <v>53204070000000</v>
      </c>
      <c r="C183" s="594" t="s">
        <v>124</v>
      </c>
      <c r="D183" s="257">
        <f>'H) Detalle Datos'!E23+'H) Detalle Datos'!I23</f>
        <v>372370</v>
      </c>
      <c r="E183" s="257">
        <v>50000</v>
      </c>
      <c r="F183" s="258">
        <v>10</v>
      </c>
      <c r="G183" s="249">
        <f t="shared" si="18"/>
        <v>500000</v>
      </c>
      <c r="H183" s="250">
        <f t="shared" si="19"/>
        <v>872370</v>
      </c>
      <c r="I183" s="275"/>
      <c r="J183" s="275"/>
    </row>
    <row r="184" spans="1:10" x14ac:dyDescent="0.2">
      <c r="A184" s="1233"/>
      <c r="B184" s="593">
        <v>53204080000000</v>
      </c>
      <c r="C184" s="594" t="s">
        <v>125</v>
      </c>
      <c r="D184" s="257">
        <f>50000*1.13</f>
        <v>56499.999999999993</v>
      </c>
      <c r="E184" s="257">
        <v>0</v>
      </c>
      <c r="F184" s="258">
        <v>0</v>
      </c>
      <c r="G184" s="249">
        <f t="shared" si="18"/>
        <v>0</v>
      </c>
      <c r="H184" s="250">
        <f t="shared" si="19"/>
        <v>56499.999999999993</v>
      </c>
      <c r="I184" s="275"/>
      <c r="J184" s="275"/>
    </row>
    <row r="185" spans="1:10" x14ac:dyDescent="0.2">
      <c r="A185" s="1233"/>
      <c r="B185" s="593">
        <v>53214010000000</v>
      </c>
      <c r="C185" s="594" t="s">
        <v>126</v>
      </c>
      <c r="D185" s="259">
        <f>'H) Detalle Datos'!R31</f>
        <v>395387</v>
      </c>
      <c r="E185" s="259">
        <v>0</v>
      </c>
      <c r="F185" s="256">
        <v>0</v>
      </c>
      <c r="G185" s="249">
        <f t="shared" si="18"/>
        <v>0</v>
      </c>
      <c r="H185" s="250">
        <f t="shared" si="19"/>
        <v>395387</v>
      </c>
      <c r="I185" s="275"/>
      <c r="J185" s="275"/>
    </row>
    <row r="186" spans="1:10" x14ac:dyDescent="0.2">
      <c r="A186" s="1233"/>
      <c r="B186" s="593">
        <v>53214040000000</v>
      </c>
      <c r="C186" s="594" t="s">
        <v>127</v>
      </c>
      <c r="D186" s="259">
        <v>150000</v>
      </c>
      <c r="E186" s="259"/>
      <c r="F186" s="256">
        <v>0</v>
      </c>
      <c r="G186" s="249">
        <f t="shared" si="18"/>
        <v>0</v>
      </c>
      <c r="H186" s="250">
        <f t="shared" si="19"/>
        <v>150000</v>
      </c>
      <c r="I186" s="275"/>
      <c r="J186" s="275"/>
    </row>
    <row r="187" spans="1:10" x14ac:dyDescent="0.2">
      <c r="A187" s="1233"/>
      <c r="B187" s="598">
        <v>53204020100000</v>
      </c>
      <c r="C187" s="594" t="s">
        <v>128</v>
      </c>
      <c r="D187" s="257">
        <v>0</v>
      </c>
      <c r="E187" s="257">
        <v>0</v>
      </c>
      <c r="F187" s="258">
        <v>0</v>
      </c>
      <c r="G187" s="249">
        <f t="shared" si="18"/>
        <v>0</v>
      </c>
      <c r="H187" s="250">
        <f t="shared" si="19"/>
        <v>0</v>
      </c>
      <c r="I187" s="275"/>
      <c r="J187" s="275"/>
    </row>
    <row r="188" spans="1:10" x14ac:dyDescent="0.2">
      <c r="A188" s="1233"/>
      <c r="B188" s="244"/>
      <c r="C188" s="245" t="s">
        <v>129</v>
      </c>
      <c r="D188" s="246">
        <f>SUM(D189:D196)</f>
        <v>485197</v>
      </c>
      <c r="E188" s="261"/>
      <c r="F188" s="283"/>
      <c r="G188" s="246">
        <f>SUM(G189:G196)</f>
        <v>2111721.3199999998</v>
      </c>
      <c r="H188" s="248">
        <f>SUM(H189:H196)</f>
        <v>2596918.3199999998</v>
      </c>
      <c r="I188" s="275"/>
      <c r="J188" s="275"/>
    </row>
    <row r="189" spans="1:10" x14ac:dyDescent="0.2">
      <c r="A189" s="1233"/>
      <c r="B189" s="593">
        <v>53207010000000</v>
      </c>
      <c r="C189" s="594" t="s">
        <v>130</v>
      </c>
      <c r="D189" s="257">
        <v>0</v>
      </c>
      <c r="E189" s="257">
        <v>0</v>
      </c>
      <c r="F189" s="258">
        <v>0</v>
      </c>
      <c r="G189" s="249">
        <f t="shared" ref="G189:G196" si="20">E189*F189</f>
        <v>0</v>
      </c>
      <c r="H189" s="250">
        <f t="shared" ref="H189:H196" si="21">D189+G189</f>
        <v>0</v>
      </c>
      <c r="I189" s="275"/>
      <c r="J189" s="275"/>
    </row>
    <row r="190" spans="1:10" x14ac:dyDescent="0.2">
      <c r="A190" s="1233"/>
      <c r="B190" s="593">
        <v>53207020000000</v>
      </c>
      <c r="C190" s="594" t="s">
        <v>131</v>
      </c>
      <c r="D190" s="257">
        <v>0</v>
      </c>
      <c r="E190" s="257">
        <v>0</v>
      </c>
      <c r="F190" s="258">
        <v>0</v>
      </c>
      <c r="G190" s="249">
        <f t="shared" si="20"/>
        <v>0</v>
      </c>
      <c r="H190" s="250">
        <f t="shared" si="21"/>
        <v>0</v>
      </c>
      <c r="I190" s="275"/>
      <c r="J190" s="275"/>
    </row>
    <row r="191" spans="1:10" x14ac:dyDescent="0.2">
      <c r="A191" s="1233"/>
      <c r="B191" s="593">
        <v>53208020000000</v>
      </c>
      <c r="C191" s="594" t="s">
        <v>132</v>
      </c>
      <c r="D191" s="257">
        <v>0</v>
      </c>
      <c r="E191" s="257">
        <f>92500*1.13</f>
        <v>104524.99999999999</v>
      </c>
      <c r="F191" s="258">
        <v>12</v>
      </c>
      <c r="G191" s="249">
        <f t="shared" si="20"/>
        <v>1254299.9999999998</v>
      </c>
      <c r="H191" s="250">
        <f t="shared" si="21"/>
        <v>1254299.9999999998</v>
      </c>
      <c r="I191" s="275"/>
      <c r="J191" s="275"/>
    </row>
    <row r="192" spans="1:10" x14ac:dyDescent="0.2">
      <c r="A192" s="1233"/>
      <c r="B192" s="593">
        <v>53208990000000</v>
      </c>
      <c r="C192" s="594" t="s">
        <v>133</v>
      </c>
      <c r="D192" s="257">
        <v>0</v>
      </c>
      <c r="E192" s="257">
        <f>114341*1.13</f>
        <v>129205.32999999999</v>
      </c>
      <c r="F192" s="258">
        <v>4</v>
      </c>
      <c r="G192" s="249">
        <f t="shared" si="20"/>
        <v>516821.31999999995</v>
      </c>
      <c r="H192" s="250">
        <f t="shared" si="21"/>
        <v>516821.31999999995</v>
      </c>
      <c r="I192" s="275"/>
      <c r="J192" s="275"/>
    </row>
    <row r="193" spans="1:15" x14ac:dyDescent="0.2">
      <c r="A193" s="1233"/>
      <c r="B193" s="598">
        <v>53210020300000</v>
      </c>
      <c r="C193" s="594" t="s">
        <v>134</v>
      </c>
      <c r="D193" s="284">
        <v>0</v>
      </c>
      <c r="E193" s="41">
        <v>8200</v>
      </c>
      <c r="F193" s="265">
        <f>'B) Reajuste Tarifas y Ocupación'!I40</f>
        <v>25</v>
      </c>
      <c r="G193" s="249">
        <f t="shared" si="20"/>
        <v>205000</v>
      </c>
      <c r="H193" s="250">
        <f t="shared" si="21"/>
        <v>205000</v>
      </c>
      <c r="I193" s="275"/>
      <c r="J193" s="275"/>
    </row>
    <row r="194" spans="1:15" x14ac:dyDescent="0.2">
      <c r="A194" s="1233"/>
      <c r="B194" s="593">
        <v>53208990000000</v>
      </c>
      <c r="C194" s="594" t="s">
        <v>135</v>
      </c>
      <c r="D194" s="257">
        <v>0</v>
      </c>
      <c r="E194" s="257">
        <v>0</v>
      </c>
      <c r="F194" s="258">
        <v>0</v>
      </c>
      <c r="G194" s="249">
        <f t="shared" si="20"/>
        <v>0</v>
      </c>
      <c r="H194" s="250">
        <f t="shared" si="21"/>
        <v>0</v>
      </c>
      <c r="I194" s="275"/>
      <c r="J194" s="275"/>
    </row>
    <row r="195" spans="1:15" x14ac:dyDescent="0.2">
      <c r="A195" s="1233"/>
      <c r="B195" s="593">
        <v>53209990000000</v>
      </c>
      <c r="C195" s="594" t="s">
        <v>136</v>
      </c>
      <c r="D195" s="257">
        <v>0</v>
      </c>
      <c r="E195" s="257">
        <f>120000*1.13</f>
        <v>135600</v>
      </c>
      <c r="F195" s="258">
        <v>1</v>
      </c>
      <c r="G195" s="249">
        <f t="shared" si="20"/>
        <v>135600</v>
      </c>
      <c r="H195" s="250">
        <f t="shared" si="21"/>
        <v>135600</v>
      </c>
      <c r="I195" s="275"/>
      <c r="J195" s="275"/>
    </row>
    <row r="196" spans="1:15" x14ac:dyDescent="0.2">
      <c r="A196" s="1233"/>
      <c r="B196" s="593">
        <v>53210020100000</v>
      </c>
      <c r="C196" s="594" t="s">
        <v>137</v>
      </c>
      <c r="D196" s="600">
        <v>485197</v>
      </c>
      <c r="E196" s="257">
        <v>0</v>
      </c>
      <c r="F196" s="258">
        <v>0</v>
      </c>
      <c r="G196" s="249">
        <f t="shared" si="20"/>
        <v>0</v>
      </c>
      <c r="H196" s="250">
        <f t="shared" si="21"/>
        <v>485197</v>
      </c>
      <c r="I196" s="275"/>
      <c r="J196" s="275"/>
    </row>
    <row r="197" spans="1:15" x14ac:dyDescent="0.2">
      <c r="A197" s="1233"/>
      <c r="B197" s="244"/>
      <c r="C197" s="245" t="s">
        <v>138</v>
      </c>
      <c r="D197" s="246">
        <f>SUM(D198:D204)</f>
        <v>0</v>
      </c>
      <c r="E197" s="261"/>
      <c r="F197" s="283"/>
      <c r="G197" s="246">
        <f>SUM(G198:G204)</f>
        <v>0</v>
      </c>
      <c r="H197" s="248">
        <f>SUM(H198:H204)</f>
        <v>0</v>
      </c>
      <c r="I197" s="275"/>
      <c r="J197" s="275"/>
    </row>
    <row r="198" spans="1:15" x14ac:dyDescent="0.2">
      <c r="A198" s="1233"/>
      <c r="B198" s="593">
        <v>53206030000000</v>
      </c>
      <c r="C198" s="594" t="s">
        <v>139</v>
      </c>
      <c r="D198" s="257">
        <v>0</v>
      </c>
      <c r="E198" s="257">
        <v>0</v>
      </c>
      <c r="F198" s="258">
        <v>0</v>
      </c>
      <c r="G198" s="249">
        <f t="shared" ref="G198:G204" si="22">E198*F198</f>
        <v>0</v>
      </c>
      <c r="H198" s="250">
        <f t="shared" ref="H198:H204" si="23">D198+G198</f>
        <v>0</v>
      </c>
      <c r="I198" s="275"/>
      <c r="J198" s="275"/>
    </row>
    <row r="199" spans="1:15" x14ac:dyDescent="0.2">
      <c r="A199" s="1233"/>
      <c r="B199" s="593">
        <v>53206040000000</v>
      </c>
      <c r="C199" s="594" t="s">
        <v>140</v>
      </c>
      <c r="D199" s="257">
        <v>0</v>
      </c>
      <c r="E199" s="257">
        <v>0</v>
      </c>
      <c r="F199" s="258">
        <v>0</v>
      </c>
      <c r="G199" s="249">
        <f t="shared" si="22"/>
        <v>0</v>
      </c>
      <c r="H199" s="250">
        <f t="shared" si="23"/>
        <v>0</v>
      </c>
      <c r="I199" s="275"/>
      <c r="J199" s="275"/>
    </row>
    <row r="200" spans="1:15" x14ac:dyDescent="0.2">
      <c r="A200" s="1233"/>
      <c r="B200" s="593">
        <v>53206060000000</v>
      </c>
      <c r="C200" s="594" t="s">
        <v>141</v>
      </c>
      <c r="D200" s="257">
        <v>0</v>
      </c>
      <c r="E200" s="257">
        <v>0</v>
      </c>
      <c r="F200" s="258">
        <v>0</v>
      </c>
      <c r="G200" s="249">
        <f t="shared" si="22"/>
        <v>0</v>
      </c>
      <c r="H200" s="250">
        <f t="shared" si="23"/>
        <v>0</v>
      </c>
      <c r="I200" s="275"/>
      <c r="J200" s="275"/>
    </row>
    <row r="201" spans="1:15" x14ac:dyDescent="0.2">
      <c r="A201" s="1233"/>
      <c r="B201" s="593">
        <v>53206070000000</v>
      </c>
      <c r="C201" s="594" t="s">
        <v>142</v>
      </c>
      <c r="D201" s="257">
        <v>0</v>
      </c>
      <c r="E201" s="257">
        <v>0</v>
      </c>
      <c r="F201" s="258">
        <v>0</v>
      </c>
      <c r="G201" s="249">
        <f t="shared" si="22"/>
        <v>0</v>
      </c>
      <c r="H201" s="250">
        <f t="shared" si="23"/>
        <v>0</v>
      </c>
      <c r="I201" s="275"/>
      <c r="J201" s="275"/>
    </row>
    <row r="202" spans="1:15" x14ac:dyDescent="0.2">
      <c r="A202" s="1233"/>
      <c r="B202" s="593">
        <v>53206990000000</v>
      </c>
      <c r="C202" s="594" t="s">
        <v>143</v>
      </c>
      <c r="D202" s="257">
        <v>0</v>
      </c>
      <c r="E202" s="257">
        <v>0</v>
      </c>
      <c r="F202" s="258">
        <v>0</v>
      </c>
      <c r="G202" s="249">
        <f t="shared" si="22"/>
        <v>0</v>
      </c>
      <c r="H202" s="250">
        <f t="shared" si="23"/>
        <v>0</v>
      </c>
      <c r="I202" s="275"/>
      <c r="J202" s="275"/>
    </row>
    <row r="203" spans="1:15" x14ac:dyDescent="0.2">
      <c r="A203" s="1233"/>
      <c r="B203" s="593">
        <v>53208030000000</v>
      </c>
      <c r="C203" s="594" t="s">
        <v>144</v>
      </c>
      <c r="D203" s="257">
        <v>0</v>
      </c>
      <c r="E203" s="257">
        <v>0</v>
      </c>
      <c r="F203" s="258">
        <v>0</v>
      </c>
      <c r="G203" s="249">
        <f t="shared" si="22"/>
        <v>0</v>
      </c>
      <c r="H203" s="250">
        <f t="shared" si="23"/>
        <v>0</v>
      </c>
      <c r="I203" s="275"/>
      <c r="J203" s="275"/>
    </row>
    <row r="204" spans="1:15" x14ac:dyDescent="0.2">
      <c r="A204" s="1233"/>
      <c r="B204" s="593">
        <v>53206990000000</v>
      </c>
      <c r="C204" s="594" t="s">
        <v>145</v>
      </c>
      <c r="D204" s="257">
        <v>0</v>
      </c>
      <c r="E204" s="257">
        <v>0</v>
      </c>
      <c r="F204" s="258">
        <v>0</v>
      </c>
      <c r="G204" s="249">
        <f t="shared" si="22"/>
        <v>0</v>
      </c>
      <c r="H204" s="250">
        <f t="shared" si="23"/>
        <v>0</v>
      </c>
      <c r="I204" s="275"/>
      <c r="J204" s="275"/>
    </row>
    <row r="205" spans="1:15" x14ac:dyDescent="0.2">
      <c r="A205" s="1233"/>
      <c r="B205" s="244"/>
      <c r="C205" s="245" t="s">
        <v>146</v>
      </c>
      <c r="D205" s="246">
        <f>SUM(D206)</f>
        <v>0</v>
      </c>
      <c r="E205" s="261"/>
      <c r="F205" s="283"/>
      <c r="G205" s="246">
        <f>SUM(G206:G206)</f>
        <v>282499.99999999994</v>
      </c>
      <c r="H205" s="248">
        <f>SUM(H206:H206)</f>
        <v>282499.99999999994</v>
      </c>
      <c r="I205" s="275"/>
      <c r="J205" s="275"/>
    </row>
    <row r="206" spans="1:15" x14ac:dyDescent="0.2">
      <c r="A206" s="1233"/>
      <c r="B206" s="602"/>
      <c r="C206" s="603" t="s">
        <v>147</v>
      </c>
      <c r="D206" s="251">
        <v>0</v>
      </c>
      <c r="E206" s="251">
        <f>10000*1.13</f>
        <v>11299.999999999998</v>
      </c>
      <c r="F206" s="255">
        <v>25</v>
      </c>
      <c r="G206" s="249">
        <f>E206*F206</f>
        <v>282499.99999999994</v>
      </c>
      <c r="H206" s="266">
        <f>D206+G206</f>
        <v>282499.99999999994</v>
      </c>
      <c r="I206" s="711" t="s">
        <v>148</v>
      </c>
      <c r="J206" s="712">
        <f>+H204+H203+H202+H201+H200+H199+H198+H196+H195+H194+H193+H192+H191+H190+H189+H187+H184+H183+H182+H181+H180+H178+H176+H175+H169+H168+H167+H165+H164+H163+H162+H161+H160+H159+H158+H157+H156+H155</f>
        <v>9704039.0700000003</v>
      </c>
    </row>
    <row r="207" spans="1:15" x14ac:dyDescent="0.2">
      <c r="A207" s="1233"/>
      <c r="B207" s="269"/>
      <c r="C207" s="285" t="s">
        <v>149</v>
      </c>
      <c r="D207" s="267">
        <f>SUM(D144,D171)</f>
        <v>15561422.149999999</v>
      </c>
      <c r="E207" s="267"/>
      <c r="F207" s="267"/>
      <c r="G207" s="267">
        <f>SUM(G144,G171)</f>
        <v>7683424.5</v>
      </c>
      <c r="H207" s="268">
        <f>SUM(H144,H171)</f>
        <v>23244846.649999999</v>
      </c>
      <c r="I207" s="713" t="s">
        <v>150</v>
      </c>
      <c r="J207" s="714">
        <f>+H207-J206</f>
        <v>13540807.579999998</v>
      </c>
    </row>
    <row r="208" spans="1:15" ht="12.75" customHeight="1" x14ac:dyDescent="0.2">
      <c r="A208" s="1235" t="s">
        <v>151</v>
      </c>
      <c r="B208" s="1236" t="s">
        <v>78</v>
      </c>
      <c r="C208" s="1237" t="s">
        <v>79</v>
      </c>
      <c r="D208" s="1253" t="s">
        <v>80</v>
      </c>
      <c r="E208" s="1254" t="s">
        <v>81</v>
      </c>
      <c r="F208" s="1254"/>
      <c r="G208" s="1254"/>
      <c r="H208" s="1255" t="s">
        <v>338</v>
      </c>
      <c r="K208" s="1245" t="s">
        <v>153</v>
      </c>
      <c r="L208" s="1251" t="s">
        <v>154</v>
      </c>
      <c r="M208" s="1251" t="s">
        <v>155</v>
      </c>
      <c r="N208" s="1251" t="s">
        <v>156</v>
      </c>
      <c r="O208" s="1251" t="s">
        <v>157</v>
      </c>
    </row>
    <row r="209" spans="1:15" ht="25.5" x14ac:dyDescent="0.2">
      <c r="A209" s="1235"/>
      <c r="B209" s="1236"/>
      <c r="C209" s="1237"/>
      <c r="D209" s="1253"/>
      <c r="E209" s="286" t="s">
        <v>82</v>
      </c>
      <c r="F209" s="287" t="s">
        <v>83</v>
      </c>
      <c r="G209" s="574" t="s">
        <v>84</v>
      </c>
      <c r="H209" s="1255"/>
      <c r="K209" s="1245"/>
      <c r="L209" s="1251"/>
      <c r="M209" s="1251"/>
      <c r="N209" s="1251"/>
      <c r="O209" s="1251"/>
    </row>
    <row r="210" spans="1:15" ht="15.75" customHeight="1" x14ac:dyDescent="0.2">
      <c r="A210" s="1233" t="str">
        <f>+'B) Reajuste Tarifas y Ocupación'!A17</f>
        <v>Jardín Infantil Caracolito de Mar</v>
      </c>
      <c r="B210" s="238"/>
      <c r="C210" s="239" t="s">
        <v>85</v>
      </c>
      <c r="D210" s="288">
        <f>+D211+D216</f>
        <v>0</v>
      </c>
      <c r="E210" s="289"/>
      <c r="F210" s="289"/>
      <c r="G210" s="290">
        <f>SUM(G211,G216)</f>
        <v>0</v>
      </c>
      <c r="H210" s="291">
        <f>SUM(H211,H216)</f>
        <v>0</v>
      </c>
      <c r="K210" s="292" t="s">
        <v>85</v>
      </c>
      <c r="L210" s="1249"/>
      <c r="M210" s="1249"/>
      <c r="N210" s="1249"/>
      <c r="O210" s="1249"/>
    </row>
    <row r="211" spans="1:15" x14ac:dyDescent="0.2">
      <c r="A211" s="1233"/>
      <c r="B211" s="244"/>
      <c r="C211" s="245" t="s">
        <v>86</v>
      </c>
      <c r="D211" s="293">
        <f>SUM(D212:D215)</f>
        <v>0</v>
      </c>
      <c r="E211" s="294"/>
      <c r="F211" s="294"/>
      <c r="G211" s="295">
        <f>SUM(G212:G215)</f>
        <v>0</v>
      </c>
      <c r="H211" s="296">
        <f>SUM(H212:H215)</f>
        <v>0</v>
      </c>
      <c r="K211" s="297" t="s">
        <v>91</v>
      </c>
      <c r="L211" s="1250"/>
      <c r="M211" s="1250"/>
      <c r="N211" s="1250"/>
      <c r="O211" s="1250"/>
    </row>
    <row r="212" spans="1:15" x14ac:dyDescent="0.2">
      <c r="A212" s="1233"/>
      <c r="B212" s="593">
        <v>53103040100000</v>
      </c>
      <c r="C212" s="594" t="s">
        <v>87</v>
      </c>
      <c r="D212" s="298">
        <f>+'F) Remuneraciones'!L63</f>
        <v>0</v>
      </c>
      <c r="E212" s="299">
        <v>0</v>
      </c>
      <c r="F212" s="300">
        <v>0</v>
      </c>
      <c r="G212" s="299">
        <f>E212*F212</f>
        <v>0</v>
      </c>
      <c r="H212" s="301">
        <f>D212+G212</f>
        <v>0</v>
      </c>
      <c r="K212" s="302" t="s">
        <v>95</v>
      </c>
      <c r="L212" s="303">
        <v>0</v>
      </c>
      <c r="M212" s="304">
        <f t="shared" ref="M212:M228" si="24">+L212*0.5</f>
        <v>0</v>
      </c>
      <c r="N212" s="304">
        <f t="shared" ref="N212:N228" si="25">+L212*0.1</f>
        <v>0</v>
      </c>
      <c r="O212" s="305">
        <f t="shared" ref="O212:O228" si="26">+L212*0.4</f>
        <v>0</v>
      </c>
    </row>
    <row r="213" spans="1:15" x14ac:dyDescent="0.2">
      <c r="A213" s="1233"/>
      <c r="B213" s="593">
        <v>53103050000000</v>
      </c>
      <c r="C213" s="594" t="s">
        <v>152</v>
      </c>
      <c r="D213" s="306">
        <v>0</v>
      </c>
      <c r="E213" s="307">
        <v>0</v>
      </c>
      <c r="F213" s="308">
        <v>0</v>
      </c>
      <c r="G213" s="299">
        <f>E213*F213</f>
        <v>0</v>
      </c>
      <c r="H213" s="301">
        <f>D213+G213</f>
        <v>0</v>
      </c>
      <c r="K213" s="309" t="s">
        <v>96</v>
      </c>
      <c r="L213" s="310">
        <v>0</v>
      </c>
      <c r="M213" s="304">
        <f t="shared" si="24"/>
        <v>0</v>
      </c>
      <c r="N213" s="304">
        <f t="shared" si="25"/>
        <v>0</v>
      </c>
      <c r="O213" s="305">
        <f t="shared" si="26"/>
        <v>0</v>
      </c>
    </row>
    <row r="214" spans="1:15" x14ac:dyDescent="0.2">
      <c r="A214" s="1233"/>
      <c r="B214" s="598">
        <v>53103040400000</v>
      </c>
      <c r="C214" s="599" t="s">
        <v>89</v>
      </c>
      <c r="D214" s="306">
        <v>0</v>
      </c>
      <c r="E214" s="307">
        <v>0</v>
      </c>
      <c r="F214" s="308">
        <v>0</v>
      </c>
      <c r="G214" s="299">
        <f>E214*F214</f>
        <v>0</v>
      </c>
      <c r="H214" s="301">
        <f>D214+G214</f>
        <v>0</v>
      </c>
      <c r="K214" s="309" t="s">
        <v>97</v>
      </c>
      <c r="L214" s="310">
        <v>0</v>
      </c>
      <c r="M214" s="304">
        <f t="shared" si="24"/>
        <v>0</v>
      </c>
      <c r="N214" s="304">
        <f t="shared" si="25"/>
        <v>0</v>
      </c>
      <c r="O214" s="305">
        <f t="shared" si="26"/>
        <v>0</v>
      </c>
    </row>
    <row r="215" spans="1:15" x14ac:dyDescent="0.2">
      <c r="A215" s="1233"/>
      <c r="B215" s="593">
        <v>53103080010000</v>
      </c>
      <c r="C215" s="594" t="s">
        <v>90</v>
      </c>
      <c r="D215" s="306">
        <v>0</v>
      </c>
      <c r="E215" s="307">
        <v>0</v>
      </c>
      <c r="F215" s="308">
        <v>0</v>
      </c>
      <c r="G215" s="299">
        <f>E215*F215</f>
        <v>0</v>
      </c>
      <c r="H215" s="301">
        <f>D215+G215</f>
        <v>0</v>
      </c>
      <c r="K215" s="309" t="s">
        <v>98</v>
      </c>
      <c r="L215" s="310">
        <v>0</v>
      </c>
      <c r="M215" s="304">
        <f t="shared" si="24"/>
        <v>0</v>
      </c>
      <c r="N215" s="304">
        <f t="shared" si="25"/>
        <v>0</v>
      </c>
      <c r="O215" s="305">
        <f t="shared" si="26"/>
        <v>0</v>
      </c>
    </row>
    <row r="216" spans="1:15" x14ac:dyDescent="0.2">
      <c r="A216" s="1233"/>
      <c r="B216" s="244"/>
      <c r="C216" s="245" t="s">
        <v>91</v>
      </c>
      <c r="D216" s="293">
        <f>SUM(D217:D236)</f>
        <v>0</v>
      </c>
      <c r="E216" s="294"/>
      <c r="F216" s="294"/>
      <c r="G216" s="293">
        <f>SUM(G217:G236)</f>
        <v>0</v>
      </c>
      <c r="H216" s="296">
        <f>SUM(H217:H236)</f>
        <v>0</v>
      </c>
      <c r="K216" s="309" t="s">
        <v>99</v>
      </c>
      <c r="L216" s="310">
        <v>0</v>
      </c>
      <c r="M216" s="304">
        <f t="shared" si="24"/>
        <v>0</v>
      </c>
      <c r="N216" s="304">
        <f t="shared" si="25"/>
        <v>0</v>
      </c>
      <c r="O216" s="305">
        <f t="shared" si="26"/>
        <v>0</v>
      </c>
    </row>
    <row r="217" spans="1:15" x14ac:dyDescent="0.2">
      <c r="A217" s="1233"/>
      <c r="B217" s="593">
        <v>53201010100000</v>
      </c>
      <c r="C217" s="594" t="s">
        <v>92</v>
      </c>
      <c r="D217" s="306">
        <v>0</v>
      </c>
      <c r="E217" s="307">
        <v>0</v>
      </c>
      <c r="F217" s="308">
        <v>0</v>
      </c>
      <c r="G217" s="299">
        <f t="shared" ref="G217:G236" si="27">E217*F217</f>
        <v>0</v>
      </c>
      <c r="H217" s="301">
        <f t="shared" ref="H217:H236" si="28">D217+G217</f>
        <v>0</v>
      </c>
      <c r="K217" s="309" t="s">
        <v>100</v>
      </c>
      <c r="L217" s="310">
        <v>0</v>
      </c>
      <c r="M217" s="304">
        <f t="shared" si="24"/>
        <v>0</v>
      </c>
      <c r="N217" s="304">
        <f t="shared" si="25"/>
        <v>0</v>
      </c>
      <c r="O217" s="305">
        <f t="shared" si="26"/>
        <v>0</v>
      </c>
    </row>
    <row r="218" spans="1:15" x14ac:dyDescent="0.2">
      <c r="A218" s="1233"/>
      <c r="B218" s="593">
        <v>53201010100000</v>
      </c>
      <c r="C218" s="594" t="s">
        <v>93</v>
      </c>
      <c r="D218" s="306">
        <v>0</v>
      </c>
      <c r="E218" s="307">
        <v>0</v>
      </c>
      <c r="F218" s="308">
        <v>0</v>
      </c>
      <c r="G218" s="299">
        <f t="shared" si="27"/>
        <v>0</v>
      </c>
      <c r="H218" s="301">
        <f t="shared" si="28"/>
        <v>0</v>
      </c>
      <c r="K218" s="309" t="s">
        <v>101</v>
      </c>
      <c r="L218" s="310">
        <v>0</v>
      </c>
      <c r="M218" s="304">
        <f t="shared" si="24"/>
        <v>0</v>
      </c>
      <c r="N218" s="304">
        <f t="shared" si="25"/>
        <v>0</v>
      </c>
      <c r="O218" s="305">
        <f t="shared" si="26"/>
        <v>0</v>
      </c>
    </row>
    <row r="219" spans="1:15" x14ac:dyDescent="0.2">
      <c r="A219" s="1233"/>
      <c r="B219" s="593">
        <v>53201010100000</v>
      </c>
      <c r="C219" s="594" t="s">
        <v>94</v>
      </c>
      <c r="D219" s="306">
        <v>0</v>
      </c>
      <c r="E219" s="307">
        <v>0</v>
      </c>
      <c r="F219" s="308">
        <v>0</v>
      </c>
      <c r="G219" s="299">
        <f t="shared" si="27"/>
        <v>0</v>
      </c>
      <c r="H219" s="301">
        <f t="shared" si="28"/>
        <v>0</v>
      </c>
      <c r="K219" s="309" t="s">
        <v>102</v>
      </c>
      <c r="L219" s="310">
        <v>0</v>
      </c>
      <c r="M219" s="304">
        <f t="shared" si="24"/>
        <v>0</v>
      </c>
      <c r="N219" s="304">
        <f t="shared" si="25"/>
        <v>0</v>
      </c>
      <c r="O219" s="305">
        <f t="shared" si="26"/>
        <v>0</v>
      </c>
    </row>
    <row r="220" spans="1:15" x14ac:dyDescent="0.2">
      <c r="A220" s="1233"/>
      <c r="B220" s="593">
        <v>53202010100000</v>
      </c>
      <c r="C220" s="594" t="s">
        <v>95</v>
      </c>
      <c r="D220" s="311">
        <f t="shared" ref="D220:D236" si="29">+O212</f>
        <v>0</v>
      </c>
      <c r="E220" s="311">
        <v>0</v>
      </c>
      <c r="F220" s="312">
        <v>0</v>
      </c>
      <c r="G220" s="299">
        <f t="shared" si="27"/>
        <v>0</v>
      </c>
      <c r="H220" s="301">
        <f t="shared" si="28"/>
        <v>0</v>
      </c>
      <c r="K220" s="309" t="s">
        <v>103</v>
      </c>
      <c r="L220" s="310">
        <v>0</v>
      </c>
      <c r="M220" s="304">
        <f t="shared" si="24"/>
        <v>0</v>
      </c>
      <c r="N220" s="304">
        <f t="shared" si="25"/>
        <v>0</v>
      </c>
      <c r="O220" s="305">
        <f t="shared" si="26"/>
        <v>0</v>
      </c>
    </row>
    <row r="221" spans="1:15" x14ac:dyDescent="0.2">
      <c r="A221" s="1233"/>
      <c r="B221" s="593">
        <v>53203010100000</v>
      </c>
      <c r="C221" s="594" t="s">
        <v>96</v>
      </c>
      <c r="D221" s="311">
        <f t="shared" si="29"/>
        <v>0</v>
      </c>
      <c r="E221" s="299">
        <v>0</v>
      </c>
      <c r="F221" s="312">
        <v>0</v>
      </c>
      <c r="G221" s="299">
        <f t="shared" si="27"/>
        <v>0</v>
      </c>
      <c r="H221" s="301">
        <f t="shared" si="28"/>
        <v>0</v>
      </c>
      <c r="K221" s="309" t="s">
        <v>104</v>
      </c>
      <c r="L221" s="310">
        <v>0</v>
      </c>
      <c r="M221" s="304">
        <f t="shared" si="24"/>
        <v>0</v>
      </c>
      <c r="N221" s="304">
        <f t="shared" si="25"/>
        <v>0</v>
      </c>
      <c r="O221" s="305">
        <f t="shared" si="26"/>
        <v>0</v>
      </c>
    </row>
    <row r="222" spans="1:15" x14ac:dyDescent="0.2">
      <c r="A222" s="1233"/>
      <c r="B222" s="593">
        <v>53203030000000</v>
      </c>
      <c r="C222" s="594" t="s">
        <v>97</v>
      </c>
      <c r="D222" s="311">
        <f t="shared" si="29"/>
        <v>0</v>
      </c>
      <c r="E222" s="299">
        <v>0</v>
      </c>
      <c r="F222" s="312">
        <v>0</v>
      </c>
      <c r="G222" s="299">
        <f t="shared" si="27"/>
        <v>0</v>
      </c>
      <c r="H222" s="301">
        <f t="shared" si="28"/>
        <v>0</v>
      </c>
      <c r="K222" s="309" t="s">
        <v>105</v>
      </c>
      <c r="L222" s="310">
        <v>0</v>
      </c>
      <c r="M222" s="304">
        <f t="shared" si="24"/>
        <v>0</v>
      </c>
      <c r="N222" s="304">
        <f t="shared" si="25"/>
        <v>0</v>
      </c>
      <c r="O222" s="305">
        <f t="shared" si="26"/>
        <v>0</v>
      </c>
    </row>
    <row r="223" spans="1:15" x14ac:dyDescent="0.2">
      <c r="A223" s="1233"/>
      <c r="B223" s="593">
        <v>53204030000000</v>
      </c>
      <c r="C223" s="594" t="s">
        <v>98</v>
      </c>
      <c r="D223" s="311">
        <f t="shared" si="29"/>
        <v>0</v>
      </c>
      <c r="E223" s="299">
        <v>0</v>
      </c>
      <c r="F223" s="312">
        <v>0</v>
      </c>
      <c r="G223" s="299">
        <f t="shared" si="27"/>
        <v>0</v>
      </c>
      <c r="H223" s="301">
        <f t="shared" si="28"/>
        <v>0</v>
      </c>
      <c r="K223" s="309" t="s">
        <v>106</v>
      </c>
      <c r="L223" s="310">
        <v>0</v>
      </c>
      <c r="M223" s="304">
        <f t="shared" si="24"/>
        <v>0</v>
      </c>
      <c r="N223" s="304">
        <f t="shared" si="25"/>
        <v>0</v>
      </c>
      <c r="O223" s="305">
        <f t="shared" si="26"/>
        <v>0</v>
      </c>
    </row>
    <row r="224" spans="1:15" x14ac:dyDescent="0.2">
      <c r="A224" s="1233"/>
      <c r="B224" s="593">
        <v>53204100100001</v>
      </c>
      <c r="C224" s="594" t="s">
        <v>99</v>
      </c>
      <c r="D224" s="311">
        <f t="shared" si="29"/>
        <v>0</v>
      </c>
      <c r="E224" s="299">
        <v>0</v>
      </c>
      <c r="F224" s="312">
        <v>0</v>
      </c>
      <c r="G224" s="299">
        <f t="shared" si="27"/>
        <v>0</v>
      </c>
      <c r="H224" s="301">
        <f t="shared" si="28"/>
        <v>0</v>
      </c>
      <c r="K224" s="309" t="s">
        <v>107</v>
      </c>
      <c r="L224" s="303">
        <v>0</v>
      </c>
      <c r="M224" s="304">
        <f t="shared" si="24"/>
        <v>0</v>
      </c>
      <c r="N224" s="304">
        <f t="shared" si="25"/>
        <v>0</v>
      </c>
      <c r="O224" s="305">
        <f t="shared" si="26"/>
        <v>0</v>
      </c>
    </row>
    <row r="225" spans="1:15" x14ac:dyDescent="0.2">
      <c r="A225" s="1233"/>
      <c r="B225" s="593">
        <v>53204130100000</v>
      </c>
      <c r="C225" s="594" t="s">
        <v>100</v>
      </c>
      <c r="D225" s="311">
        <f t="shared" si="29"/>
        <v>0</v>
      </c>
      <c r="E225" s="299">
        <v>0</v>
      </c>
      <c r="F225" s="312">
        <v>0</v>
      </c>
      <c r="G225" s="299">
        <f t="shared" si="27"/>
        <v>0</v>
      </c>
      <c r="H225" s="301">
        <f t="shared" si="28"/>
        <v>0</v>
      </c>
      <c r="K225" s="309" t="s">
        <v>108</v>
      </c>
      <c r="L225" s="310">
        <v>0</v>
      </c>
      <c r="M225" s="304">
        <f t="shared" si="24"/>
        <v>0</v>
      </c>
      <c r="N225" s="304">
        <f t="shared" si="25"/>
        <v>0</v>
      </c>
      <c r="O225" s="305">
        <f t="shared" si="26"/>
        <v>0</v>
      </c>
    </row>
    <row r="226" spans="1:15" x14ac:dyDescent="0.2">
      <c r="A226" s="1233"/>
      <c r="B226" s="593">
        <v>53205010100000</v>
      </c>
      <c r="C226" s="594" t="s">
        <v>101</v>
      </c>
      <c r="D226" s="311">
        <f t="shared" si="29"/>
        <v>0</v>
      </c>
      <c r="E226" s="299">
        <v>0</v>
      </c>
      <c r="F226" s="312">
        <v>0</v>
      </c>
      <c r="G226" s="299">
        <f t="shared" si="27"/>
        <v>0</v>
      </c>
      <c r="H226" s="301">
        <f t="shared" si="28"/>
        <v>0</v>
      </c>
      <c r="K226" s="309" t="s">
        <v>109</v>
      </c>
      <c r="L226" s="310">
        <v>0</v>
      </c>
      <c r="M226" s="304">
        <f t="shared" si="24"/>
        <v>0</v>
      </c>
      <c r="N226" s="304">
        <f t="shared" si="25"/>
        <v>0</v>
      </c>
      <c r="O226" s="305">
        <f t="shared" si="26"/>
        <v>0</v>
      </c>
    </row>
    <row r="227" spans="1:15" x14ac:dyDescent="0.2">
      <c r="A227" s="1233"/>
      <c r="B227" s="593">
        <v>53205020100000</v>
      </c>
      <c r="C227" s="594" t="s">
        <v>102</v>
      </c>
      <c r="D227" s="311">
        <f t="shared" si="29"/>
        <v>0</v>
      </c>
      <c r="E227" s="299">
        <v>0</v>
      </c>
      <c r="F227" s="312">
        <v>0</v>
      </c>
      <c r="G227" s="299">
        <f t="shared" si="27"/>
        <v>0</v>
      </c>
      <c r="H227" s="301">
        <f t="shared" si="28"/>
        <v>0</v>
      </c>
      <c r="K227" s="302" t="s">
        <v>110</v>
      </c>
      <c r="L227" s="310">
        <v>0</v>
      </c>
      <c r="M227" s="304">
        <f t="shared" si="24"/>
        <v>0</v>
      </c>
      <c r="N227" s="304">
        <f t="shared" si="25"/>
        <v>0</v>
      </c>
      <c r="O227" s="305">
        <f t="shared" si="26"/>
        <v>0</v>
      </c>
    </row>
    <row r="228" spans="1:15" x14ac:dyDescent="0.2">
      <c r="A228" s="1233"/>
      <c r="B228" s="593">
        <v>53205030100000</v>
      </c>
      <c r="C228" s="594" t="s">
        <v>103</v>
      </c>
      <c r="D228" s="311">
        <f t="shared" si="29"/>
        <v>0</v>
      </c>
      <c r="E228" s="299">
        <v>0</v>
      </c>
      <c r="F228" s="312">
        <v>0</v>
      </c>
      <c r="G228" s="299">
        <f t="shared" si="27"/>
        <v>0</v>
      </c>
      <c r="H228" s="301">
        <f t="shared" si="28"/>
        <v>0</v>
      </c>
      <c r="K228" s="309" t="s">
        <v>111</v>
      </c>
      <c r="L228" s="303">
        <v>0</v>
      </c>
      <c r="M228" s="304">
        <f t="shared" si="24"/>
        <v>0</v>
      </c>
      <c r="N228" s="304">
        <f t="shared" si="25"/>
        <v>0</v>
      </c>
      <c r="O228" s="305">
        <f t="shared" si="26"/>
        <v>0</v>
      </c>
    </row>
    <row r="229" spans="1:15" x14ac:dyDescent="0.2">
      <c r="A229" s="1233"/>
      <c r="B229" s="593">
        <v>53205050100000</v>
      </c>
      <c r="C229" s="594" t="s">
        <v>104</v>
      </c>
      <c r="D229" s="311">
        <f t="shared" si="29"/>
        <v>0</v>
      </c>
      <c r="E229" s="299">
        <v>0</v>
      </c>
      <c r="F229" s="312">
        <v>0</v>
      </c>
      <c r="G229" s="299">
        <f t="shared" si="27"/>
        <v>0</v>
      </c>
      <c r="H229" s="301">
        <f t="shared" si="28"/>
        <v>0</v>
      </c>
      <c r="K229" s="292" t="s">
        <v>112</v>
      </c>
      <c r="L229" s="1249"/>
      <c r="M229" s="1249"/>
      <c r="N229" s="1249"/>
      <c r="O229" s="1249"/>
    </row>
    <row r="230" spans="1:15" x14ac:dyDescent="0.2">
      <c r="A230" s="1233"/>
      <c r="B230" s="593">
        <v>53205070100000</v>
      </c>
      <c r="C230" s="594" t="s">
        <v>105</v>
      </c>
      <c r="D230" s="311">
        <f t="shared" si="29"/>
        <v>0</v>
      </c>
      <c r="E230" s="299">
        <v>0</v>
      </c>
      <c r="F230" s="312">
        <v>0</v>
      </c>
      <c r="G230" s="299">
        <f t="shared" si="27"/>
        <v>0</v>
      </c>
      <c r="H230" s="301">
        <f t="shared" si="28"/>
        <v>0</v>
      </c>
      <c r="K230" s="297" t="s">
        <v>113</v>
      </c>
      <c r="L230" s="1250"/>
      <c r="M230" s="1250"/>
      <c r="N230" s="1250"/>
      <c r="O230" s="1250"/>
    </row>
    <row r="231" spans="1:15" x14ac:dyDescent="0.2">
      <c r="A231" s="1233"/>
      <c r="B231" s="593">
        <v>53208010100000</v>
      </c>
      <c r="C231" s="594" t="s">
        <v>106</v>
      </c>
      <c r="D231" s="311">
        <f t="shared" si="29"/>
        <v>0</v>
      </c>
      <c r="E231" s="299">
        <v>0</v>
      </c>
      <c r="F231" s="312">
        <v>0</v>
      </c>
      <c r="G231" s="299">
        <f t="shared" si="27"/>
        <v>0</v>
      </c>
      <c r="H231" s="301">
        <f t="shared" si="28"/>
        <v>0</v>
      </c>
      <c r="K231" s="309" t="s">
        <v>116</v>
      </c>
      <c r="L231" s="310">
        <v>0</v>
      </c>
      <c r="M231" s="304">
        <f>+L231*0.5</f>
        <v>0</v>
      </c>
      <c r="N231" s="304">
        <f>+L231*0.1</f>
        <v>0</v>
      </c>
      <c r="O231" s="305">
        <f>+L231*0.4</f>
        <v>0</v>
      </c>
    </row>
    <row r="232" spans="1:15" x14ac:dyDescent="0.2">
      <c r="A232" s="1233"/>
      <c r="B232" s="593">
        <v>53208070100001</v>
      </c>
      <c r="C232" s="594" t="s">
        <v>107</v>
      </c>
      <c r="D232" s="311">
        <f t="shared" si="29"/>
        <v>0</v>
      </c>
      <c r="E232" s="299">
        <v>0</v>
      </c>
      <c r="F232" s="312">
        <v>0</v>
      </c>
      <c r="G232" s="299">
        <f t="shared" si="27"/>
        <v>0</v>
      </c>
      <c r="H232" s="301">
        <f t="shared" si="28"/>
        <v>0</v>
      </c>
      <c r="K232" s="302" t="s">
        <v>117</v>
      </c>
      <c r="L232" s="310">
        <v>0</v>
      </c>
      <c r="M232" s="304">
        <f>+L232*0.5</f>
        <v>0</v>
      </c>
      <c r="N232" s="304">
        <f>+L232*0.1</f>
        <v>0</v>
      </c>
      <c r="O232" s="305">
        <f>+L232*0.4</f>
        <v>0</v>
      </c>
    </row>
    <row r="233" spans="1:15" x14ac:dyDescent="0.2">
      <c r="A233" s="1233"/>
      <c r="B233" s="593">
        <v>53208100100001</v>
      </c>
      <c r="C233" s="594" t="s">
        <v>108</v>
      </c>
      <c r="D233" s="311">
        <f t="shared" si="29"/>
        <v>0</v>
      </c>
      <c r="E233" s="299">
        <v>0</v>
      </c>
      <c r="F233" s="312">
        <v>0</v>
      </c>
      <c r="G233" s="299">
        <f t="shared" si="27"/>
        <v>0</v>
      </c>
      <c r="H233" s="301">
        <f t="shared" si="28"/>
        <v>0</v>
      </c>
      <c r="K233" s="297" t="s">
        <v>118</v>
      </c>
      <c r="L233" s="1250"/>
      <c r="M233" s="1250"/>
      <c r="N233" s="1250"/>
      <c r="O233" s="1250"/>
    </row>
    <row r="234" spans="1:15" x14ac:dyDescent="0.2">
      <c r="A234" s="1233"/>
      <c r="B234" s="593">
        <v>53211030000000</v>
      </c>
      <c r="C234" s="594" t="s">
        <v>109</v>
      </c>
      <c r="D234" s="311">
        <f t="shared" si="29"/>
        <v>0</v>
      </c>
      <c r="E234" s="299">
        <v>0</v>
      </c>
      <c r="F234" s="312">
        <v>0</v>
      </c>
      <c r="G234" s="299">
        <f t="shared" si="27"/>
        <v>0</v>
      </c>
      <c r="H234" s="301">
        <f t="shared" si="28"/>
        <v>0</v>
      </c>
      <c r="K234" s="309" t="s">
        <v>119</v>
      </c>
      <c r="L234" s="310">
        <v>0</v>
      </c>
      <c r="M234" s="304">
        <f>+L234*0.5</f>
        <v>0</v>
      </c>
      <c r="N234" s="304">
        <f>+L234*0.1</f>
        <v>0</v>
      </c>
      <c r="O234" s="305">
        <f>+L234*0.4</f>
        <v>0</v>
      </c>
    </row>
    <row r="235" spans="1:15" x14ac:dyDescent="0.2">
      <c r="A235" s="1233"/>
      <c r="B235" s="593">
        <v>53212020100000</v>
      </c>
      <c r="C235" s="594" t="s">
        <v>110</v>
      </c>
      <c r="D235" s="311">
        <f t="shared" si="29"/>
        <v>0</v>
      </c>
      <c r="E235" s="299">
        <v>0</v>
      </c>
      <c r="F235" s="312">
        <v>0</v>
      </c>
      <c r="G235" s="299">
        <f t="shared" si="27"/>
        <v>0</v>
      </c>
      <c r="H235" s="301">
        <f t="shared" si="28"/>
        <v>0</v>
      </c>
      <c r="K235" s="297" t="s">
        <v>120</v>
      </c>
      <c r="L235" s="1250"/>
      <c r="M235" s="1250"/>
      <c r="N235" s="1250"/>
      <c r="O235" s="1250"/>
    </row>
    <row r="236" spans="1:15" ht="15.75" customHeight="1" x14ac:dyDescent="0.2">
      <c r="A236" s="1233"/>
      <c r="B236" s="593">
        <v>53214020000000</v>
      </c>
      <c r="C236" s="594" t="s">
        <v>111</v>
      </c>
      <c r="D236" s="311">
        <f t="shared" si="29"/>
        <v>0</v>
      </c>
      <c r="E236" s="299">
        <v>0</v>
      </c>
      <c r="F236" s="312">
        <v>0</v>
      </c>
      <c r="G236" s="299">
        <f t="shared" si="27"/>
        <v>0</v>
      </c>
      <c r="H236" s="301">
        <f t="shared" si="28"/>
        <v>0</v>
      </c>
      <c r="K236" s="309" t="s">
        <v>121</v>
      </c>
      <c r="L236" s="310">
        <v>0</v>
      </c>
      <c r="M236" s="304">
        <f t="shared" ref="M236:M243" si="30">+L236*0.5</f>
        <v>0</v>
      </c>
      <c r="N236" s="304">
        <f t="shared" ref="N236:N243" si="31">+L236*0.1</f>
        <v>0</v>
      </c>
      <c r="O236" s="305">
        <f t="shared" ref="O236:O243" si="32">+L236*0.4</f>
        <v>0</v>
      </c>
    </row>
    <row r="237" spans="1:15" x14ac:dyDescent="0.2">
      <c r="A237" s="1233"/>
      <c r="B237" s="238"/>
      <c r="C237" s="239" t="s">
        <v>112</v>
      </c>
      <c r="D237" s="313">
        <v>0</v>
      </c>
      <c r="E237" s="289"/>
      <c r="F237" s="289"/>
      <c r="G237" s="288">
        <f>SUM(G238,G243,G245,G254,G263,G271)</f>
        <v>0</v>
      </c>
      <c r="H237" s="313">
        <f>SUM(H238,H243,H245,H254,H263,H271)</f>
        <v>0</v>
      </c>
      <c r="K237" s="309" t="s">
        <v>122</v>
      </c>
      <c r="L237" s="310">
        <v>0</v>
      </c>
      <c r="M237" s="304">
        <f t="shared" si="30"/>
        <v>0</v>
      </c>
      <c r="N237" s="304">
        <f t="shared" si="31"/>
        <v>0</v>
      </c>
      <c r="O237" s="305">
        <f t="shared" si="32"/>
        <v>0</v>
      </c>
    </row>
    <row r="238" spans="1:15" x14ac:dyDescent="0.2">
      <c r="A238" s="1233"/>
      <c r="B238" s="244"/>
      <c r="C238" s="245" t="s">
        <v>113</v>
      </c>
      <c r="D238" s="293">
        <f>SUM(D239:D242)</f>
        <v>0</v>
      </c>
      <c r="E238" s="294"/>
      <c r="F238" s="294"/>
      <c r="G238" s="293">
        <f>SUM(G239:G242)</f>
        <v>0</v>
      </c>
      <c r="H238" s="293">
        <f>SUM(H239:H242)</f>
        <v>0</v>
      </c>
      <c r="K238" s="309" t="s">
        <v>123</v>
      </c>
      <c r="L238" s="310">
        <v>0</v>
      </c>
      <c r="M238" s="304">
        <f t="shared" si="30"/>
        <v>0</v>
      </c>
      <c r="N238" s="304">
        <f t="shared" si="31"/>
        <v>0</v>
      </c>
      <c r="O238" s="305">
        <f t="shared" si="32"/>
        <v>0</v>
      </c>
    </row>
    <row r="239" spans="1:15" x14ac:dyDescent="0.2">
      <c r="A239" s="1233"/>
      <c r="B239" s="593">
        <v>53202020100000</v>
      </c>
      <c r="C239" s="594" t="s">
        <v>114</v>
      </c>
      <c r="D239" s="306">
        <v>0</v>
      </c>
      <c r="E239" s="307">
        <v>0</v>
      </c>
      <c r="F239" s="314">
        <v>0</v>
      </c>
      <c r="G239" s="299">
        <f>E239*F239</f>
        <v>0</v>
      </c>
      <c r="H239" s="301">
        <f>D239+G239</f>
        <v>0</v>
      </c>
      <c r="K239" s="309" t="s">
        <v>124</v>
      </c>
      <c r="L239" s="310">
        <v>0</v>
      </c>
      <c r="M239" s="304">
        <f t="shared" si="30"/>
        <v>0</v>
      </c>
      <c r="N239" s="304">
        <f t="shared" si="31"/>
        <v>0</v>
      </c>
      <c r="O239" s="305">
        <f t="shared" si="32"/>
        <v>0</v>
      </c>
    </row>
    <row r="240" spans="1:15" x14ac:dyDescent="0.2">
      <c r="A240" s="1233"/>
      <c r="B240" s="593">
        <v>53202030000000</v>
      </c>
      <c r="C240" s="594" t="s">
        <v>115</v>
      </c>
      <c r="D240" s="306">
        <v>0</v>
      </c>
      <c r="E240" s="307">
        <v>0</v>
      </c>
      <c r="F240" s="314">
        <v>0</v>
      </c>
      <c r="G240" s="299">
        <f>E240*F240</f>
        <v>0</v>
      </c>
      <c r="H240" s="301">
        <f>D240+G240</f>
        <v>0</v>
      </c>
      <c r="K240" s="309" t="s">
        <v>125</v>
      </c>
      <c r="L240" s="310">
        <v>0</v>
      </c>
      <c r="M240" s="304">
        <f t="shared" si="30"/>
        <v>0</v>
      </c>
      <c r="N240" s="304">
        <f t="shared" si="31"/>
        <v>0</v>
      </c>
      <c r="O240" s="305">
        <f t="shared" si="32"/>
        <v>0</v>
      </c>
    </row>
    <row r="241" spans="1:15" x14ac:dyDescent="0.2">
      <c r="A241" s="1233"/>
      <c r="B241" s="593">
        <v>53211020000000</v>
      </c>
      <c r="C241" s="594" t="s">
        <v>116</v>
      </c>
      <c r="D241" s="299">
        <f>+O231</f>
        <v>0</v>
      </c>
      <c r="E241" s="299">
        <v>0</v>
      </c>
      <c r="F241" s="312">
        <v>0</v>
      </c>
      <c r="G241" s="299">
        <f>E241*F241</f>
        <v>0</v>
      </c>
      <c r="H241" s="301">
        <f>D241+G241</f>
        <v>0</v>
      </c>
      <c r="K241" s="309" t="s">
        <v>126</v>
      </c>
      <c r="L241" s="303">
        <v>0</v>
      </c>
      <c r="M241" s="304">
        <f t="shared" si="30"/>
        <v>0</v>
      </c>
      <c r="N241" s="304">
        <f t="shared" si="31"/>
        <v>0</v>
      </c>
      <c r="O241" s="305">
        <f t="shared" si="32"/>
        <v>0</v>
      </c>
    </row>
    <row r="242" spans="1:15" x14ac:dyDescent="0.2">
      <c r="A242" s="1233"/>
      <c r="B242" s="593">
        <v>53101040600000</v>
      </c>
      <c r="C242" s="594" t="s">
        <v>117</v>
      </c>
      <c r="D242" s="299">
        <f>+O232</f>
        <v>0</v>
      </c>
      <c r="E242" s="299">
        <v>0</v>
      </c>
      <c r="F242" s="312">
        <v>0</v>
      </c>
      <c r="G242" s="299">
        <f>E242*F242</f>
        <v>0</v>
      </c>
      <c r="H242" s="301">
        <f>D242+G242</f>
        <v>0</v>
      </c>
      <c r="K242" s="302" t="s">
        <v>127</v>
      </c>
      <c r="L242" s="303">
        <v>0</v>
      </c>
      <c r="M242" s="304">
        <f t="shared" si="30"/>
        <v>0</v>
      </c>
      <c r="N242" s="304">
        <f t="shared" si="31"/>
        <v>0</v>
      </c>
      <c r="O242" s="305">
        <f t="shared" si="32"/>
        <v>0</v>
      </c>
    </row>
    <row r="243" spans="1:15" x14ac:dyDescent="0.2">
      <c r="A243" s="1233"/>
      <c r="B243" s="244"/>
      <c r="C243" s="245" t="s">
        <v>118</v>
      </c>
      <c r="D243" s="293">
        <f>SUM(D244)</f>
        <v>0</v>
      </c>
      <c r="E243" s="294"/>
      <c r="F243" s="294"/>
      <c r="G243" s="315">
        <f>SUM(G244:G244)</f>
        <v>0</v>
      </c>
      <c r="H243" s="293">
        <f>SUM(H244:H244)</f>
        <v>0</v>
      </c>
      <c r="K243" s="309" t="s">
        <v>128</v>
      </c>
      <c r="L243" s="310">
        <v>0</v>
      </c>
      <c r="M243" s="304">
        <f t="shared" si="30"/>
        <v>0</v>
      </c>
      <c r="N243" s="304">
        <f t="shared" si="31"/>
        <v>0</v>
      </c>
      <c r="O243" s="305">
        <f t="shared" si="32"/>
        <v>0</v>
      </c>
    </row>
    <row r="244" spans="1:15" x14ac:dyDescent="0.2">
      <c r="A244" s="1233"/>
      <c r="B244" s="601">
        <v>53205990000000</v>
      </c>
      <c r="C244" s="594" t="s">
        <v>119</v>
      </c>
      <c r="D244" s="299">
        <f>+O234</f>
        <v>0</v>
      </c>
      <c r="E244" s="299">
        <v>0</v>
      </c>
      <c r="F244" s="312">
        <v>0</v>
      </c>
      <c r="G244" s="299">
        <f>E244*F244</f>
        <v>0</v>
      </c>
      <c r="H244" s="301">
        <f>D244+G244</f>
        <v>0</v>
      </c>
      <c r="K244" s="297" t="s">
        <v>129</v>
      </c>
      <c r="L244" s="1250"/>
      <c r="M244" s="1250"/>
      <c r="N244" s="1250"/>
      <c r="O244" s="1250"/>
    </row>
    <row r="245" spans="1:15" x14ac:dyDescent="0.2">
      <c r="A245" s="1233"/>
      <c r="B245" s="244"/>
      <c r="C245" s="245" t="s">
        <v>120</v>
      </c>
      <c r="D245" s="293">
        <f>SUM(D246:D253)</f>
        <v>0</v>
      </c>
      <c r="E245" s="294"/>
      <c r="F245" s="294"/>
      <c r="G245" s="293">
        <f>SUM(G246:G253)</f>
        <v>0</v>
      </c>
      <c r="H245" s="293">
        <f>SUM(H246:H253)</f>
        <v>0</v>
      </c>
      <c r="K245" s="309" t="s">
        <v>130</v>
      </c>
      <c r="L245" s="310">
        <v>0</v>
      </c>
      <c r="M245" s="304">
        <f t="shared" ref="M245:M251" si="33">+L245*0.5</f>
        <v>0</v>
      </c>
      <c r="N245" s="304">
        <f t="shared" ref="N245:N251" si="34">+L245*0.1</f>
        <v>0</v>
      </c>
      <c r="O245" s="305">
        <f t="shared" ref="O245:O251" si="35">+L245*0.4</f>
        <v>0</v>
      </c>
    </row>
    <row r="246" spans="1:15" x14ac:dyDescent="0.2">
      <c r="A246" s="1233"/>
      <c r="B246" s="593">
        <v>53204010000000</v>
      </c>
      <c r="C246" s="594" t="s">
        <v>121</v>
      </c>
      <c r="D246" s="299">
        <f t="shared" ref="D246:D253" si="36">+O236</f>
        <v>0</v>
      </c>
      <c r="E246" s="299">
        <v>0</v>
      </c>
      <c r="F246" s="312">
        <v>0</v>
      </c>
      <c r="G246" s="299">
        <f t="shared" ref="G246:G253" si="37">E246*F246</f>
        <v>0</v>
      </c>
      <c r="H246" s="301">
        <f t="shared" ref="H246:H253" si="38">D246+G246</f>
        <v>0</v>
      </c>
      <c r="K246" s="309" t="s">
        <v>131</v>
      </c>
      <c r="L246" s="310">
        <v>0</v>
      </c>
      <c r="M246" s="304">
        <f t="shared" si="33"/>
        <v>0</v>
      </c>
      <c r="N246" s="304">
        <f t="shared" si="34"/>
        <v>0</v>
      </c>
      <c r="O246" s="305">
        <f t="shared" si="35"/>
        <v>0</v>
      </c>
    </row>
    <row r="247" spans="1:15" x14ac:dyDescent="0.2">
      <c r="A247" s="1233"/>
      <c r="B247" s="601">
        <v>53204040200000</v>
      </c>
      <c r="C247" s="594" t="s">
        <v>122</v>
      </c>
      <c r="D247" s="299">
        <f t="shared" si="36"/>
        <v>0</v>
      </c>
      <c r="E247" s="299">
        <v>0</v>
      </c>
      <c r="F247" s="312">
        <v>0</v>
      </c>
      <c r="G247" s="299">
        <f t="shared" si="37"/>
        <v>0</v>
      </c>
      <c r="H247" s="301">
        <f t="shared" si="38"/>
        <v>0</v>
      </c>
      <c r="K247" s="309" t="s">
        <v>132</v>
      </c>
      <c r="L247" s="310">
        <v>0</v>
      </c>
      <c r="M247" s="304">
        <f t="shared" si="33"/>
        <v>0</v>
      </c>
      <c r="N247" s="304">
        <f t="shared" si="34"/>
        <v>0</v>
      </c>
      <c r="O247" s="305">
        <f t="shared" si="35"/>
        <v>0</v>
      </c>
    </row>
    <row r="248" spans="1:15" x14ac:dyDescent="0.2">
      <c r="A248" s="1233"/>
      <c r="B248" s="593">
        <v>53204060000000</v>
      </c>
      <c r="C248" s="594" t="s">
        <v>123</v>
      </c>
      <c r="D248" s="299">
        <f t="shared" si="36"/>
        <v>0</v>
      </c>
      <c r="E248" s="299">
        <v>0</v>
      </c>
      <c r="F248" s="312">
        <v>0</v>
      </c>
      <c r="G248" s="299">
        <f t="shared" si="37"/>
        <v>0</v>
      </c>
      <c r="H248" s="301">
        <f t="shared" si="38"/>
        <v>0</v>
      </c>
      <c r="K248" s="309" t="s">
        <v>133</v>
      </c>
      <c r="L248" s="310">
        <v>0</v>
      </c>
      <c r="M248" s="304">
        <f t="shared" si="33"/>
        <v>0</v>
      </c>
      <c r="N248" s="304">
        <f t="shared" si="34"/>
        <v>0</v>
      </c>
      <c r="O248" s="305">
        <f t="shared" si="35"/>
        <v>0</v>
      </c>
    </row>
    <row r="249" spans="1:15" x14ac:dyDescent="0.2">
      <c r="A249" s="1233"/>
      <c r="B249" s="593">
        <v>53204070000000</v>
      </c>
      <c r="C249" s="594" t="s">
        <v>124</v>
      </c>
      <c r="D249" s="299">
        <f t="shared" si="36"/>
        <v>0</v>
      </c>
      <c r="E249" s="299">
        <v>0</v>
      </c>
      <c r="F249" s="312">
        <v>0</v>
      </c>
      <c r="G249" s="299">
        <f t="shared" si="37"/>
        <v>0</v>
      </c>
      <c r="H249" s="301">
        <f t="shared" si="38"/>
        <v>0</v>
      </c>
      <c r="K249" s="309" t="s">
        <v>135</v>
      </c>
      <c r="L249" s="310">
        <v>0</v>
      </c>
      <c r="M249" s="304">
        <f t="shared" si="33"/>
        <v>0</v>
      </c>
      <c r="N249" s="304">
        <f t="shared" si="34"/>
        <v>0</v>
      </c>
      <c r="O249" s="305">
        <f t="shared" si="35"/>
        <v>0</v>
      </c>
    </row>
    <row r="250" spans="1:15" x14ac:dyDescent="0.2">
      <c r="A250" s="1233"/>
      <c r="B250" s="593">
        <v>53204080000000</v>
      </c>
      <c r="C250" s="594" t="s">
        <v>125</v>
      </c>
      <c r="D250" s="299">
        <f t="shared" si="36"/>
        <v>0</v>
      </c>
      <c r="E250" s="299">
        <v>0</v>
      </c>
      <c r="F250" s="312">
        <v>0</v>
      </c>
      <c r="G250" s="299">
        <f t="shared" si="37"/>
        <v>0</v>
      </c>
      <c r="H250" s="301">
        <f t="shared" si="38"/>
        <v>0</v>
      </c>
      <c r="K250" s="309" t="s">
        <v>136</v>
      </c>
      <c r="L250" s="310">
        <v>0</v>
      </c>
      <c r="M250" s="304">
        <f t="shared" si="33"/>
        <v>0</v>
      </c>
      <c r="N250" s="304">
        <f t="shared" si="34"/>
        <v>0</v>
      </c>
      <c r="O250" s="305">
        <f t="shared" si="35"/>
        <v>0</v>
      </c>
    </row>
    <row r="251" spans="1:15" x14ac:dyDescent="0.2">
      <c r="A251" s="1233"/>
      <c r="B251" s="593">
        <v>53214010000000</v>
      </c>
      <c r="C251" s="594" t="s">
        <v>126</v>
      </c>
      <c r="D251" s="299">
        <f t="shared" si="36"/>
        <v>0</v>
      </c>
      <c r="E251" s="299">
        <v>0</v>
      </c>
      <c r="F251" s="312">
        <v>0</v>
      </c>
      <c r="G251" s="299">
        <f t="shared" si="37"/>
        <v>0</v>
      </c>
      <c r="H251" s="301">
        <f t="shared" si="38"/>
        <v>0</v>
      </c>
      <c r="K251" s="309" t="s">
        <v>137</v>
      </c>
      <c r="L251" s="310">
        <v>0</v>
      </c>
      <c r="M251" s="304">
        <f t="shared" si="33"/>
        <v>0</v>
      </c>
      <c r="N251" s="304">
        <f t="shared" si="34"/>
        <v>0</v>
      </c>
      <c r="O251" s="305">
        <f t="shared" si="35"/>
        <v>0</v>
      </c>
    </row>
    <row r="252" spans="1:15" x14ac:dyDescent="0.2">
      <c r="A252" s="1233"/>
      <c r="B252" s="593">
        <v>53214040000000</v>
      </c>
      <c r="C252" s="594" t="s">
        <v>127</v>
      </c>
      <c r="D252" s="299">
        <f t="shared" si="36"/>
        <v>0</v>
      </c>
      <c r="E252" s="299">
        <v>0</v>
      </c>
      <c r="F252" s="312">
        <v>0</v>
      </c>
      <c r="G252" s="299">
        <f t="shared" si="37"/>
        <v>0</v>
      </c>
      <c r="H252" s="301">
        <f t="shared" si="38"/>
        <v>0</v>
      </c>
      <c r="K252" s="297" t="s">
        <v>138</v>
      </c>
      <c r="L252" s="1250"/>
      <c r="M252" s="1250"/>
      <c r="N252" s="1250"/>
      <c r="O252" s="1250"/>
    </row>
    <row r="253" spans="1:15" x14ac:dyDescent="0.2">
      <c r="A253" s="1233"/>
      <c r="B253" s="598">
        <v>53204020100000</v>
      </c>
      <c r="C253" s="594" t="s">
        <v>128</v>
      </c>
      <c r="D253" s="299">
        <f t="shared" si="36"/>
        <v>0</v>
      </c>
      <c r="E253" s="299">
        <v>0</v>
      </c>
      <c r="F253" s="312">
        <v>0</v>
      </c>
      <c r="G253" s="299">
        <f t="shared" si="37"/>
        <v>0</v>
      </c>
      <c r="H253" s="301">
        <f t="shared" si="38"/>
        <v>0</v>
      </c>
      <c r="K253" s="309" t="s">
        <v>139</v>
      </c>
      <c r="L253" s="310">
        <v>0</v>
      </c>
      <c r="M253" s="304">
        <f t="shared" ref="M253:M259" si="39">+L253*0.5</f>
        <v>0</v>
      </c>
      <c r="N253" s="304">
        <f t="shared" ref="N253:N259" si="40">+L253*0.1</f>
        <v>0</v>
      </c>
      <c r="O253" s="305">
        <f t="shared" ref="O253:O259" si="41">+L253*0.4</f>
        <v>0</v>
      </c>
    </row>
    <row r="254" spans="1:15" x14ac:dyDescent="0.2">
      <c r="A254" s="1233"/>
      <c r="B254" s="244"/>
      <c r="C254" s="245" t="s">
        <v>129</v>
      </c>
      <c r="D254" s="293"/>
      <c r="E254" s="294"/>
      <c r="F254" s="294"/>
      <c r="G254" s="293">
        <f>SUM(G255:G262)</f>
        <v>0</v>
      </c>
      <c r="H254" s="296">
        <f>SUM(H255:H262)</f>
        <v>0</v>
      </c>
      <c r="K254" s="309" t="s">
        <v>140</v>
      </c>
      <c r="L254" s="310">
        <v>0</v>
      </c>
      <c r="M254" s="304">
        <f t="shared" si="39"/>
        <v>0</v>
      </c>
      <c r="N254" s="304">
        <f t="shared" si="40"/>
        <v>0</v>
      </c>
      <c r="O254" s="305">
        <f t="shared" si="41"/>
        <v>0</v>
      </c>
    </row>
    <row r="255" spans="1:15" x14ac:dyDescent="0.2">
      <c r="A255" s="1233"/>
      <c r="B255" s="593">
        <v>53207010000000</v>
      </c>
      <c r="C255" s="594" t="s">
        <v>130</v>
      </c>
      <c r="D255" s="299">
        <f>+O245</f>
        <v>0</v>
      </c>
      <c r="E255" s="299">
        <v>0</v>
      </c>
      <c r="F255" s="312">
        <v>0</v>
      </c>
      <c r="G255" s="299">
        <f t="shared" ref="G255:G262" si="42">E255*F255</f>
        <v>0</v>
      </c>
      <c r="H255" s="301">
        <f t="shared" ref="H255:H262" si="43">D255+G255</f>
        <v>0</v>
      </c>
      <c r="K255" s="309" t="s">
        <v>141</v>
      </c>
      <c r="L255" s="310">
        <v>0</v>
      </c>
      <c r="M255" s="304">
        <f t="shared" si="39"/>
        <v>0</v>
      </c>
      <c r="N255" s="304">
        <f t="shared" si="40"/>
        <v>0</v>
      </c>
      <c r="O255" s="305">
        <f t="shared" si="41"/>
        <v>0</v>
      </c>
    </row>
    <row r="256" spans="1:15" x14ac:dyDescent="0.2">
      <c r="A256" s="1233"/>
      <c r="B256" s="593">
        <v>53207020000000</v>
      </c>
      <c r="C256" s="594" t="s">
        <v>131</v>
      </c>
      <c r="D256" s="299">
        <f>+O246</f>
        <v>0</v>
      </c>
      <c r="E256" s="299">
        <v>0</v>
      </c>
      <c r="F256" s="312">
        <v>0</v>
      </c>
      <c r="G256" s="299">
        <f t="shared" si="42"/>
        <v>0</v>
      </c>
      <c r="H256" s="301">
        <f t="shared" si="43"/>
        <v>0</v>
      </c>
      <c r="K256" s="309" t="s">
        <v>142</v>
      </c>
      <c r="L256" s="310">
        <v>0</v>
      </c>
      <c r="M256" s="304">
        <f t="shared" si="39"/>
        <v>0</v>
      </c>
      <c r="N256" s="304">
        <f t="shared" si="40"/>
        <v>0</v>
      </c>
      <c r="O256" s="305">
        <f t="shared" si="41"/>
        <v>0</v>
      </c>
    </row>
    <row r="257" spans="1:15" x14ac:dyDescent="0.2">
      <c r="A257" s="1233"/>
      <c r="B257" s="593">
        <v>53208020000000</v>
      </c>
      <c r="C257" s="594" t="s">
        <v>132</v>
      </c>
      <c r="D257" s="299">
        <f>+O247</f>
        <v>0</v>
      </c>
      <c r="E257" s="299">
        <v>0</v>
      </c>
      <c r="F257" s="312">
        <v>0</v>
      </c>
      <c r="G257" s="299">
        <f t="shared" si="42"/>
        <v>0</v>
      </c>
      <c r="H257" s="301">
        <f t="shared" si="43"/>
        <v>0</v>
      </c>
      <c r="K257" s="302" t="s">
        <v>143</v>
      </c>
      <c r="L257" s="310">
        <v>0</v>
      </c>
      <c r="M257" s="304">
        <f t="shared" si="39"/>
        <v>0</v>
      </c>
      <c r="N257" s="304">
        <f t="shared" si="40"/>
        <v>0</v>
      </c>
      <c r="O257" s="305">
        <f t="shared" si="41"/>
        <v>0</v>
      </c>
    </row>
    <row r="258" spans="1:15" x14ac:dyDescent="0.2">
      <c r="A258" s="1233"/>
      <c r="B258" s="593">
        <v>53208990000000</v>
      </c>
      <c r="C258" s="594" t="s">
        <v>133</v>
      </c>
      <c r="D258" s="299">
        <f>+O248</f>
        <v>0</v>
      </c>
      <c r="E258" s="299">
        <v>0</v>
      </c>
      <c r="F258" s="312">
        <v>0</v>
      </c>
      <c r="G258" s="299">
        <f t="shared" si="42"/>
        <v>0</v>
      </c>
      <c r="H258" s="301">
        <f t="shared" si="43"/>
        <v>0</v>
      </c>
      <c r="K258" s="309" t="s">
        <v>144</v>
      </c>
      <c r="L258" s="310">
        <v>0</v>
      </c>
      <c r="M258" s="304">
        <f t="shared" si="39"/>
        <v>0</v>
      </c>
      <c r="N258" s="304">
        <f t="shared" si="40"/>
        <v>0</v>
      </c>
      <c r="O258" s="305">
        <f t="shared" si="41"/>
        <v>0</v>
      </c>
    </row>
    <row r="259" spans="1:15" x14ac:dyDescent="0.2">
      <c r="A259" s="1233"/>
      <c r="B259" s="598">
        <v>53210020300000</v>
      </c>
      <c r="C259" s="594" t="s">
        <v>134</v>
      </c>
      <c r="D259" s="316">
        <v>0</v>
      </c>
      <c r="E259" s="316">
        <v>0</v>
      </c>
      <c r="F259" s="317">
        <v>0</v>
      </c>
      <c r="G259" s="299">
        <f t="shared" si="42"/>
        <v>0</v>
      </c>
      <c r="H259" s="301">
        <f t="shared" si="43"/>
        <v>0</v>
      </c>
      <c r="K259" s="309" t="s">
        <v>145</v>
      </c>
      <c r="L259" s="310">
        <v>0</v>
      </c>
      <c r="M259" s="304">
        <f t="shared" si="39"/>
        <v>0</v>
      </c>
      <c r="N259" s="304">
        <f t="shared" si="40"/>
        <v>0</v>
      </c>
      <c r="O259" s="305">
        <f t="shared" si="41"/>
        <v>0</v>
      </c>
    </row>
    <row r="260" spans="1:15" x14ac:dyDescent="0.2">
      <c r="A260" s="1233"/>
      <c r="B260" s="593">
        <v>53208990000000</v>
      </c>
      <c r="C260" s="594" t="s">
        <v>135</v>
      </c>
      <c r="D260" s="299">
        <f>+O249</f>
        <v>0</v>
      </c>
      <c r="E260" s="299">
        <v>0</v>
      </c>
      <c r="F260" s="312">
        <v>0</v>
      </c>
      <c r="G260" s="299">
        <f t="shared" si="42"/>
        <v>0</v>
      </c>
      <c r="H260" s="301">
        <f t="shared" si="43"/>
        <v>0</v>
      </c>
    </row>
    <row r="261" spans="1:15" x14ac:dyDescent="0.2">
      <c r="A261" s="1233"/>
      <c r="B261" s="593">
        <v>53209990000000</v>
      </c>
      <c r="C261" s="594" t="s">
        <v>136</v>
      </c>
      <c r="D261" s="299">
        <f>+O250</f>
        <v>0</v>
      </c>
      <c r="E261" s="299">
        <v>0</v>
      </c>
      <c r="F261" s="312">
        <v>0</v>
      </c>
      <c r="G261" s="299">
        <f t="shared" si="42"/>
        <v>0</v>
      </c>
      <c r="H261" s="301">
        <f t="shared" si="43"/>
        <v>0</v>
      </c>
    </row>
    <row r="262" spans="1:15" x14ac:dyDescent="0.2">
      <c r="A262" s="1233"/>
      <c r="B262" s="593">
        <v>53210020100000</v>
      </c>
      <c r="C262" s="594" t="s">
        <v>137</v>
      </c>
      <c r="D262" s="299">
        <f>+O251</f>
        <v>0</v>
      </c>
      <c r="E262" s="299">
        <v>0</v>
      </c>
      <c r="F262" s="312">
        <v>0</v>
      </c>
      <c r="G262" s="299">
        <f t="shared" si="42"/>
        <v>0</v>
      </c>
      <c r="H262" s="301">
        <f t="shared" si="43"/>
        <v>0</v>
      </c>
    </row>
    <row r="263" spans="1:15" x14ac:dyDescent="0.2">
      <c r="A263" s="1233"/>
      <c r="B263" s="244"/>
      <c r="C263" s="245" t="s">
        <v>138</v>
      </c>
      <c r="D263" s="293">
        <f>SUM(D264:D270)</f>
        <v>0</v>
      </c>
      <c r="E263" s="294"/>
      <c r="F263" s="294"/>
      <c r="G263" s="293">
        <f>SUM(G264:G270)</f>
        <v>0</v>
      </c>
      <c r="H263" s="296">
        <f>SUM(H264:H270)</f>
        <v>0</v>
      </c>
    </row>
    <row r="264" spans="1:15" x14ac:dyDescent="0.2">
      <c r="A264" s="1233"/>
      <c r="B264" s="593">
        <v>53206030000000</v>
      </c>
      <c r="C264" s="594" t="s">
        <v>139</v>
      </c>
      <c r="D264" s="299">
        <f t="shared" ref="D264:D270" si="44">+O253</f>
        <v>0</v>
      </c>
      <c r="E264" s="299">
        <v>0</v>
      </c>
      <c r="F264" s="312">
        <v>0</v>
      </c>
      <c r="G264" s="299">
        <f t="shared" ref="G264:G270" si="45">E264*F264</f>
        <v>0</v>
      </c>
      <c r="H264" s="301">
        <f t="shared" ref="H264:H270" si="46">D264+G264</f>
        <v>0</v>
      </c>
    </row>
    <row r="265" spans="1:15" x14ac:dyDescent="0.2">
      <c r="A265" s="1233"/>
      <c r="B265" s="593">
        <v>53206040000000</v>
      </c>
      <c r="C265" s="594" t="s">
        <v>140</v>
      </c>
      <c r="D265" s="299">
        <f t="shared" si="44"/>
        <v>0</v>
      </c>
      <c r="E265" s="299">
        <v>0</v>
      </c>
      <c r="F265" s="312">
        <v>0</v>
      </c>
      <c r="G265" s="299">
        <f t="shared" si="45"/>
        <v>0</v>
      </c>
      <c r="H265" s="301">
        <f t="shared" si="46"/>
        <v>0</v>
      </c>
    </row>
    <row r="266" spans="1:15" x14ac:dyDescent="0.2">
      <c r="A266" s="1233"/>
      <c r="B266" s="593">
        <v>53206060000000</v>
      </c>
      <c r="C266" s="594" t="s">
        <v>141</v>
      </c>
      <c r="D266" s="299">
        <f t="shared" si="44"/>
        <v>0</v>
      </c>
      <c r="E266" s="299">
        <v>0</v>
      </c>
      <c r="F266" s="312">
        <v>0</v>
      </c>
      <c r="G266" s="299">
        <f t="shared" si="45"/>
        <v>0</v>
      </c>
      <c r="H266" s="301">
        <f t="shared" si="46"/>
        <v>0</v>
      </c>
    </row>
    <row r="267" spans="1:15" x14ac:dyDescent="0.2">
      <c r="A267" s="1233"/>
      <c r="B267" s="593">
        <v>53206070000000</v>
      </c>
      <c r="C267" s="594" t="s">
        <v>142</v>
      </c>
      <c r="D267" s="299">
        <f t="shared" si="44"/>
        <v>0</v>
      </c>
      <c r="E267" s="299">
        <v>0</v>
      </c>
      <c r="F267" s="312">
        <v>0</v>
      </c>
      <c r="G267" s="299">
        <f t="shared" si="45"/>
        <v>0</v>
      </c>
      <c r="H267" s="301">
        <f t="shared" si="46"/>
        <v>0</v>
      </c>
    </row>
    <row r="268" spans="1:15" x14ac:dyDescent="0.2">
      <c r="A268" s="1233"/>
      <c r="B268" s="593">
        <v>53206990000000</v>
      </c>
      <c r="C268" s="594" t="s">
        <v>143</v>
      </c>
      <c r="D268" s="299">
        <f t="shared" si="44"/>
        <v>0</v>
      </c>
      <c r="E268" s="299">
        <v>0</v>
      </c>
      <c r="F268" s="312">
        <v>0</v>
      </c>
      <c r="G268" s="299">
        <f t="shared" si="45"/>
        <v>0</v>
      </c>
      <c r="H268" s="301">
        <f t="shared" si="46"/>
        <v>0</v>
      </c>
    </row>
    <row r="269" spans="1:15" x14ac:dyDescent="0.2">
      <c r="A269" s="1233"/>
      <c r="B269" s="593">
        <v>53208030000000</v>
      </c>
      <c r="C269" s="594" t="s">
        <v>144</v>
      </c>
      <c r="D269" s="299">
        <f t="shared" si="44"/>
        <v>0</v>
      </c>
      <c r="E269" s="299">
        <v>0</v>
      </c>
      <c r="F269" s="312">
        <v>0</v>
      </c>
      <c r="G269" s="299">
        <f t="shared" si="45"/>
        <v>0</v>
      </c>
      <c r="H269" s="301">
        <f t="shared" si="46"/>
        <v>0</v>
      </c>
    </row>
    <row r="270" spans="1:15" x14ac:dyDescent="0.2">
      <c r="A270" s="1233"/>
      <c r="B270" s="593">
        <v>53206990000000</v>
      </c>
      <c r="C270" s="594" t="s">
        <v>145</v>
      </c>
      <c r="D270" s="299">
        <f t="shared" si="44"/>
        <v>0</v>
      </c>
      <c r="E270" s="299">
        <v>0</v>
      </c>
      <c r="F270" s="312">
        <v>0</v>
      </c>
      <c r="G270" s="299">
        <f t="shared" si="45"/>
        <v>0</v>
      </c>
      <c r="H270" s="301">
        <f t="shared" si="46"/>
        <v>0</v>
      </c>
    </row>
    <row r="271" spans="1:15" x14ac:dyDescent="0.2">
      <c r="A271" s="1233"/>
      <c r="B271" s="244"/>
      <c r="C271" s="245" t="s">
        <v>146</v>
      </c>
      <c r="D271" s="293">
        <f>SUM(D272:D272)</f>
        <v>0</v>
      </c>
      <c r="E271" s="294"/>
      <c r="F271" s="294"/>
      <c r="G271" s="293">
        <f>SUM(G272:G272)</f>
        <v>0</v>
      </c>
      <c r="H271" s="296">
        <f>SUM(H272:H272)</f>
        <v>0</v>
      </c>
    </row>
    <row r="272" spans="1:15" x14ac:dyDescent="0.2">
      <c r="A272" s="1233"/>
      <c r="B272" s="602"/>
      <c r="C272" s="603" t="s">
        <v>147</v>
      </c>
      <c r="D272" s="306">
        <v>0</v>
      </c>
      <c r="E272" s="306">
        <v>0</v>
      </c>
      <c r="F272" s="314">
        <v>0</v>
      </c>
      <c r="G272" s="299">
        <f>E272*F272</f>
        <v>0</v>
      </c>
      <c r="H272" s="318">
        <f>D272+G272</f>
        <v>0</v>
      </c>
      <c r="I272" s="707" t="s">
        <v>148</v>
      </c>
      <c r="J272" s="708">
        <f>+H270+H269+H268+H267+H266+H265+H264+H262+H261+H260+H259+H258+H257+H256+H255+H253+H250+H249+H248+H247+H246+H244+H242+H241+H235+H234+H233+H231+H230+H229+H228+H227+H226+H225+H224+H223+H222+H221</f>
        <v>0</v>
      </c>
    </row>
    <row r="273" spans="1:10" x14ac:dyDescent="0.2">
      <c r="A273" s="1233"/>
      <c r="B273" s="269"/>
      <c r="C273" s="285" t="s">
        <v>149</v>
      </c>
      <c r="D273" s="319">
        <f>SUM(D210,D237)</f>
        <v>0</v>
      </c>
      <c r="E273" s="320"/>
      <c r="F273" s="320"/>
      <c r="G273" s="319">
        <f>SUM(G210,G237)</f>
        <v>0</v>
      </c>
      <c r="H273" s="321">
        <f>SUM(H210,H237)</f>
        <v>0</v>
      </c>
      <c r="I273" s="709" t="s">
        <v>150</v>
      </c>
      <c r="J273" s="710">
        <f>+H273-J272</f>
        <v>0</v>
      </c>
    </row>
    <row r="274" spans="1:10" ht="12.75" customHeight="1" x14ac:dyDescent="0.2">
      <c r="A274" s="1235" t="s">
        <v>151</v>
      </c>
      <c r="B274" s="1236" t="s">
        <v>78</v>
      </c>
      <c r="C274" s="1237" t="s">
        <v>79</v>
      </c>
      <c r="D274" s="1247" t="s">
        <v>80</v>
      </c>
      <c r="E274" s="1248" t="s">
        <v>81</v>
      </c>
      <c r="F274" s="1248"/>
      <c r="G274" s="1248"/>
      <c r="H274" s="1246" t="s">
        <v>338</v>
      </c>
    </row>
    <row r="275" spans="1:10" ht="25.5" x14ac:dyDescent="0.2">
      <c r="A275" s="1235"/>
      <c r="B275" s="1236"/>
      <c r="C275" s="1237"/>
      <c r="D275" s="1247"/>
      <c r="E275" s="322" t="s">
        <v>82</v>
      </c>
      <c r="F275" s="323" t="s">
        <v>83</v>
      </c>
      <c r="G275" s="571" t="s">
        <v>84</v>
      </c>
      <c r="H275" s="1246"/>
    </row>
    <row r="276" spans="1:10" ht="15.75" customHeight="1" x14ac:dyDescent="0.2">
      <c r="A276" s="1233" t="s">
        <v>37</v>
      </c>
      <c r="B276" s="238"/>
      <c r="C276" s="239" t="s">
        <v>85</v>
      </c>
      <c r="D276" s="240">
        <f>+D277+D282</f>
        <v>81902909.689999998</v>
      </c>
      <c r="E276" s="274"/>
      <c r="F276" s="274"/>
      <c r="G276" s="242">
        <f>SUM(G277,G282)</f>
        <v>18966475.969999999</v>
      </c>
      <c r="H276" s="243">
        <f>SUM(H277,H282)</f>
        <v>100869385.66</v>
      </c>
    </row>
    <row r="277" spans="1:10" x14ac:dyDescent="0.2">
      <c r="A277" s="1233"/>
      <c r="B277" s="244"/>
      <c r="C277" s="245" t="s">
        <v>86</v>
      </c>
      <c r="D277" s="246">
        <f>SUM(D278:D281)</f>
        <v>74307441.879999995</v>
      </c>
      <c r="E277" s="261"/>
      <c r="F277" s="261"/>
      <c r="G277" s="46">
        <f>SUM(G278:G281)</f>
        <v>677999.99999999988</v>
      </c>
      <c r="H277" s="248">
        <f>SUM(H278:H281)</f>
        <v>74985441.879999995</v>
      </c>
    </row>
    <row r="278" spans="1:10" x14ac:dyDescent="0.2">
      <c r="A278" s="1233"/>
      <c r="B278" s="593">
        <v>53103040100000</v>
      </c>
      <c r="C278" s="594" t="s">
        <v>87</v>
      </c>
      <c r="D278" s="277">
        <f>+'F) Remuneraciones'!L77</f>
        <v>73571724.879999995</v>
      </c>
      <c r="E278" s="249">
        <v>0</v>
      </c>
      <c r="F278" s="605">
        <v>0</v>
      </c>
      <c r="G278" s="249">
        <f>E278*F278</f>
        <v>0</v>
      </c>
      <c r="H278" s="250">
        <f>D278+G278</f>
        <v>73571724.879999995</v>
      </c>
    </row>
    <row r="279" spans="1:10" x14ac:dyDescent="0.2">
      <c r="A279" s="1233"/>
      <c r="B279" s="593">
        <v>53103050000000</v>
      </c>
      <c r="C279" s="594" t="s">
        <v>152</v>
      </c>
      <c r="D279" s="251">
        <v>0</v>
      </c>
      <c r="E279" s="252">
        <v>0</v>
      </c>
      <c r="F279" s="253">
        <v>0</v>
      </c>
      <c r="G279" s="249">
        <f>E279*F279</f>
        <v>0</v>
      </c>
      <c r="H279" s="250">
        <f>D279+G279</f>
        <v>0</v>
      </c>
    </row>
    <row r="280" spans="1:10" x14ac:dyDescent="0.2">
      <c r="A280" s="1233"/>
      <c r="B280" s="598">
        <v>53103040400000</v>
      </c>
      <c r="C280" s="599" t="s">
        <v>89</v>
      </c>
      <c r="D280" s="251">
        <v>735717</v>
      </c>
      <c r="E280" s="252">
        <v>0</v>
      </c>
      <c r="F280" s="253">
        <v>0</v>
      </c>
      <c r="G280" s="249">
        <f>E280*F280</f>
        <v>0</v>
      </c>
      <c r="H280" s="250">
        <f>D280+G280</f>
        <v>735717</v>
      </c>
    </row>
    <row r="281" spans="1:10" x14ac:dyDescent="0.2">
      <c r="A281" s="1233"/>
      <c r="B281" s="593">
        <v>53103080010000</v>
      </c>
      <c r="C281" s="594" t="s">
        <v>90</v>
      </c>
      <c r="D281" s="251">
        <v>0</v>
      </c>
      <c r="E281" s="252">
        <f>50000*1.13</f>
        <v>56499.999999999993</v>
      </c>
      <c r="F281" s="253">
        <f>2*6</f>
        <v>12</v>
      </c>
      <c r="G281" s="249">
        <f>E281*F281</f>
        <v>677999.99999999988</v>
      </c>
      <c r="H281" s="250">
        <f>D281+G281</f>
        <v>677999.99999999988</v>
      </c>
    </row>
    <row r="282" spans="1:10" x14ac:dyDescent="0.2">
      <c r="A282" s="1233"/>
      <c r="B282" s="244"/>
      <c r="C282" s="245" t="s">
        <v>91</v>
      </c>
      <c r="D282" s="246">
        <f>SUM(D283:D302)</f>
        <v>7595467.8100000005</v>
      </c>
      <c r="E282" s="261"/>
      <c r="F282" s="261"/>
      <c r="G282" s="246">
        <f>SUM(G283:G302)</f>
        <v>18288475.969999999</v>
      </c>
      <c r="H282" s="248">
        <f>SUM(H283:H302)</f>
        <v>25883943.780000001</v>
      </c>
    </row>
    <row r="283" spans="1:10" x14ac:dyDescent="0.2">
      <c r="A283" s="1233"/>
      <c r="B283" s="593">
        <v>53201010100000</v>
      </c>
      <c r="C283" s="594" t="s">
        <v>92</v>
      </c>
      <c r="D283" s="251">
        <v>0</v>
      </c>
      <c r="E283" s="252">
        <v>1859</v>
      </c>
      <c r="F283" s="720">
        <f>9*20*11</f>
        <v>1980</v>
      </c>
      <c r="G283" s="249">
        <f t="shared" ref="G283:G302" si="47">E283*F283</f>
        <v>3680820</v>
      </c>
      <c r="H283" s="250">
        <f t="shared" ref="H283:H302" si="48">D283+G283</f>
        <v>3680820</v>
      </c>
    </row>
    <row r="284" spans="1:10" x14ac:dyDescent="0.2">
      <c r="A284" s="1233"/>
      <c r="B284" s="593">
        <v>53201010100000</v>
      </c>
      <c r="C284" s="594" t="s">
        <v>93</v>
      </c>
      <c r="D284" s="251">
        <v>0</v>
      </c>
      <c r="E284" s="252">
        <f>1300*1.13</f>
        <v>1468.9999999999998</v>
      </c>
      <c r="F284" s="720">
        <f>34*20 *11</f>
        <v>7480</v>
      </c>
      <c r="G284" s="249">
        <f t="shared" si="47"/>
        <v>10988119.999999998</v>
      </c>
      <c r="H284" s="250">
        <f t="shared" si="48"/>
        <v>10988119.999999998</v>
      </c>
    </row>
    <row r="285" spans="1:10" x14ac:dyDescent="0.2">
      <c r="A285" s="1233"/>
      <c r="B285" s="593">
        <v>53201010100000</v>
      </c>
      <c r="C285" s="594" t="s">
        <v>94</v>
      </c>
      <c r="D285" s="251">
        <v>0</v>
      </c>
      <c r="E285" s="252">
        <f>E283</f>
        <v>1859</v>
      </c>
      <c r="F285" s="720">
        <f>2*20*6</f>
        <v>240</v>
      </c>
      <c r="G285" s="249">
        <f t="shared" si="47"/>
        <v>446160</v>
      </c>
      <c r="H285" s="250">
        <f t="shared" si="48"/>
        <v>446160</v>
      </c>
    </row>
    <row r="286" spans="1:10" x14ac:dyDescent="0.2">
      <c r="A286" s="1233"/>
      <c r="B286" s="593">
        <v>53202010100000</v>
      </c>
      <c r="C286" s="594" t="s">
        <v>95</v>
      </c>
      <c r="D286" s="252">
        <v>0</v>
      </c>
      <c r="E286" s="252">
        <v>0</v>
      </c>
      <c r="F286" s="721">
        <v>0</v>
      </c>
      <c r="G286" s="249">
        <f t="shared" si="47"/>
        <v>0</v>
      </c>
      <c r="H286" s="250">
        <f t="shared" si="48"/>
        <v>0</v>
      </c>
    </row>
    <row r="287" spans="1:10" x14ac:dyDescent="0.2">
      <c r="A287" s="1233"/>
      <c r="B287" s="593">
        <v>53203010100000</v>
      </c>
      <c r="C287" s="594" t="s">
        <v>96</v>
      </c>
      <c r="D287" s="257">
        <v>0</v>
      </c>
      <c r="E287" s="257">
        <v>0</v>
      </c>
      <c r="F287" s="325">
        <v>0</v>
      </c>
      <c r="G287" s="249">
        <f t="shared" si="47"/>
        <v>0</v>
      </c>
      <c r="H287" s="250">
        <f t="shared" si="48"/>
        <v>0</v>
      </c>
    </row>
    <row r="288" spans="1:10" x14ac:dyDescent="0.2">
      <c r="A288" s="1233"/>
      <c r="B288" s="593">
        <v>53203030000000</v>
      </c>
      <c r="C288" s="594" t="s">
        <v>97</v>
      </c>
      <c r="D288" s="257">
        <v>0</v>
      </c>
      <c r="E288" s="257">
        <f>349989*1.13</f>
        <v>395487.56999999995</v>
      </c>
      <c r="F288" s="325">
        <v>1</v>
      </c>
      <c r="G288" s="249">
        <f t="shared" si="47"/>
        <v>395487.56999999995</v>
      </c>
      <c r="H288" s="250">
        <f t="shared" si="48"/>
        <v>395487.56999999995</v>
      </c>
    </row>
    <row r="289" spans="1:8" x14ac:dyDescent="0.2">
      <c r="A289" s="1233"/>
      <c r="B289" s="593">
        <v>53204030000000</v>
      </c>
      <c r="C289" s="594" t="s">
        <v>98</v>
      </c>
      <c r="D289" s="257">
        <v>0</v>
      </c>
      <c r="E289" s="257">
        <f>18990*1.13</f>
        <v>21458.699999999997</v>
      </c>
      <c r="F289" s="325">
        <v>6</v>
      </c>
      <c r="G289" s="249">
        <f t="shared" si="47"/>
        <v>128752.19999999998</v>
      </c>
      <c r="H289" s="250">
        <f t="shared" si="48"/>
        <v>128752.19999999998</v>
      </c>
    </row>
    <row r="290" spans="1:8" x14ac:dyDescent="0.2">
      <c r="A290" s="1233"/>
      <c r="B290" s="593">
        <v>53204100100001</v>
      </c>
      <c r="C290" s="594" t="s">
        <v>99</v>
      </c>
      <c r="D290" s="716">
        <f>'H) Detalle Datos'!AY50</f>
        <v>443448.1</v>
      </c>
      <c r="E290" s="716">
        <f>26390*1.13</f>
        <v>29820.699999999997</v>
      </c>
      <c r="F290" s="717">
        <v>6</v>
      </c>
      <c r="G290" s="718">
        <f t="shared" si="47"/>
        <v>178924.19999999998</v>
      </c>
      <c r="H290" s="719">
        <f t="shared" si="48"/>
        <v>622372.29999999993</v>
      </c>
    </row>
    <row r="291" spans="1:8" ht="14.25" customHeight="1" x14ac:dyDescent="0.2">
      <c r="A291" s="1233"/>
      <c r="B291" s="593">
        <v>53204130100000</v>
      </c>
      <c r="C291" s="594" t="s">
        <v>100</v>
      </c>
      <c r="D291" s="716">
        <f>'H) Detalle Datos'!U18</f>
        <v>752980</v>
      </c>
      <c r="E291" s="716"/>
      <c r="F291" s="717">
        <v>0</v>
      </c>
      <c r="G291" s="718">
        <f t="shared" si="47"/>
        <v>0</v>
      </c>
      <c r="H291" s="719">
        <f t="shared" si="48"/>
        <v>752980</v>
      </c>
    </row>
    <row r="292" spans="1:8" x14ac:dyDescent="0.2">
      <c r="A292" s="1233"/>
      <c r="B292" s="593">
        <v>53205010100000</v>
      </c>
      <c r="C292" s="594" t="s">
        <v>101</v>
      </c>
      <c r="D292" s="326">
        <f>1944431*1.13</f>
        <v>2197207.0299999998</v>
      </c>
      <c r="E292" s="257">
        <v>0</v>
      </c>
      <c r="F292" s="325">
        <v>0</v>
      </c>
      <c r="G292" s="249">
        <f t="shared" si="47"/>
        <v>0</v>
      </c>
      <c r="H292" s="250">
        <f t="shared" si="48"/>
        <v>2197207.0299999998</v>
      </c>
    </row>
    <row r="293" spans="1:8" x14ac:dyDescent="0.2">
      <c r="A293" s="1233"/>
      <c r="B293" s="593">
        <v>53205020100000</v>
      </c>
      <c r="C293" s="594" t="s">
        <v>102</v>
      </c>
      <c r="D293" s="326">
        <f>1362947*1.13</f>
        <v>1540130.1099999999</v>
      </c>
      <c r="E293" s="257">
        <v>0</v>
      </c>
      <c r="F293" s="325">
        <v>0</v>
      </c>
      <c r="G293" s="249">
        <f t="shared" si="47"/>
        <v>0</v>
      </c>
      <c r="H293" s="250">
        <f t="shared" si="48"/>
        <v>1540130.1099999999</v>
      </c>
    </row>
    <row r="294" spans="1:8" ht="12.75" customHeight="1" x14ac:dyDescent="0.2">
      <c r="A294" s="1233"/>
      <c r="B294" s="593">
        <v>53205030100000</v>
      </c>
      <c r="C294" s="594" t="s">
        <v>103</v>
      </c>
      <c r="D294" s="326">
        <f>2355489*1.13</f>
        <v>2661702.5699999998</v>
      </c>
      <c r="E294" s="257">
        <v>0</v>
      </c>
      <c r="F294" s="325">
        <v>0</v>
      </c>
      <c r="G294" s="249">
        <f t="shared" si="47"/>
        <v>0</v>
      </c>
      <c r="H294" s="250">
        <f t="shared" si="48"/>
        <v>2661702.5699999998</v>
      </c>
    </row>
    <row r="295" spans="1:8" x14ac:dyDescent="0.2">
      <c r="A295" s="1233"/>
      <c r="B295" s="593">
        <v>53205050100000</v>
      </c>
      <c r="C295" s="594" t="s">
        <v>104</v>
      </c>
      <c r="D295" s="326">
        <v>0</v>
      </c>
      <c r="E295" s="257">
        <v>23480</v>
      </c>
      <c r="F295" s="325">
        <v>12</v>
      </c>
      <c r="G295" s="249">
        <f t="shared" si="47"/>
        <v>281760</v>
      </c>
      <c r="H295" s="250">
        <f t="shared" si="48"/>
        <v>281760</v>
      </c>
    </row>
    <row r="296" spans="1:8" x14ac:dyDescent="0.2">
      <c r="A296" s="1233"/>
      <c r="B296" s="593">
        <v>53205070100000</v>
      </c>
      <c r="C296" s="594" t="s">
        <v>105</v>
      </c>
      <c r="D296" s="257">
        <v>0</v>
      </c>
      <c r="E296" s="257">
        <v>0</v>
      </c>
      <c r="F296" s="325">
        <v>0</v>
      </c>
      <c r="G296" s="249">
        <f t="shared" si="47"/>
        <v>0</v>
      </c>
      <c r="H296" s="250">
        <f t="shared" si="48"/>
        <v>0</v>
      </c>
    </row>
    <row r="297" spans="1:8" x14ac:dyDescent="0.2">
      <c r="A297" s="1233"/>
      <c r="B297" s="593">
        <v>53208010100000</v>
      </c>
      <c r="C297" s="594" t="s">
        <v>106</v>
      </c>
      <c r="D297" s="257">
        <v>0</v>
      </c>
      <c r="E297" s="257">
        <v>50134</v>
      </c>
      <c r="F297" s="325">
        <v>12</v>
      </c>
      <c r="G297" s="249">
        <f t="shared" si="47"/>
        <v>601608</v>
      </c>
      <c r="H297" s="250">
        <f t="shared" si="48"/>
        <v>601608</v>
      </c>
    </row>
    <row r="298" spans="1:8" x14ac:dyDescent="0.2">
      <c r="A298" s="1233"/>
      <c r="B298" s="593">
        <v>53208070100001</v>
      </c>
      <c r="C298" s="594" t="s">
        <v>107</v>
      </c>
      <c r="D298" s="252">
        <v>0</v>
      </c>
      <c r="E298" s="252">
        <v>0</v>
      </c>
      <c r="F298" s="324">
        <v>0</v>
      </c>
      <c r="G298" s="249">
        <f t="shared" si="47"/>
        <v>0</v>
      </c>
      <c r="H298" s="250">
        <f t="shared" si="48"/>
        <v>0</v>
      </c>
    </row>
    <row r="299" spans="1:8" x14ac:dyDescent="0.2">
      <c r="A299" s="1233"/>
      <c r="B299" s="593">
        <v>53208100100001</v>
      </c>
      <c r="C299" s="594" t="s">
        <v>108</v>
      </c>
      <c r="D299" s="257">
        <v>0</v>
      </c>
      <c r="E299" s="257">
        <v>0</v>
      </c>
      <c r="F299" s="325">
        <v>0</v>
      </c>
      <c r="G299" s="249">
        <f t="shared" si="47"/>
        <v>0</v>
      </c>
      <c r="H299" s="250">
        <f t="shared" si="48"/>
        <v>0</v>
      </c>
    </row>
    <row r="300" spans="1:8" x14ac:dyDescent="0.2">
      <c r="A300" s="1233"/>
      <c r="B300" s="593">
        <v>53211030000000</v>
      </c>
      <c r="C300" s="594" t="s">
        <v>109</v>
      </c>
      <c r="D300" s="257">
        <v>0</v>
      </c>
      <c r="E300" s="257">
        <v>0</v>
      </c>
      <c r="F300" s="325">
        <v>0</v>
      </c>
      <c r="G300" s="249">
        <f t="shared" si="47"/>
        <v>0</v>
      </c>
      <c r="H300" s="250">
        <f t="shared" si="48"/>
        <v>0</v>
      </c>
    </row>
    <row r="301" spans="1:8" x14ac:dyDescent="0.2">
      <c r="A301" s="1233"/>
      <c r="B301" s="593">
        <v>53212020100000</v>
      </c>
      <c r="C301" s="594" t="s">
        <v>110</v>
      </c>
      <c r="D301" s="257">
        <v>0</v>
      </c>
      <c r="E301" s="716">
        <f>58772*3</f>
        <v>176316</v>
      </c>
      <c r="F301" s="717">
        <v>9</v>
      </c>
      <c r="G301" s="718">
        <f t="shared" si="47"/>
        <v>1586844</v>
      </c>
      <c r="H301" s="719">
        <f t="shared" si="48"/>
        <v>1586844</v>
      </c>
    </row>
    <row r="302" spans="1:8" ht="13.5" customHeight="1" x14ac:dyDescent="0.2">
      <c r="A302" s="1233"/>
      <c r="B302" s="593">
        <v>53214020000000</v>
      </c>
      <c r="C302" s="594" t="s">
        <v>111</v>
      </c>
      <c r="D302" s="252"/>
      <c r="E302" s="252">
        <v>0</v>
      </c>
      <c r="F302" s="324">
        <v>0</v>
      </c>
      <c r="G302" s="249">
        <f t="shared" si="47"/>
        <v>0</v>
      </c>
      <c r="H302" s="250">
        <f t="shared" si="48"/>
        <v>0</v>
      </c>
    </row>
    <row r="303" spans="1:8" x14ac:dyDescent="0.2">
      <c r="A303" s="1233"/>
      <c r="B303" s="238"/>
      <c r="C303" s="239" t="s">
        <v>112</v>
      </c>
      <c r="D303" s="606">
        <f>+D304+D309+D311+D320+D329+D337</f>
        <v>2411972</v>
      </c>
      <c r="E303" s="274"/>
      <c r="F303" s="274"/>
      <c r="G303" s="240">
        <f>SUM(G304,G309,G311,G320,G329,G337)</f>
        <v>6010487.4199999999</v>
      </c>
      <c r="H303" s="606">
        <f>SUM(H304,H309,H311,H320,H329,H337)</f>
        <v>11454836.42</v>
      </c>
    </row>
    <row r="304" spans="1:8" x14ac:dyDescent="0.2">
      <c r="A304" s="1233"/>
      <c r="B304" s="244"/>
      <c r="C304" s="245" t="s">
        <v>113</v>
      </c>
      <c r="D304" s="246">
        <f>SUM(D305:D308)</f>
        <v>239940</v>
      </c>
      <c r="E304" s="261"/>
      <c r="F304" s="261"/>
      <c r="G304" s="246">
        <f>SUM(G305:G308)</f>
        <v>1015560.1</v>
      </c>
      <c r="H304" s="246">
        <f>SUM(H305:H308)</f>
        <v>1255500.1000000001</v>
      </c>
    </row>
    <row r="305" spans="1:8" x14ac:dyDescent="0.2">
      <c r="A305" s="1233"/>
      <c r="B305" s="593">
        <v>53202020100000</v>
      </c>
      <c r="C305" s="594" t="s">
        <v>114</v>
      </c>
      <c r="D305" s="251">
        <f>D173*3</f>
        <v>239940</v>
      </c>
      <c r="E305" s="252">
        <f>25573+20000*1.13</f>
        <v>48173</v>
      </c>
      <c r="F305" s="327">
        <v>8</v>
      </c>
      <c r="G305" s="249">
        <f>E305*F305</f>
        <v>385384</v>
      </c>
      <c r="H305" s="250">
        <f>D305+G305</f>
        <v>625324</v>
      </c>
    </row>
    <row r="306" spans="1:8" x14ac:dyDescent="0.2">
      <c r="A306" s="1233"/>
      <c r="B306" s="593">
        <v>53202030000000</v>
      </c>
      <c r="C306" s="594" t="s">
        <v>115</v>
      </c>
      <c r="D306" s="251">
        <v>0</v>
      </c>
      <c r="E306" s="252">
        <f>38990*1.13</f>
        <v>44058.7</v>
      </c>
      <c r="F306" s="327">
        <v>3</v>
      </c>
      <c r="G306" s="249">
        <f>E306*F306</f>
        <v>132176.09999999998</v>
      </c>
      <c r="H306" s="250">
        <f>D306+G306</f>
        <v>132176.09999999998</v>
      </c>
    </row>
    <row r="307" spans="1:8" x14ac:dyDescent="0.2">
      <c r="A307" s="1233"/>
      <c r="B307" s="593">
        <v>53211020000000</v>
      </c>
      <c r="C307" s="594" t="s">
        <v>116</v>
      </c>
      <c r="D307" s="257">
        <v>0</v>
      </c>
      <c r="E307" s="257">
        <v>249000</v>
      </c>
      <c r="F307" s="328">
        <v>2</v>
      </c>
      <c r="G307" s="249">
        <f>E307*F307</f>
        <v>498000</v>
      </c>
      <c r="H307" s="250">
        <f>D307+G307</f>
        <v>498000</v>
      </c>
    </row>
    <row r="308" spans="1:8" x14ac:dyDescent="0.2">
      <c r="A308" s="1233"/>
      <c r="B308" s="593">
        <v>53101040600000</v>
      </c>
      <c r="C308" s="594" t="s">
        <v>117</v>
      </c>
      <c r="D308" s="257">
        <v>0</v>
      </c>
      <c r="E308" s="257">
        <v>0</v>
      </c>
      <c r="F308" s="328">
        <v>0</v>
      </c>
      <c r="G308" s="249">
        <f>E308*F308</f>
        <v>0</v>
      </c>
      <c r="H308" s="250">
        <f>D308+G308</f>
        <v>0</v>
      </c>
    </row>
    <row r="309" spans="1:8" x14ac:dyDescent="0.2">
      <c r="A309" s="1233"/>
      <c r="B309" s="244"/>
      <c r="C309" s="245" t="s">
        <v>118</v>
      </c>
      <c r="D309" s="246">
        <f>SUM(D310)</f>
        <v>0</v>
      </c>
      <c r="E309" s="261"/>
      <c r="F309" s="261"/>
      <c r="G309" s="261">
        <f>SUM(G310:G310)</f>
        <v>0</v>
      </c>
      <c r="H309" s="246">
        <f>SUM(H310:H310)</f>
        <v>0</v>
      </c>
    </row>
    <row r="310" spans="1:8" x14ac:dyDescent="0.2">
      <c r="A310" s="1233"/>
      <c r="B310" s="601">
        <v>53205990000000</v>
      </c>
      <c r="C310" s="594" t="s">
        <v>119</v>
      </c>
      <c r="D310" s="257">
        <v>0</v>
      </c>
      <c r="E310" s="257">
        <v>0</v>
      </c>
      <c r="F310" s="328">
        <v>0</v>
      </c>
      <c r="G310" s="249">
        <f>E310*F310</f>
        <v>0</v>
      </c>
      <c r="H310" s="250">
        <f>D310+G310</f>
        <v>0</v>
      </c>
    </row>
    <row r="311" spans="1:8" x14ac:dyDescent="0.2">
      <c r="A311" s="1233"/>
      <c r="B311" s="244"/>
      <c r="C311" s="245" t="s">
        <v>120</v>
      </c>
      <c r="D311" s="246">
        <f>SUM(D312:D319)</f>
        <v>2172032</v>
      </c>
      <c r="E311" s="261"/>
      <c r="F311" s="261"/>
      <c r="G311" s="246">
        <f>SUM(G312:G319)</f>
        <v>1844160</v>
      </c>
      <c r="H311" s="246">
        <f>SUM(H312:H319)</f>
        <v>4016192</v>
      </c>
    </row>
    <row r="312" spans="1:8" x14ac:dyDescent="0.2">
      <c r="A312" s="1233"/>
      <c r="B312" s="593">
        <v>53204010000000</v>
      </c>
      <c r="C312" s="594" t="s">
        <v>121</v>
      </c>
      <c r="D312" s="257">
        <v>776367</v>
      </c>
      <c r="E312" s="257">
        <v>0</v>
      </c>
      <c r="F312" s="328">
        <v>0</v>
      </c>
      <c r="G312" s="249">
        <f t="shared" ref="G312:G319" si="49">E312*F312</f>
        <v>0</v>
      </c>
      <c r="H312" s="250">
        <f t="shared" ref="H312:H319" si="50">D312+G312</f>
        <v>776367</v>
      </c>
    </row>
    <row r="313" spans="1:8" x14ac:dyDescent="0.2">
      <c r="A313" s="1233"/>
      <c r="B313" s="601">
        <v>53204040200000</v>
      </c>
      <c r="C313" s="594" t="s">
        <v>122</v>
      </c>
      <c r="D313" s="257">
        <v>0</v>
      </c>
      <c r="E313" s="257">
        <f>18000*1.13</f>
        <v>20339.999999999996</v>
      </c>
      <c r="F313" s="328">
        <v>4</v>
      </c>
      <c r="G313" s="249">
        <f t="shared" si="49"/>
        <v>81359.999999999985</v>
      </c>
      <c r="H313" s="250">
        <f t="shared" si="50"/>
        <v>81359.999999999985</v>
      </c>
    </row>
    <row r="314" spans="1:8" x14ac:dyDescent="0.2">
      <c r="A314" s="1233"/>
      <c r="B314" s="593">
        <v>53204060000000</v>
      </c>
      <c r="C314" s="594" t="s">
        <v>123</v>
      </c>
      <c r="D314" s="716">
        <v>0</v>
      </c>
      <c r="E314" s="716">
        <v>0</v>
      </c>
      <c r="F314" s="717">
        <v>0</v>
      </c>
      <c r="G314" s="249">
        <f t="shared" si="49"/>
        <v>0</v>
      </c>
      <c r="H314" s="250">
        <f t="shared" si="50"/>
        <v>0</v>
      </c>
    </row>
    <row r="315" spans="1:8" x14ac:dyDescent="0.2">
      <c r="A315" s="1233"/>
      <c r="B315" s="593">
        <v>53204070000000</v>
      </c>
      <c r="C315" s="594" t="s">
        <v>124</v>
      </c>
      <c r="D315" s="716">
        <f>'H) Detalle Datos'!E29+'H) Detalle Datos'!I29</f>
        <v>1016540</v>
      </c>
      <c r="E315" s="284">
        <f>130000*1.13</f>
        <v>146900</v>
      </c>
      <c r="F315" s="717">
        <v>12</v>
      </c>
      <c r="G315" s="718">
        <f t="shared" si="49"/>
        <v>1762800</v>
      </c>
      <c r="H315" s="719">
        <f t="shared" si="50"/>
        <v>2779340</v>
      </c>
    </row>
    <row r="316" spans="1:8" x14ac:dyDescent="0.2">
      <c r="A316" s="1233"/>
      <c r="B316" s="593">
        <v>53204080000000</v>
      </c>
      <c r="C316" s="594" t="s">
        <v>125</v>
      </c>
      <c r="D316" s="257">
        <f>'H) Detalle Datos'!U21</f>
        <v>229125</v>
      </c>
      <c r="E316" s="257"/>
      <c r="F316" s="328">
        <v>0</v>
      </c>
      <c r="G316" s="249">
        <f t="shared" si="49"/>
        <v>0</v>
      </c>
      <c r="H316" s="250">
        <f t="shared" si="50"/>
        <v>229125</v>
      </c>
    </row>
    <row r="317" spans="1:8" x14ac:dyDescent="0.2">
      <c r="A317" s="1233"/>
      <c r="B317" s="593">
        <v>53214010000000</v>
      </c>
      <c r="C317" s="594" t="s">
        <v>126</v>
      </c>
      <c r="D317" s="252"/>
      <c r="E317" s="252"/>
      <c r="F317" s="327">
        <v>0</v>
      </c>
      <c r="G317" s="249">
        <f t="shared" si="49"/>
        <v>0</v>
      </c>
      <c r="H317" s="250">
        <f t="shared" si="50"/>
        <v>0</v>
      </c>
    </row>
    <row r="318" spans="1:8" x14ac:dyDescent="0.2">
      <c r="A318" s="1233"/>
      <c r="B318" s="593">
        <v>53214040000000</v>
      </c>
      <c r="C318" s="594" t="s">
        <v>127</v>
      </c>
      <c r="D318" s="252">
        <v>150000</v>
      </c>
      <c r="E318" s="252">
        <v>0</v>
      </c>
      <c r="F318" s="327">
        <v>0</v>
      </c>
      <c r="G318" s="249">
        <f t="shared" si="49"/>
        <v>0</v>
      </c>
      <c r="H318" s="250">
        <f t="shared" si="50"/>
        <v>150000</v>
      </c>
    </row>
    <row r="319" spans="1:8" x14ac:dyDescent="0.2">
      <c r="A319" s="1233"/>
      <c r="B319" s="598">
        <v>53204020100000</v>
      </c>
      <c r="C319" s="594" t="s">
        <v>128</v>
      </c>
      <c r="D319" s="257">
        <v>0</v>
      </c>
      <c r="E319" s="257">
        <v>0</v>
      </c>
      <c r="F319" s="328">
        <v>0</v>
      </c>
      <c r="G319" s="249">
        <f t="shared" si="49"/>
        <v>0</v>
      </c>
      <c r="H319" s="250">
        <f t="shared" si="50"/>
        <v>0</v>
      </c>
    </row>
    <row r="320" spans="1:8" x14ac:dyDescent="0.2">
      <c r="A320" s="1233"/>
      <c r="B320" s="244"/>
      <c r="C320" s="245" t="s">
        <v>129</v>
      </c>
      <c r="D320" s="246"/>
      <c r="E320" s="261"/>
      <c r="F320" s="261"/>
      <c r="G320" s="246">
        <f>SUM(G321:G328)</f>
        <v>2049921.3199999998</v>
      </c>
      <c r="H320" s="248">
        <f>SUM(H321:H328)</f>
        <v>5082298.32</v>
      </c>
    </row>
    <row r="321" spans="1:8" x14ac:dyDescent="0.2">
      <c r="A321" s="1233"/>
      <c r="B321" s="593">
        <v>53207010000000</v>
      </c>
      <c r="C321" s="594" t="s">
        <v>130</v>
      </c>
      <c r="D321" s="257">
        <v>0</v>
      </c>
      <c r="E321" s="257">
        <v>0</v>
      </c>
      <c r="F321" s="328">
        <v>0</v>
      </c>
      <c r="G321" s="249">
        <f t="shared" ref="G321:G328" si="51">E321*F321</f>
        <v>0</v>
      </c>
      <c r="H321" s="250">
        <f t="shared" ref="H321:H328" si="52">D321+G321</f>
        <v>0</v>
      </c>
    </row>
    <row r="322" spans="1:8" x14ac:dyDescent="0.2">
      <c r="A322" s="1233"/>
      <c r="B322" s="593">
        <v>53207020000000</v>
      </c>
      <c r="C322" s="594" t="s">
        <v>131</v>
      </c>
      <c r="D322" s="257">
        <v>0</v>
      </c>
      <c r="E322" s="257">
        <v>0</v>
      </c>
      <c r="F322" s="328">
        <v>0</v>
      </c>
      <c r="G322" s="249">
        <f t="shared" si="51"/>
        <v>0</v>
      </c>
      <c r="H322" s="250">
        <f t="shared" si="52"/>
        <v>0</v>
      </c>
    </row>
    <row r="323" spans="1:8" x14ac:dyDescent="0.2">
      <c r="A323" s="1233"/>
      <c r="B323" s="593">
        <v>53208020000000</v>
      </c>
      <c r="C323" s="594" t="s">
        <v>132</v>
      </c>
      <c r="D323" s="257">
        <v>0</v>
      </c>
      <c r="E323" s="257">
        <f>92500*1.13</f>
        <v>104524.99999999999</v>
      </c>
      <c r="F323" s="328">
        <v>12</v>
      </c>
      <c r="G323" s="249">
        <f t="shared" si="51"/>
        <v>1254299.9999999998</v>
      </c>
      <c r="H323" s="250">
        <f t="shared" si="52"/>
        <v>1254299.9999999998</v>
      </c>
    </row>
    <row r="324" spans="1:8" x14ac:dyDescent="0.2">
      <c r="A324" s="1233"/>
      <c r="B324" s="593">
        <v>53208990000000</v>
      </c>
      <c r="C324" s="594" t="s">
        <v>133</v>
      </c>
      <c r="D324" s="257">
        <v>0</v>
      </c>
      <c r="E324" s="257">
        <f>114341*1.13</f>
        <v>129205.32999999999</v>
      </c>
      <c r="F324" s="328">
        <v>4</v>
      </c>
      <c r="G324" s="249">
        <f t="shared" si="51"/>
        <v>516821.31999999995</v>
      </c>
      <c r="H324" s="250">
        <f t="shared" si="52"/>
        <v>516821.31999999995</v>
      </c>
    </row>
    <row r="325" spans="1:8" x14ac:dyDescent="0.2">
      <c r="A325" s="1233"/>
      <c r="B325" s="598">
        <v>53210020300000</v>
      </c>
      <c r="C325" s="594" t="s">
        <v>134</v>
      </c>
      <c r="D325" s="284">
        <v>0</v>
      </c>
      <c r="E325" s="41">
        <v>8200</v>
      </c>
      <c r="F325" s="329">
        <f>+'B) Reajuste Tarifas y Ocupación'!I48</f>
        <v>34</v>
      </c>
      <c r="G325" s="249">
        <f t="shared" si="51"/>
        <v>278800</v>
      </c>
      <c r="H325" s="250">
        <f t="shared" si="52"/>
        <v>278800</v>
      </c>
    </row>
    <row r="326" spans="1:8" x14ac:dyDescent="0.2">
      <c r="A326" s="1233"/>
      <c r="B326" s="593">
        <v>53208990000000</v>
      </c>
      <c r="C326" s="594" t="s">
        <v>135</v>
      </c>
      <c r="D326" s="257">
        <v>0</v>
      </c>
      <c r="E326" s="257">
        <v>0</v>
      </c>
      <c r="F326" s="328">
        <v>0</v>
      </c>
      <c r="G326" s="249">
        <f t="shared" si="51"/>
        <v>0</v>
      </c>
      <c r="H326" s="250">
        <f t="shared" si="52"/>
        <v>0</v>
      </c>
    </row>
    <row r="327" spans="1:8" x14ac:dyDescent="0.2">
      <c r="A327" s="1233"/>
      <c r="B327" s="593">
        <v>53209990000000</v>
      </c>
      <c r="C327" s="594" t="s">
        <v>136</v>
      </c>
      <c r="D327" s="257">
        <v>0</v>
      </c>
      <c r="E327" s="257">
        <v>0</v>
      </c>
      <c r="F327" s="328">
        <v>0</v>
      </c>
      <c r="G327" s="249">
        <f t="shared" si="51"/>
        <v>0</v>
      </c>
      <c r="H327" s="250">
        <f t="shared" si="52"/>
        <v>0</v>
      </c>
    </row>
    <row r="328" spans="1:8" x14ac:dyDescent="0.2">
      <c r="A328" s="1233"/>
      <c r="B328" s="593">
        <v>53210020100000</v>
      </c>
      <c r="C328" s="594" t="s">
        <v>137</v>
      </c>
      <c r="D328" s="600">
        <v>3032377</v>
      </c>
      <c r="E328" s="257">
        <v>0</v>
      </c>
      <c r="F328" s="328">
        <v>0</v>
      </c>
      <c r="G328" s="249">
        <f t="shared" si="51"/>
        <v>0</v>
      </c>
      <c r="H328" s="250">
        <f t="shared" si="52"/>
        <v>3032377</v>
      </c>
    </row>
    <row r="329" spans="1:8" x14ac:dyDescent="0.2">
      <c r="A329" s="1233"/>
      <c r="B329" s="244"/>
      <c r="C329" s="245" t="s">
        <v>138</v>
      </c>
      <c r="D329" s="246">
        <f>SUM(D330:D336)</f>
        <v>0</v>
      </c>
      <c r="E329" s="261"/>
      <c r="F329" s="261"/>
      <c r="G329" s="246">
        <f>SUM(G330:G336)</f>
        <v>716645.99999999988</v>
      </c>
      <c r="H329" s="248">
        <f>SUM(H330:H336)</f>
        <v>716645.99999999988</v>
      </c>
    </row>
    <row r="330" spans="1:8" x14ac:dyDescent="0.2">
      <c r="A330" s="1233"/>
      <c r="B330" s="593">
        <v>53206030000000</v>
      </c>
      <c r="C330" s="594" t="s">
        <v>139</v>
      </c>
      <c r="D330" s="257">
        <v>0</v>
      </c>
      <c r="E330" s="257">
        <v>0</v>
      </c>
      <c r="F330" s="328">
        <v>0</v>
      </c>
      <c r="G330" s="249">
        <f t="shared" ref="G330:G336" si="53">E330*F330</f>
        <v>0</v>
      </c>
      <c r="H330" s="250">
        <f t="shared" ref="H330:H336" si="54">D330+G330</f>
        <v>0</v>
      </c>
    </row>
    <row r="331" spans="1:8" x14ac:dyDescent="0.2">
      <c r="A331" s="1233"/>
      <c r="B331" s="593">
        <v>53206040000000</v>
      </c>
      <c r="C331" s="594" t="s">
        <v>140</v>
      </c>
      <c r="D331" s="257">
        <v>0</v>
      </c>
      <c r="E331" s="257">
        <v>0</v>
      </c>
      <c r="F331" s="328">
        <v>0</v>
      </c>
      <c r="G331" s="249">
        <f t="shared" si="53"/>
        <v>0</v>
      </c>
      <c r="H331" s="250">
        <f t="shared" si="54"/>
        <v>0</v>
      </c>
    </row>
    <row r="332" spans="1:8" x14ac:dyDescent="0.2">
      <c r="A332" s="1233"/>
      <c r="B332" s="593">
        <v>53206060000000</v>
      </c>
      <c r="C332" s="594" t="s">
        <v>141</v>
      </c>
      <c r="D332" s="257">
        <v>0</v>
      </c>
      <c r="E332" s="257"/>
      <c r="F332" s="328">
        <v>0</v>
      </c>
      <c r="G332" s="249">
        <f t="shared" si="53"/>
        <v>0</v>
      </c>
      <c r="H332" s="250">
        <f t="shared" si="54"/>
        <v>0</v>
      </c>
    </row>
    <row r="333" spans="1:8" x14ac:dyDescent="0.2">
      <c r="A333" s="1233"/>
      <c r="B333" s="593">
        <v>53206070000000</v>
      </c>
      <c r="C333" s="594" t="s">
        <v>142</v>
      </c>
      <c r="D333" s="257">
        <v>0</v>
      </c>
      <c r="E333" s="257">
        <v>0</v>
      </c>
      <c r="F333" s="328">
        <v>0</v>
      </c>
      <c r="G333" s="249">
        <f t="shared" si="53"/>
        <v>0</v>
      </c>
      <c r="H333" s="250">
        <f t="shared" si="54"/>
        <v>0</v>
      </c>
    </row>
    <row r="334" spans="1:8" x14ac:dyDescent="0.2">
      <c r="A334" s="1233"/>
      <c r="B334" s="593">
        <v>53206990000000</v>
      </c>
      <c r="C334" s="594" t="s">
        <v>143</v>
      </c>
      <c r="D334" s="257">
        <v>0</v>
      </c>
      <c r="E334" s="257">
        <v>0</v>
      </c>
      <c r="F334" s="328">
        <v>0</v>
      </c>
      <c r="G334" s="249">
        <f t="shared" si="53"/>
        <v>0</v>
      </c>
      <c r="H334" s="250">
        <f t="shared" si="54"/>
        <v>0</v>
      </c>
    </row>
    <row r="335" spans="1:8" x14ac:dyDescent="0.2">
      <c r="A335" s="1233"/>
      <c r="B335" s="593">
        <v>53208030000000</v>
      </c>
      <c r="C335" s="594" t="s">
        <v>144</v>
      </c>
      <c r="D335" s="257">
        <v>0</v>
      </c>
      <c r="E335" s="257">
        <f>63420*1.13</f>
        <v>71664.599999999991</v>
      </c>
      <c r="F335" s="328">
        <v>10</v>
      </c>
      <c r="G335" s="249">
        <f t="shared" si="53"/>
        <v>716645.99999999988</v>
      </c>
      <c r="H335" s="250">
        <f t="shared" si="54"/>
        <v>716645.99999999988</v>
      </c>
    </row>
    <row r="336" spans="1:8" x14ac:dyDescent="0.2">
      <c r="A336" s="1233"/>
      <c r="B336" s="593">
        <v>53206990000000</v>
      </c>
      <c r="C336" s="594" t="s">
        <v>145</v>
      </c>
      <c r="D336" s="257"/>
      <c r="E336" s="257"/>
      <c r="F336" s="328"/>
      <c r="G336" s="249">
        <f t="shared" si="53"/>
        <v>0</v>
      </c>
      <c r="H336" s="250">
        <f t="shared" si="54"/>
        <v>0</v>
      </c>
    </row>
    <row r="337" spans="1:10" x14ac:dyDescent="0.2">
      <c r="A337" s="1233"/>
      <c r="B337" s="244"/>
      <c r="C337" s="245" t="s">
        <v>146</v>
      </c>
      <c r="D337" s="246">
        <f>SUM(D338:D338)</f>
        <v>0</v>
      </c>
      <c r="E337" s="261"/>
      <c r="F337" s="261"/>
      <c r="G337" s="246">
        <f>SUM(G338:G338)</f>
        <v>384199.99999999994</v>
      </c>
      <c r="H337" s="248">
        <f>SUM(H338:H338)</f>
        <v>384199.99999999994</v>
      </c>
    </row>
    <row r="338" spans="1:10" x14ac:dyDescent="0.2">
      <c r="A338" s="1233"/>
      <c r="B338" s="602"/>
      <c r="C338" s="603" t="s">
        <v>147</v>
      </c>
      <c r="D338" s="251">
        <v>0</v>
      </c>
      <c r="E338" s="251">
        <f>10000*1.13</f>
        <v>11299.999999999998</v>
      </c>
      <c r="F338" s="327">
        <v>34</v>
      </c>
      <c r="G338" s="249">
        <f>E338*F338</f>
        <v>384199.99999999994</v>
      </c>
      <c r="H338" s="266">
        <f>D338+G338</f>
        <v>384199.99999999994</v>
      </c>
      <c r="I338" s="711" t="s">
        <v>148</v>
      </c>
      <c r="J338" s="712">
        <f>+H336+H335+H334+H333+H332+H331+H330+H328+H327+H326+H325+H324+H323+H322+H321+H319+H316+H315+H314+H313+H312+H310+H308+H307+H301+H300+H299+H297+H296+H295+H294+H293+H292+H291+H290+H289+H288+H287</f>
        <v>20931980.100000001</v>
      </c>
    </row>
    <row r="339" spans="1:10" x14ac:dyDescent="0.2">
      <c r="A339" s="1233"/>
      <c r="B339" s="269"/>
      <c r="C339" s="285" t="s">
        <v>149</v>
      </c>
      <c r="D339" s="267">
        <f>SUM(D276,D303)</f>
        <v>84314881.689999998</v>
      </c>
      <c r="E339" s="267"/>
      <c r="F339" s="267"/>
      <c r="G339" s="267">
        <f>SUM(G276,G303)</f>
        <v>24976963.390000001</v>
      </c>
      <c r="H339" s="268">
        <f>SUM(H276,H303)</f>
        <v>112324222.08</v>
      </c>
      <c r="I339" s="713" t="s">
        <v>150</v>
      </c>
      <c r="J339" s="714">
        <f>+H339-J338</f>
        <v>91392241.979999989</v>
      </c>
    </row>
    <row r="340" spans="1:10" ht="12.75" customHeight="1" x14ac:dyDescent="0.2">
      <c r="A340" s="1235" t="s">
        <v>151</v>
      </c>
      <c r="B340" s="1236" t="s">
        <v>78</v>
      </c>
      <c r="C340" s="1237" t="s">
        <v>79</v>
      </c>
      <c r="D340" s="1247" t="s">
        <v>80</v>
      </c>
      <c r="E340" s="1248" t="s">
        <v>81</v>
      </c>
      <c r="F340" s="1248"/>
      <c r="G340" s="1248"/>
      <c r="H340" s="1246" t="s">
        <v>338</v>
      </c>
      <c r="I340" s="715"/>
      <c r="J340" s="715"/>
    </row>
    <row r="341" spans="1:10" ht="25.5" x14ac:dyDescent="0.2">
      <c r="A341" s="1235"/>
      <c r="B341" s="1236"/>
      <c r="C341" s="1237"/>
      <c r="D341" s="1247"/>
      <c r="E341" s="322" t="s">
        <v>82</v>
      </c>
      <c r="F341" s="323" t="s">
        <v>83</v>
      </c>
      <c r="G341" s="571" t="s">
        <v>84</v>
      </c>
      <c r="H341" s="1246"/>
    </row>
    <row r="342" spans="1:10" ht="15.75" customHeight="1" x14ac:dyDescent="0.2">
      <c r="A342" s="1233" t="s">
        <v>38</v>
      </c>
      <c r="B342" s="238"/>
      <c r="C342" s="239" t="s">
        <v>85</v>
      </c>
      <c r="D342" s="330">
        <f>+D343+D348</f>
        <v>0</v>
      </c>
      <c r="E342" s="241"/>
      <c r="F342" s="241"/>
      <c r="G342" s="331">
        <f>SUM(G343,G348)</f>
        <v>0</v>
      </c>
      <c r="H342" s="572">
        <f>SUM(H343,H348)</f>
        <v>0</v>
      </c>
    </row>
    <row r="343" spans="1:10" x14ac:dyDescent="0.2">
      <c r="A343" s="1233"/>
      <c r="B343" s="244"/>
      <c r="C343" s="245" t="s">
        <v>86</v>
      </c>
      <c r="D343" s="573">
        <f>SUM(D344:D347)</f>
        <v>0</v>
      </c>
      <c r="E343" s="247"/>
      <c r="F343" s="247"/>
      <c r="G343" s="57">
        <f>SUM(G344:G347)</f>
        <v>0</v>
      </c>
      <c r="H343" s="332">
        <f>SUM(H344:H347)</f>
        <v>0</v>
      </c>
    </row>
    <row r="344" spans="1:10" x14ac:dyDescent="0.2">
      <c r="A344" s="1233"/>
      <c r="B344" s="593">
        <v>53103040100000</v>
      </c>
      <c r="C344" s="594" t="s">
        <v>87</v>
      </c>
      <c r="D344" s="333">
        <f>+'F) Remuneraciones'!L92</f>
        <v>0</v>
      </c>
      <c r="E344" s="334">
        <v>0</v>
      </c>
      <c r="F344" s="335">
        <v>0</v>
      </c>
      <c r="G344" s="334">
        <f>E344*F344</f>
        <v>0</v>
      </c>
      <c r="H344" s="336">
        <f>D344+G344</f>
        <v>0</v>
      </c>
    </row>
    <row r="345" spans="1:10" x14ac:dyDescent="0.2">
      <c r="A345" s="1233"/>
      <c r="B345" s="593">
        <v>53103050000000</v>
      </c>
      <c r="C345" s="594" t="s">
        <v>152</v>
      </c>
      <c r="D345" s="337">
        <v>0</v>
      </c>
      <c r="E345" s="338">
        <v>0</v>
      </c>
      <c r="F345" s="339">
        <v>0</v>
      </c>
      <c r="G345" s="334">
        <f>E345*F345</f>
        <v>0</v>
      </c>
      <c r="H345" s="336">
        <f>D345+G345</f>
        <v>0</v>
      </c>
    </row>
    <row r="346" spans="1:10" x14ac:dyDescent="0.2">
      <c r="A346" s="1233"/>
      <c r="B346" s="598">
        <v>53103040400000</v>
      </c>
      <c r="C346" s="599" t="s">
        <v>89</v>
      </c>
      <c r="D346" s="337">
        <v>0</v>
      </c>
      <c r="E346" s="338">
        <v>0</v>
      </c>
      <c r="F346" s="339">
        <v>0</v>
      </c>
      <c r="G346" s="334">
        <f>E346*F346</f>
        <v>0</v>
      </c>
      <c r="H346" s="336">
        <f>D346+G346</f>
        <v>0</v>
      </c>
    </row>
    <row r="347" spans="1:10" x14ac:dyDescent="0.2">
      <c r="A347" s="1233"/>
      <c r="B347" s="593">
        <v>53103080010000</v>
      </c>
      <c r="C347" s="594" t="s">
        <v>90</v>
      </c>
      <c r="D347" s="337">
        <v>0</v>
      </c>
      <c r="E347" s="338">
        <v>0</v>
      </c>
      <c r="F347" s="339">
        <v>0</v>
      </c>
      <c r="G347" s="334">
        <f>E347*F347</f>
        <v>0</v>
      </c>
      <c r="H347" s="336">
        <f>D347+G347</f>
        <v>0</v>
      </c>
    </row>
    <row r="348" spans="1:10" x14ac:dyDescent="0.2">
      <c r="A348" s="1233"/>
      <c r="B348" s="244"/>
      <c r="C348" s="245" t="s">
        <v>91</v>
      </c>
      <c r="D348" s="573">
        <f>SUM(D349:D368)</f>
        <v>0</v>
      </c>
      <c r="E348" s="247"/>
      <c r="F348" s="247"/>
      <c r="G348" s="573">
        <f>SUM(G349:G368)</f>
        <v>0</v>
      </c>
      <c r="H348" s="332">
        <f>SUM(H349:H368)</f>
        <v>0</v>
      </c>
    </row>
    <row r="349" spans="1:10" x14ac:dyDescent="0.2">
      <c r="A349" s="1233"/>
      <c r="B349" s="593">
        <v>53201010100000</v>
      </c>
      <c r="C349" s="594" t="s">
        <v>92</v>
      </c>
      <c r="D349" s="337">
        <v>0</v>
      </c>
      <c r="E349" s="338">
        <v>0</v>
      </c>
      <c r="F349" s="339">
        <v>0</v>
      </c>
      <c r="G349" s="334">
        <f t="shared" ref="G349:G368" si="55">E349*F349</f>
        <v>0</v>
      </c>
      <c r="H349" s="336">
        <f t="shared" ref="H349:H368" si="56">D349+G349</f>
        <v>0</v>
      </c>
    </row>
    <row r="350" spans="1:10" x14ac:dyDescent="0.2">
      <c r="A350" s="1233"/>
      <c r="B350" s="593">
        <v>53201010100000</v>
      </c>
      <c r="C350" s="594" t="s">
        <v>93</v>
      </c>
      <c r="D350" s="337">
        <v>0</v>
      </c>
      <c r="E350" s="338">
        <v>0</v>
      </c>
      <c r="F350" s="339">
        <v>0</v>
      </c>
      <c r="G350" s="334">
        <f t="shared" si="55"/>
        <v>0</v>
      </c>
      <c r="H350" s="336">
        <f t="shared" si="56"/>
        <v>0</v>
      </c>
    </row>
    <row r="351" spans="1:10" x14ac:dyDescent="0.2">
      <c r="A351" s="1233"/>
      <c r="B351" s="593">
        <v>53201010100000</v>
      </c>
      <c r="C351" s="594" t="s">
        <v>94</v>
      </c>
      <c r="D351" s="337">
        <v>0</v>
      </c>
      <c r="E351" s="338">
        <v>0</v>
      </c>
      <c r="F351" s="339">
        <v>0</v>
      </c>
      <c r="G351" s="334">
        <f t="shared" si="55"/>
        <v>0</v>
      </c>
      <c r="H351" s="336">
        <f t="shared" si="56"/>
        <v>0</v>
      </c>
    </row>
    <row r="352" spans="1:10" x14ac:dyDescent="0.2">
      <c r="A352" s="1233"/>
      <c r="B352" s="593">
        <v>53202010100000</v>
      </c>
      <c r="C352" s="594" t="s">
        <v>95</v>
      </c>
      <c r="D352" s="334">
        <f t="shared" ref="D352:D368" si="57">+N212</f>
        <v>0</v>
      </c>
      <c r="E352" s="334">
        <v>0</v>
      </c>
      <c r="F352" s="340">
        <v>0</v>
      </c>
      <c r="G352" s="334">
        <f t="shared" si="55"/>
        <v>0</v>
      </c>
      <c r="H352" s="336">
        <f t="shared" si="56"/>
        <v>0</v>
      </c>
    </row>
    <row r="353" spans="1:8" x14ac:dyDescent="0.2">
      <c r="A353" s="1233"/>
      <c r="B353" s="593">
        <v>53203010100000</v>
      </c>
      <c r="C353" s="594" t="s">
        <v>96</v>
      </c>
      <c r="D353" s="334">
        <f t="shared" si="57"/>
        <v>0</v>
      </c>
      <c r="E353" s="334">
        <v>0</v>
      </c>
      <c r="F353" s="340">
        <v>0</v>
      </c>
      <c r="G353" s="334">
        <f t="shared" si="55"/>
        <v>0</v>
      </c>
      <c r="H353" s="336">
        <f t="shared" si="56"/>
        <v>0</v>
      </c>
    </row>
    <row r="354" spans="1:8" x14ac:dyDescent="0.2">
      <c r="A354" s="1233"/>
      <c r="B354" s="593">
        <v>53203030000000</v>
      </c>
      <c r="C354" s="594" t="s">
        <v>97</v>
      </c>
      <c r="D354" s="334">
        <f t="shared" si="57"/>
        <v>0</v>
      </c>
      <c r="E354" s="334">
        <v>0</v>
      </c>
      <c r="F354" s="340">
        <v>0</v>
      </c>
      <c r="G354" s="334">
        <f t="shared" si="55"/>
        <v>0</v>
      </c>
      <c r="H354" s="336">
        <f t="shared" si="56"/>
        <v>0</v>
      </c>
    </row>
    <row r="355" spans="1:8" x14ac:dyDescent="0.2">
      <c r="A355" s="1233"/>
      <c r="B355" s="593">
        <v>53204030000000</v>
      </c>
      <c r="C355" s="594" t="s">
        <v>98</v>
      </c>
      <c r="D355" s="334">
        <f t="shared" si="57"/>
        <v>0</v>
      </c>
      <c r="E355" s="334">
        <v>0</v>
      </c>
      <c r="F355" s="340">
        <v>0</v>
      </c>
      <c r="G355" s="334">
        <f t="shared" si="55"/>
        <v>0</v>
      </c>
      <c r="H355" s="336">
        <f t="shared" si="56"/>
        <v>0</v>
      </c>
    </row>
    <row r="356" spans="1:8" x14ac:dyDescent="0.2">
      <c r="A356" s="1233"/>
      <c r="B356" s="593">
        <v>53204100100001</v>
      </c>
      <c r="C356" s="594" t="s">
        <v>99</v>
      </c>
      <c r="D356" s="334">
        <f t="shared" si="57"/>
        <v>0</v>
      </c>
      <c r="E356" s="334">
        <v>0</v>
      </c>
      <c r="F356" s="340">
        <v>0</v>
      </c>
      <c r="G356" s="334">
        <f t="shared" si="55"/>
        <v>0</v>
      </c>
      <c r="H356" s="336">
        <f t="shared" si="56"/>
        <v>0</v>
      </c>
    </row>
    <row r="357" spans="1:8" x14ac:dyDescent="0.2">
      <c r="A357" s="1233"/>
      <c r="B357" s="593">
        <v>53204130100000</v>
      </c>
      <c r="C357" s="594" t="s">
        <v>100</v>
      </c>
      <c r="D357" s="334">
        <f t="shared" si="57"/>
        <v>0</v>
      </c>
      <c r="E357" s="334">
        <v>0</v>
      </c>
      <c r="F357" s="340">
        <v>0</v>
      </c>
      <c r="G357" s="334">
        <f t="shared" si="55"/>
        <v>0</v>
      </c>
      <c r="H357" s="336">
        <f t="shared" si="56"/>
        <v>0</v>
      </c>
    </row>
    <row r="358" spans="1:8" x14ac:dyDescent="0.2">
      <c r="A358" s="1233"/>
      <c r="B358" s="593">
        <v>53205010100000</v>
      </c>
      <c r="C358" s="594" t="s">
        <v>101</v>
      </c>
      <c r="D358" s="334">
        <f t="shared" si="57"/>
        <v>0</v>
      </c>
      <c r="E358" s="334">
        <v>0</v>
      </c>
      <c r="F358" s="340">
        <v>0</v>
      </c>
      <c r="G358" s="334">
        <f t="shared" si="55"/>
        <v>0</v>
      </c>
      <c r="H358" s="336">
        <f t="shared" si="56"/>
        <v>0</v>
      </c>
    </row>
    <row r="359" spans="1:8" x14ac:dyDescent="0.2">
      <c r="A359" s="1233"/>
      <c r="B359" s="593">
        <v>53205020100000</v>
      </c>
      <c r="C359" s="594" t="s">
        <v>102</v>
      </c>
      <c r="D359" s="334">
        <f t="shared" si="57"/>
        <v>0</v>
      </c>
      <c r="E359" s="334">
        <v>0</v>
      </c>
      <c r="F359" s="340">
        <v>0</v>
      </c>
      <c r="G359" s="334">
        <f t="shared" si="55"/>
        <v>0</v>
      </c>
      <c r="H359" s="336">
        <f t="shared" si="56"/>
        <v>0</v>
      </c>
    </row>
    <row r="360" spans="1:8" x14ac:dyDescent="0.2">
      <c r="A360" s="1233"/>
      <c r="B360" s="593">
        <v>53205030100000</v>
      </c>
      <c r="C360" s="594" t="s">
        <v>103</v>
      </c>
      <c r="D360" s="334">
        <f t="shared" si="57"/>
        <v>0</v>
      </c>
      <c r="E360" s="334">
        <v>0</v>
      </c>
      <c r="F360" s="340">
        <v>0</v>
      </c>
      <c r="G360" s="334">
        <f t="shared" si="55"/>
        <v>0</v>
      </c>
      <c r="H360" s="336">
        <f t="shared" si="56"/>
        <v>0</v>
      </c>
    </row>
    <row r="361" spans="1:8" x14ac:dyDescent="0.2">
      <c r="A361" s="1233"/>
      <c r="B361" s="593">
        <v>53205050100000</v>
      </c>
      <c r="C361" s="594" t="s">
        <v>104</v>
      </c>
      <c r="D361" s="334">
        <f t="shared" si="57"/>
        <v>0</v>
      </c>
      <c r="E361" s="334">
        <v>0</v>
      </c>
      <c r="F361" s="340">
        <v>0</v>
      </c>
      <c r="G361" s="334">
        <f t="shared" si="55"/>
        <v>0</v>
      </c>
      <c r="H361" s="336">
        <f t="shared" si="56"/>
        <v>0</v>
      </c>
    </row>
    <row r="362" spans="1:8" x14ac:dyDescent="0.2">
      <c r="A362" s="1233"/>
      <c r="B362" s="593">
        <v>53205070100000</v>
      </c>
      <c r="C362" s="594" t="s">
        <v>105</v>
      </c>
      <c r="D362" s="334">
        <f t="shared" si="57"/>
        <v>0</v>
      </c>
      <c r="E362" s="334">
        <v>0</v>
      </c>
      <c r="F362" s="340">
        <v>0</v>
      </c>
      <c r="G362" s="334">
        <f t="shared" si="55"/>
        <v>0</v>
      </c>
      <c r="H362" s="336">
        <f t="shared" si="56"/>
        <v>0</v>
      </c>
    </row>
    <row r="363" spans="1:8" x14ac:dyDescent="0.2">
      <c r="A363" s="1233"/>
      <c r="B363" s="593">
        <v>53208010100000</v>
      </c>
      <c r="C363" s="594" t="s">
        <v>106</v>
      </c>
      <c r="D363" s="334">
        <f t="shared" si="57"/>
        <v>0</v>
      </c>
      <c r="E363" s="334">
        <v>0</v>
      </c>
      <c r="F363" s="340">
        <v>0</v>
      </c>
      <c r="G363" s="334">
        <f t="shared" si="55"/>
        <v>0</v>
      </c>
      <c r="H363" s="336">
        <f t="shared" si="56"/>
        <v>0</v>
      </c>
    </row>
    <row r="364" spans="1:8" x14ac:dyDescent="0.2">
      <c r="A364" s="1233"/>
      <c r="B364" s="593">
        <v>53208070100001</v>
      </c>
      <c r="C364" s="594" t="s">
        <v>107</v>
      </c>
      <c r="D364" s="334">
        <f t="shared" si="57"/>
        <v>0</v>
      </c>
      <c r="E364" s="334">
        <v>0</v>
      </c>
      <c r="F364" s="340">
        <v>0</v>
      </c>
      <c r="G364" s="334">
        <f t="shared" si="55"/>
        <v>0</v>
      </c>
      <c r="H364" s="336">
        <f t="shared" si="56"/>
        <v>0</v>
      </c>
    </row>
    <row r="365" spans="1:8" x14ac:dyDescent="0.2">
      <c r="A365" s="1233"/>
      <c r="B365" s="593">
        <v>53208100100001</v>
      </c>
      <c r="C365" s="594" t="s">
        <v>108</v>
      </c>
      <c r="D365" s="334">
        <f t="shared" si="57"/>
        <v>0</v>
      </c>
      <c r="E365" s="334">
        <v>0</v>
      </c>
      <c r="F365" s="340">
        <v>0</v>
      </c>
      <c r="G365" s="334">
        <f t="shared" si="55"/>
        <v>0</v>
      </c>
      <c r="H365" s="336">
        <f t="shared" si="56"/>
        <v>0</v>
      </c>
    </row>
    <row r="366" spans="1:8" x14ac:dyDescent="0.2">
      <c r="A366" s="1233"/>
      <c r="B366" s="593">
        <v>53211030000000</v>
      </c>
      <c r="C366" s="594" t="s">
        <v>109</v>
      </c>
      <c r="D366" s="334">
        <f t="shared" si="57"/>
        <v>0</v>
      </c>
      <c r="E366" s="334">
        <v>0</v>
      </c>
      <c r="F366" s="340">
        <v>0</v>
      </c>
      <c r="G366" s="334">
        <f t="shared" si="55"/>
        <v>0</v>
      </c>
      <c r="H366" s="336">
        <f t="shared" si="56"/>
        <v>0</v>
      </c>
    </row>
    <row r="367" spans="1:8" x14ac:dyDescent="0.2">
      <c r="A367" s="1233"/>
      <c r="B367" s="593">
        <v>53212020100000</v>
      </c>
      <c r="C367" s="594" t="s">
        <v>110</v>
      </c>
      <c r="D367" s="334">
        <f t="shared" si="57"/>
        <v>0</v>
      </c>
      <c r="E367" s="334">
        <v>0</v>
      </c>
      <c r="F367" s="340">
        <v>0</v>
      </c>
      <c r="G367" s="334">
        <f t="shared" si="55"/>
        <v>0</v>
      </c>
      <c r="H367" s="336">
        <f t="shared" si="56"/>
        <v>0</v>
      </c>
    </row>
    <row r="368" spans="1:8" ht="15.75" customHeight="1" x14ac:dyDescent="0.2">
      <c r="A368" s="1233"/>
      <c r="B368" s="593">
        <v>53214020000000</v>
      </c>
      <c r="C368" s="594" t="s">
        <v>111</v>
      </c>
      <c r="D368" s="334">
        <f t="shared" si="57"/>
        <v>0</v>
      </c>
      <c r="E368" s="334">
        <v>0</v>
      </c>
      <c r="F368" s="340">
        <v>0</v>
      </c>
      <c r="G368" s="334">
        <f t="shared" si="55"/>
        <v>0</v>
      </c>
      <c r="H368" s="336">
        <f t="shared" si="56"/>
        <v>0</v>
      </c>
    </row>
    <row r="369" spans="1:8" x14ac:dyDescent="0.2">
      <c r="A369" s="1233"/>
      <c r="B369" s="238"/>
      <c r="C369" s="239" t="s">
        <v>112</v>
      </c>
      <c r="D369" s="341">
        <v>0</v>
      </c>
      <c r="E369" s="241"/>
      <c r="F369" s="241"/>
      <c r="G369" s="330">
        <f>SUM(G370,G375,G377,G386,G395,G403)</f>
        <v>0</v>
      </c>
      <c r="H369" s="341">
        <f>SUM(H370,H375,H377,H386,H395,H403)</f>
        <v>0</v>
      </c>
    </row>
    <row r="370" spans="1:8" x14ac:dyDescent="0.2">
      <c r="A370" s="1233"/>
      <c r="B370" s="244"/>
      <c r="C370" s="245" t="s">
        <v>113</v>
      </c>
      <c r="D370" s="573">
        <f>SUM(D371:D374)</f>
        <v>0</v>
      </c>
      <c r="E370" s="247"/>
      <c r="F370" s="247"/>
      <c r="G370" s="573">
        <f>SUM(G371:G374)</f>
        <v>0</v>
      </c>
      <c r="H370" s="573">
        <f>SUM(H371:H374)</f>
        <v>0</v>
      </c>
    </row>
    <row r="371" spans="1:8" x14ac:dyDescent="0.2">
      <c r="A371" s="1233"/>
      <c r="B371" s="593">
        <v>53202020100000</v>
      </c>
      <c r="C371" s="594" t="s">
        <v>114</v>
      </c>
      <c r="D371" s="337">
        <v>0</v>
      </c>
      <c r="E371" s="338">
        <v>0</v>
      </c>
      <c r="F371" s="342">
        <v>0</v>
      </c>
      <c r="G371" s="334">
        <f>E371*F371</f>
        <v>0</v>
      </c>
      <c r="H371" s="336">
        <f>D371+G371</f>
        <v>0</v>
      </c>
    </row>
    <row r="372" spans="1:8" x14ac:dyDescent="0.2">
      <c r="A372" s="1233"/>
      <c r="B372" s="593">
        <v>53202030000000</v>
      </c>
      <c r="C372" s="594" t="s">
        <v>115</v>
      </c>
      <c r="D372" s="337">
        <v>0</v>
      </c>
      <c r="E372" s="338">
        <v>0</v>
      </c>
      <c r="F372" s="342">
        <v>0</v>
      </c>
      <c r="G372" s="334">
        <f>E372*F372</f>
        <v>0</v>
      </c>
      <c r="H372" s="336">
        <f>D372+G372</f>
        <v>0</v>
      </c>
    </row>
    <row r="373" spans="1:8" x14ac:dyDescent="0.2">
      <c r="A373" s="1233"/>
      <c r="B373" s="593">
        <v>53211020000000</v>
      </c>
      <c r="C373" s="594" t="s">
        <v>116</v>
      </c>
      <c r="D373" s="334">
        <f>+N231</f>
        <v>0</v>
      </c>
      <c r="E373" s="334">
        <v>0</v>
      </c>
      <c r="F373" s="343">
        <v>0</v>
      </c>
      <c r="G373" s="334">
        <f>E373*F373</f>
        <v>0</v>
      </c>
      <c r="H373" s="336">
        <f>D373+G373</f>
        <v>0</v>
      </c>
    </row>
    <row r="374" spans="1:8" x14ac:dyDescent="0.2">
      <c r="A374" s="1233"/>
      <c r="B374" s="593">
        <v>53101040600000</v>
      </c>
      <c r="C374" s="594" t="s">
        <v>117</v>
      </c>
      <c r="D374" s="334">
        <f>+N232</f>
        <v>0</v>
      </c>
      <c r="E374" s="334">
        <v>0</v>
      </c>
      <c r="F374" s="343">
        <v>0</v>
      </c>
      <c r="G374" s="334">
        <f>E374*F374</f>
        <v>0</v>
      </c>
      <c r="H374" s="336">
        <f>D374+G374</f>
        <v>0</v>
      </c>
    </row>
    <row r="375" spans="1:8" x14ac:dyDescent="0.2">
      <c r="A375" s="1233"/>
      <c r="B375" s="244"/>
      <c r="C375" s="245" t="s">
        <v>118</v>
      </c>
      <c r="D375" s="573">
        <f>SUM(D376)</f>
        <v>0</v>
      </c>
      <c r="E375" s="247"/>
      <c r="F375" s="247"/>
      <c r="G375" s="344">
        <f>SUM(G376:G376)</f>
        <v>0</v>
      </c>
      <c r="H375" s="573">
        <f>SUM(H376:H376)</f>
        <v>0</v>
      </c>
    </row>
    <row r="376" spans="1:8" x14ac:dyDescent="0.2">
      <c r="A376" s="1233"/>
      <c r="B376" s="601">
        <v>53205990000000</v>
      </c>
      <c r="C376" s="594" t="s">
        <v>119</v>
      </c>
      <c r="D376" s="334">
        <f>+N234</f>
        <v>0</v>
      </c>
      <c r="E376" s="334">
        <v>0</v>
      </c>
      <c r="F376" s="343">
        <v>0</v>
      </c>
      <c r="G376" s="334">
        <f>E376*F376</f>
        <v>0</v>
      </c>
      <c r="H376" s="336">
        <f>D376+G376</f>
        <v>0</v>
      </c>
    </row>
    <row r="377" spans="1:8" x14ac:dyDescent="0.2">
      <c r="A377" s="1233"/>
      <c r="B377" s="244"/>
      <c r="C377" s="245" t="s">
        <v>120</v>
      </c>
      <c r="D377" s="573">
        <f>SUM(D378:D385)</f>
        <v>0</v>
      </c>
      <c r="E377" s="247"/>
      <c r="F377" s="247"/>
      <c r="G377" s="573">
        <f>SUM(G378:G385)</f>
        <v>0</v>
      </c>
      <c r="H377" s="573">
        <f>SUM(H378:H385)</f>
        <v>0</v>
      </c>
    </row>
    <row r="378" spans="1:8" x14ac:dyDescent="0.2">
      <c r="A378" s="1233"/>
      <c r="B378" s="593">
        <v>53204010000000</v>
      </c>
      <c r="C378" s="594" t="s">
        <v>121</v>
      </c>
      <c r="D378" s="334">
        <f>+N236</f>
        <v>0</v>
      </c>
      <c r="E378" s="334">
        <v>0</v>
      </c>
      <c r="F378" s="343">
        <v>0</v>
      </c>
      <c r="G378" s="334">
        <f t="shared" ref="G378:G385" si="58">E378*F378</f>
        <v>0</v>
      </c>
      <c r="H378" s="336">
        <f t="shared" ref="H378:H385" si="59">D378+G378</f>
        <v>0</v>
      </c>
    </row>
    <row r="379" spans="1:8" x14ac:dyDescent="0.2">
      <c r="A379" s="1233"/>
      <c r="B379" s="601">
        <v>53204040200000</v>
      </c>
      <c r="C379" s="594" t="s">
        <v>122</v>
      </c>
      <c r="D379" s="334">
        <f t="shared" ref="D379:D385" si="60">+M303</f>
        <v>0</v>
      </c>
      <c r="E379" s="334">
        <v>0</v>
      </c>
      <c r="F379" s="343">
        <v>0</v>
      </c>
      <c r="G379" s="334">
        <f t="shared" si="58"/>
        <v>0</v>
      </c>
      <c r="H379" s="336">
        <f t="shared" si="59"/>
        <v>0</v>
      </c>
    </row>
    <row r="380" spans="1:8" x14ac:dyDescent="0.2">
      <c r="A380" s="1233"/>
      <c r="B380" s="593">
        <v>53204060000000</v>
      </c>
      <c r="C380" s="594" t="s">
        <v>123</v>
      </c>
      <c r="D380" s="334">
        <f t="shared" si="60"/>
        <v>0</v>
      </c>
      <c r="E380" s="334">
        <v>0</v>
      </c>
      <c r="F380" s="343">
        <v>0</v>
      </c>
      <c r="G380" s="334">
        <f t="shared" si="58"/>
        <v>0</v>
      </c>
      <c r="H380" s="336">
        <f t="shared" si="59"/>
        <v>0</v>
      </c>
    </row>
    <row r="381" spans="1:8" x14ac:dyDescent="0.2">
      <c r="A381" s="1233"/>
      <c r="B381" s="593">
        <v>53204070000000</v>
      </c>
      <c r="C381" s="594" t="s">
        <v>124</v>
      </c>
      <c r="D381" s="334">
        <f t="shared" si="60"/>
        <v>0</v>
      </c>
      <c r="E381" s="334">
        <v>0</v>
      </c>
      <c r="F381" s="343">
        <v>0</v>
      </c>
      <c r="G381" s="334">
        <f t="shared" si="58"/>
        <v>0</v>
      </c>
      <c r="H381" s="336">
        <f t="shared" si="59"/>
        <v>0</v>
      </c>
    </row>
    <row r="382" spans="1:8" x14ac:dyDescent="0.2">
      <c r="A382" s="1233"/>
      <c r="B382" s="593">
        <v>53204080000000</v>
      </c>
      <c r="C382" s="594" t="s">
        <v>125</v>
      </c>
      <c r="D382" s="334">
        <f t="shared" si="60"/>
        <v>0</v>
      </c>
      <c r="E382" s="334">
        <v>0</v>
      </c>
      <c r="F382" s="343">
        <v>0</v>
      </c>
      <c r="G382" s="334">
        <f t="shared" si="58"/>
        <v>0</v>
      </c>
      <c r="H382" s="336">
        <f t="shared" si="59"/>
        <v>0</v>
      </c>
    </row>
    <row r="383" spans="1:8" x14ac:dyDescent="0.2">
      <c r="A383" s="1233"/>
      <c r="B383" s="593">
        <v>53214010000000</v>
      </c>
      <c r="C383" s="594" t="s">
        <v>126</v>
      </c>
      <c r="D383" s="334">
        <f t="shared" si="60"/>
        <v>0</v>
      </c>
      <c r="E383" s="334">
        <v>0</v>
      </c>
      <c r="F383" s="343">
        <v>0</v>
      </c>
      <c r="G383" s="334">
        <f t="shared" si="58"/>
        <v>0</v>
      </c>
      <c r="H383" s="336">
        <f t="shared" si="59"/>
        <v>0</v>
      </c>
    </row>
    <row r="384" spans="1:8" x14ac:dyDescent="0.2">
      <c r="A384" s="1233"/>
      <c r="B384" s="593">
        <v>53214040000000</v>
      </c>
      <c r="C384" s="594" t="s">
        <v>127</v>
      </c>
      <c r="D384" s="334">
        <f t="shared" si="60"/>
        <v>0</v>
      </c>
      <c r="E384" s="334">
        <v>0</v>
      </c>
      <c r="F384" s="343">
        <v>0</v>
      </c>
      <c r="G384" s="334">
        <f t="shared" si="58"/>
        <v>0</v>
      </c>
      <c r="H384" s="336">
        <f t="shared" si="59"/>
        <v>0</v>
      </c>
    </row>
    <row r="385" spans="1:8" x14ac:dyDescent="0.2">
      <c r="A385" s="1233"/>
      <c r="B385" s="598">
        <v>53204020100000</v>
      </c>
      <c r="C385" s="594" t="s">
        <v>128</v>
      </c>
      <c r="D385" s="334">
        <f t="shared" si="60"/>
        <v>0</v>
      </c>
      <c r="E385" s="334">
        <v>0</v>
      </c>
      <c r="F385" s="343">
        <v>0</v>
      </c>
      <c r="G385" s="334">
        <f t="shared" si="58"/>
        <v>0</v>
      </c>
      <c r="H385" s="336">
        <f t="shared" si="59"/>
        <v>0</v>
      </c>
    </row>
    <row r="386" spans="1:8" x14ac:dyDescent="0.2">
      <c r="A386" s="1233"/>
      <c r="B386" s="244"/>
      <c r="C386" s="245" t="s">
        <v>129</v>
      </c>
      <c r="D386" s="573"/>
      <c r="E386" s="247"/>
      <c r="F386" s="247"/>
      <c r="G386" s="573">
        <f>SUM(G387:G394)</f>
        <v>0</v>
      </c>
      <c r="H386" s="332">
        <f>SUM(H387:H394)</f>
        <v>0</v>
      </c>
    </row>
    <row r="387" spans="1:8" x14ac:dyDescent="0.2">
      <c r="A387" s="1233"/>
      <c r="B387" s="593">
        <v>53207010000000</v>
      </c>
      <c r="C387" s="594" t="s">
        <v>130</v>
      </c>
      <c r="D387" s="334">
        <f>+N245</f>
        <v>0</v>
      </c>
      <c r="E387" s="334">
        <v>0</v>
      </c>
      <c r="F387" s="343">
        <v>0</v>
      </c>
      <c r="G387" s="334">
        <f t="shared" ref="G387:G394" si="61">E387*F387</f>
        <v>0</v>
      </c>
      <c r="H387" s="336">
        <f t="shared" ref="H387:H394" si="62">D387+G387</f>
        <v>0</v>
      </c>
    </row>
    <row r="388" spans="1:8" x14ac:dyDescent="0.2">
      <c r="A388" s="1233"/>
      <c r="B388" s="593">
        <v>53207020000000</v>
      </c>
      <c r="C388" s="594" t="s">
        <v>131</v>
      </c>
      <c r="D388" s="334">
        <f>+M312</f>
        <v>0</v>
      </c>
      <c r="E388" s="334">
        <v>0</v>
      </c>
      <c r="F388" s="343">
        <v>0</v>
      </c>
      <c r="G388" s="334">
        <f t="shared" si="61"/>
        <v>0</v>
      </c>
      <c r="H388" s="336">
        <f t="shared" si="62"/>
        <v>0</v>
      </c>
    </row>
    <row r="389" spans="1:8" x14ac:dyDescent="0.2">
      <c r="A389" s="1233"/>
      <c r="B389" s="593">
        <v>53208020000000</v>
      </c>
      <c r="C389" s="594" t="s">
        <v>132</v>
      </c>
      <c r="D389" s="334">
        <f>+M313</f>
        <v>0</v>
      </c>
      <c r="E389" s="334">
        <v>0</v>
      </c>
      <c r="F389" s="343">
        <v>0</v>
      </c>
      <c r="G389" s="334">
        <f t="shared" si="61"/>
        <v>0</v>
      </c>
      <c r="H389" s="336">
        <f t="shared" si="62"/>
        <v>0</v>
      </c>
    </row>
    <row r="390" spans="1:8" x14ac:dyDescent="0.2">
      <c r="A390" s="1233"/>
      <c r="B390" s="593">
        <v>53208990000000</v>
      </c>
      <c r="C390" s="594" t="s">
        <v>133</v>
      </c>
      <c r="D390" s="334">
        <f>+M314</f>
        <v>0</v>
      </c>
      <c r="E390" s="334">
        <v>0</v>
      </c>
      <c r="F390" s="343">
        <v>0</v>
      </c>
      <c r="G390" s="334">
        <f t="shared" si="61"/>
        <v>0</v>
      </c>
      <c r="H390" s="336">
        <f t="shared" si="62"/>
        <v>0</v>
      </c>
    </row>
    <row r="391" spans="1:8" x14ac:dyDescent="0.2">
      <c r="A391" s="1233"/>
      <c r="B391" s="598">
        <v>53210020300000</v>
      </c>
      <c r="C391" s="594" t="s">
        <v>134</v>
      </c>
      <c r="D391" s="345">
        <v>0</v>
      </c>
      <c r="E391" s="345">
        <v>0</v>
      </c>
      <c r="F391" s="346">
        <v>0</v>
      </c>
      <c r="G391" s="334">
        <f t="shared" si="61"/>
        <v>0</v>
      </c>
      <c r="H391" s="336">
        <f t="shared" si="62"/>
        <v>0</v>
      </c>
    </row>
    <row r="392" spans="1:8" x14ac:dyDescent="0.2">
      <c r="A392" s="1233"/>
      <c r="B392" s="593">
        <v>53208990000000</v>
      </c>
      <c r="C392" s="594" t="s">
        <v>135</v>
      </c>
      <c r="D392" s="334">
        <f>+N249</f>
        <v>0</v>
      </c>
      <c r="E392" s="334">
        <v>0</v>
      </c>
      <c r="F392" s="343">
        <v>0</v>
      </c>
      <c r="G392" s="334">
        <f t="shared" si="61"/>
        <v>0</v>
      </c>
      <c r="H392" s="336">
        <f t="shared" si="62"/>
        <v>0</v>
      </c>
    </row>
    <row r="393" spans="1:8" x14ac:dyDescent="0.2">
      <c r="A393" s="1233"/>
      <c r="B393" s="593">
        <v>53209990000000</v>
      </c>
      <c r="C393" s="594" t="s">
        <v>136</v>
      </c>
      <c r="D393" s="334">
        <f>+N250</f>
        <v>0</v>
      </c>
      <c r="E393" s="334">
        <v>0</v>
      </c>
      <c r="F393" s="343">
        <v>0</v>
      </c>
      <c r="G393" s="334">
        <f t="shared" si="61"/>
        <v>0</v>
      </c>
      <c r="H393" s="336">
        <f t="shared" si="62"/>
        <v>0</v>
      </c>
    </row>
    <row r="394" spans="1:8" x14ac:dyDescent="0.2">
      <c r="A394" s="1233"/>
      <c r="B394" s="593">
        <v>53210020100000</v>
      </c>
      <c r="C394" s="594" t="s">
        <v>137</v>
      </c>
      <c r="D394" s="334">
        <f>+N251</f>
        <v>0</v>
      </c>
      <c r="E394" s="334">
        <v>0</v>
      </c>
      <c r="F394" s="343">
        <v>0</v>
      </c>
      <c r="G394" s="334">
        <f t="shared" si="61"/>
        <v>0</v>
      </c>
      <c r="H394" s="336">
        <f t="shared" si="62"/>
        <v>0</v>
      </c>
    </row>
    <row r="395" spans="1:8" x14ac:dyDescent="0.2">
      <c r="A395" s="1233"/>
      <c r="B395" s="244"/>
      <c r="C395" s="245" t="s">
        <v>138</v>
      </c>
      <c r="D395" s="573">
        <f>SUM(D396:D402)</f>
        <v>0</v>
      </c>
      <c r="E395" s="247"/>
      <c r="F395" s="247"/>
      <c r="G395" s="573">
        <f>SUM(G396:G402)</f>
        <v>0</v>
      </c>
      <c r="H395" s="332">
        <f>SUM(H396:H402)</f>
        <v>0</v>
      </c>
    </row>
    <row r="396" spans="1:8" x14ac:dyDescent="0.2">
      <c r="A396" s="1233"/>
      <c r="B396" s="593">
        <v>53206030000000</v>
      </c>
      <c r="C396" s="594" t="s">
        <v>139</v>
      </c>
      <c r="D396" s="334">
        <f t="shared" ref="D396:D402" si="63">+N253</f>
        <v>0</v>
      </c>
      <c r="E396" s="334">
        <v>0</v>
      </c>
      <c r="F396" s="343">
        <v>0</v>
      </c>
      <c r="G396" s="334">
        <f t="shared" ref="G396:G402" si="64">E396*F396</f>
        <v>0</v>
      </c>
      <c r="H396" s="336">
        <f t="shared" ref="H396:H402" si="65">D396+G396</f>
        <v>0</v>
      </c>
    </row>
    <row r="397" spans="1:8" x14ac:dyDescent="0.2">
      <c r="A397" s="1233"/>
      <c r="B397" s="593">
        <v>53206040000000</v>
      </c>
      <c r="C397" s="594" t="s">
        <v>140</v>
      </c>
      <c r="D397" s="334">
        <f t="shared" si="63"/>
        <v>0</v>
      </c>
      <c r="E397" s="334">
        <v>0</v>
      </c>
      <c r="F397" s="343">
        <v>0</v>
      </c>
      <c r="G397" s="334">
        <f t="shared" si="64"/>
        <v>0</v>
      </c>
      <c r="H397" s="336">
        <f t="shared" si="65"/>
        <v>0</v>
      </c>
    </row>
    <row r="398" spans="1:8" x14ac:dyDescent="0.2">
      <c r="A398" s="1233"/>
      <c r="B398" s="593">
        <v>53206060000000</v>
      </c>
      <c r="C398" s="594" t="s">
        <v>141</v>
      </c>
      <c r="D398" s="334">
        <f t="shared" si="63"/>
        <v>0</v>
      </c>
      <c r="E398" s="334">
        <v>0</v>
      </c>
      <c r="F398" s="343">
        <v>0</v>
      </c>
      <c r="G398" s="334">
        <f t="shared" si="64"/>
        <v>0</v>
      </c>
      <c r="H398" s="336">
        <f t="shared" si="65"/>
        <v>0</v>
      </c>
    </row>
    <row r="399" spans="1:8" x14ac:dyDescent="0.2">
      <c r="A399" s="1233"/>
      <c r="B399" s="593">
        <v>53206070000000</v>
      </c>
      <c r="C399" s="594" t="s">
        <v>142</v>
      </c>
      <c r="D399" s="334">
        <f t="shared" si="63"/>
        <v>0</v>
      </c>
      <c r="E399" s="334">
        <v>0</v>
      </c>
      <c r="F399" s="343">
        <v>0</v>
      </c>
      <c r="G399" s="334">
        <f t="shared" si="64"/>
        <v>0</v>
      </c>
      <c r="H399" s="336">
        <f t="shared" si="65"/>
        <v>0</v>
      </c>
    </row>
    <row r="400" spans="1:8" x14ac:dyDescent="0.2">
      <c r="A400" s="1233"/>
      <c r="B400" s="593">
        <v>53206990000000</v>
      </c>
      <c r="C400" s="594" t="s">
        <v>143</v>
      </c>
      <c r="D400" s="334">
        <f t="shared" si="63"/>
        <v>0</v>
      </c>
      <c r="E400" s="334">
        <v>0</v>
      </c>
      <c r="F400" s="343">
        <v>0</v>
      </c>
      <c r="G400" s="334">
        <f t="shared" si="64"/>
        <v>0</v>
      </c>
      <c r="H400" s="336">
        <f t="shared" si="65"/>
        <v>0</v>
      </c>
    </row>
    <row r="401" spans="1:14" x14ac:dyDescent="0.2">
      <c r="A401" s="1233"/>
      <c r="B401" s="593">
        <v>53208030000000</v>
      </c>
      <c r="C401" s="594" t="s">
        <v>144</v>
      </c>
      <c r="D401" s="334">
        <f t="shared" si="63"/>
        <v>0</v>
      </c>
      <c r="E401" s="334">
        <v>0</v>
      </c>
      <c r="F401" s="343">
        <v>0</v>
      </c>
      <c r="G401" s="334">
        <f t="shared" si="64"/>
        <v>0</v>
      </c>
      <c r="H401" s="336">
        <f t="shared" si="65"/>
        <v>0</v>
      </c>
    </row>
    <row r="402" spans="1:14" x14ac:dyDescent="0.2">
      <c r="A402" s="1233"/>
      <c r="B402" s="593">
        <v>53206990000000</v>
      </c>
      <c r="C402" s="594" t="s">
        <v>145</v>
      </c>
      <c r="D402" s="334">
        <f t="shared" si="63"/>
        <v>0</v>
      </c>
      <c r="E402" s="334">
        <v>0</v>
      </c>
      <c r="F402" s="343">
        <v>0</v>
      </c>
      <c r="G402" s="334">
        <f t="shared" si="64"/>
        <v>0</v>
      </c>
      <c r="H402" s="336">
        <f t="shared" si="65"/>
        <v>0</v>
      </c>
    </row>
    <row r="403" spans="1:14" x14ac:dyDescent="0.2">
      <c r="A403" s="1233"/>
      <c r="B403" s="244"/>
      <c r="C403" s="245" t="s">
        <v>146</v>
      </c>
      <c r="D403" s="573">
        <f>SUM(D404:D404)</f>
        <v>0</v>
      </c>
      <c r="E403" s="247"/>
      <c r="F403" s="247"/>
      <c r="G403" s="573">
        <f>SUM(G404:G404)</f>
        <v>0</v>
      </c>
      <c r="H403" s="332">
        <f>SUM(H404:H404)</f>
        <v>0</v>
      </c>
    </row>
    <row r="404" spans="1:14" x14ac:dyDescent="0.2">
      <c r="A404" s="1233"/>
      <c r="B404" s="602"/>
      <c r="C404" s="603" t="s">
        <v>147</v>
      </c>
      <c r="D404" s="337">
        <v>0</v>
      </c>
      <c r="E404" s="337">
        <v>0</v>
      </c>
      <c r="F404" s="342">
        <v>0</v>
      </c>
      <c r="G404" s="334">
        <f>E404*F404</f>
        <v>0</v>
      </c>
      <c r="H404" s="347">
        <f>D404+G404</f>
        <v>0</v>
      </c>
      <c r="I404" s="711" t="s">
        <v>148</v>
      </c>
      <c r="J404" s="712">
        <f>+H402+H401+H400+H399+H398+H397+H396+H394+H393+H392+H391+H390+H389+H388+H387+H385+H382+H381+H380+H379+H378+H376+H374+H373+H367+H366+H365+H363+H362+H361+H360+H359+H358+H357+H356+H355+H354+H353</f>
        <v>0</v>
      </c>
    </row>
    <row r="405" spans="1:14" x14ac:dyDescent="0.2">
      <c r="A405" s="1233"/>
      <c r="B405" s="269"/>
      <c r="C405" s="285" t="s">
        <v>149</v>
      </c>
      <c r="D405" s="348">
        <f>SUM(D342,D369)</f>
        <v>0</v>
      </c>
      <c r="E405" s="349"/>
      <c r="F405" s="349"/>
      <c r="G405" s="348">
        <f>SUM(G342,G369)</f>
        <v>0</v>
      </c>
      <c r="H405" s="350">
        <f>SUM(H342,H369)</f>
        <v>0</v>
      </c>
      <c r="I405" s="713" t="s">
        <v>150</v>
      </c>
      <c r="J405" s="714">
        <f>+H405-J404</f>
        <v>0</v>
      </c>
    </row>
    <row r="406" spans="1:14" ht="12.75" customHeight="1" x14ac:dyDescent="0.2">
      <c r="A406" s="1235" t="s">
        <v>151</v>
      </c>
      <c r="B406" s="1236" t="s">
        <v>78</v>
      </c>
      <c r="C406" s="1237" t="s">
        <v>79</v>
      </c>
      <c r="D406" s="1238" t="s">
        <v>80</v>
      </c>
      <c r="E406" s="1239" t="s">
        <v>81</v>
      </c>
      <c r="F406" s="1239"/>
      <c r="G406" s="1239"/>
      <c r="H406" s="1232" t="s">
        <v>338</v>
      </c>
      <c r="K406" s="1245" t="s">
        <v>158</v>
      </c>
      <c r="L406" s="1240" t="s">
        <v>154</v>
      </c>
      <c r="M406" s="1240" t="s">
        <v>159</v>
      </c>
      <c r="N406" s="1240" t="s">
        <v>160</v>
      </c>
    </row>
    <row r="407" spans="1:14" ht="25.5" x14ac:dyDescent="0.2">
      <c r="A407" s="1235"/>
      <c r="B407" s="1236"/>
      <c r="C407" s="1237"/>
      <c r="D407" s="1238"/>
      <c r="E407" s="38" t="s">
        <v>82</v>
      </c>
      <c r="F407" s="237" t="s">
        <v>83</v>
      </c>
      <c r="G407" s="570" t="s">
        <v>84</v>
      </c>
      <c r="H407" s="1232"/>
      <c r="K407" s="1245"/>
      <c r="L407" s="1240"/>
      <c r="M407" s="1240"/>
      <c r="N407" s="1240"/>
    </row>
    <row r="408" spans="1:14" ht="15.75" customHeight="1" x14ac:dyDescent="0.2">
      <c r="A408" s="1233" t="s">
        <v>39</v>
      </c>
      <c r="B408" s="238"/>
      <c r="C408" s="239" t="s">
        <v>85</v>
      </c>
      <c r="D408" s="240">
        <f>+D409+D414</f>
        <v>168572323.93399996</v>
      </c>
      <c r="E408" s="274"/>
      <c r="F408" s="274"/>
      <c r="G408" s="242">
        <f>SUM(G409,G414)</f>
        <v>31517379.999999996</v>
      </c>
      <c r="H408" s="243">
        <f>SUM(H409,H414)</f>
        <v>200089703.93399996</v>
      </c>
      <c r="K408" s="1241" t="s">
        <v>85</v>
      </c>
      <c r="L408" s="1241"/>
      <c r="M408" s="1241"/>
      <c r="N408" s="1241"/>
    </row>
    <row r="409" spans="1:14" x14ac:dyDescent="0.2">
      <c r="A409" s="1233"/>
      <c r="B409" s="244"/>
      <c r="C409" s="245" t="s">
        <v>86</v>
      </c>
      <c r="D409" s="246">
        <f>SUM(D410:D413)</f>
        <v>153792702.97999996</v>
      </c>
      <c r="E409" s="247"/>
      <c r="F409" s="247"/>
      <c r="G409" s="46">
        <f>SUM(G410:G413)</f>
        <v>677999.99999999988</v>
      </c>
      <c r="H409" s="248">
        <f>SUM(H410:H413)</f>
        <v>154470702.97999996</v>
      </c>
      <c r="K409" s="245" t="s">
        <v>91</v>
      </c>
      <c r="L409" s="1242"/>
      <c r="M409" s="1242"/>
      <c r="N409" s="1242"/>
    </row>
    <row r="410" spans="1:14" x14ac:dyDescent="0.2">
      <c r="A410" s="1233"/>
      <c r="B410" s="593">
        <v>53103040100000</v>
      </c>
      <c r="C410" s="594" t="s">
        <v>87</v>
      </c>
      <c r="D410" s="277">
        <f>+'F) Remuneraciones'!L107</f>
        <v>152125599.97999996</v>
      </c>
      <c r="E410" s="249">
        <v>0</v>
      </c>
      <c r="F410" s="605">
        <v>0</v>
      </c>
      <c r="G410" s="249">
        <f>E410*F410</f>
        <v>0</v>
      </c>
      <c r="H410" s="250">
        <f>D410+G410</f>
        <v>152125599.97999996</v>
      </c>
      <c r="K410" s="608" t="s">
        <v>95</v>
      </c>
      <c r="L410" s="351">
        <v>0</v>
      </c>
      <c r="M410" s="352">
        <f t="shared" ref="M410:M426" si="66">+L410*0.7</f>
        <v>0</v>
      </c>
      <c r="N410" s="352">
        <f t="shared" ref="N410:N426" si="67">+L410*0.3</f>
        <v>0</v>
      </c>
    </row>
    <row r="411" spans="1:14" x14ac:dyDescent="0.2">
      <c r="A411" s="1233"/>
      <c r="B411" s="593">
        <v>53103050000000</v>
      </c>
      <c r="C411" s="594" t="s">
        <v>152</v>
      </c>
      <c r="D411" s="251">
        <v>0</v>
      </c>
      <c r="E411" s="252">
        <v>0</v>
      </c>
      <c r="F411" s="253">
        <v>0</v>
      </c>
      <c r="G411" s="249">
        <f>E411*F411</f>
        <v>0</v>
      </c>
      <c r="H411" s="250">
        <f>D411+G411</f>
        <v>0</v>
      </c>
      <c r="K411" s="594" t="s">
        <v>96</v>
      </c>
      <c r="L411" s="326">
        <v>0</v>
      </c>
      <c r="M411" s="352">
        <f t="shared" si="66"/>
        <v>0</v>
      </c>
      <c r="N411" s="352">
        <f t="shared" si="67"/>
        <v>0</v>
      </c>
    </row>
    <row r="412" spans="1:14" x14ac:dyDescent="0.2">
      <c r="A412" s="1233"/>
      <c r="B412" s="598">
        <v>53103040400000</v>
      </c>
      <c r="C412" s="599" t="s">
        <v>89</v>
      </c>
      <c r="D412" s="251">
        <v>1667103</v>
      </c>
      <c r="E412" s="252">
        <v>0</v>
      </c>
      <c r="F412" s="253">
        <v>0</v>
      </c>
      <c r="G412" s="249">
        <f>E412*F412</f>
        <v>0</v>
      </c>
      <c r="H412" s="250">
        <f>D412+G412</f>
        <v>1667103</v>
      </c>
      <c r="K412" s="594" t="s">
        <v>97</v>
      </c>
      <c r="L412" s="326">
        <v>0</v>
      </c>
      <c r="M412" s="352">
        <f t="shared" si="66"/>
        <v>0</v>
      </c>
      <c r="N412" s="352">
        <f t="shared" si="67"/>
        <v>0</v>
      </c>
    </row>
    <row r="413" spans="1:14" x14ac:dyDescent="0.2">
      <c r="A413" s="1233"/>
      <c r="B413" s="593">
        <v>53103080010000</v>
      </c>
      <c r="C413" s="594" t="s">
        <v>90</v>
      </c>
      <c r="D413" s="251">
        <v>0</v>
      </c>
      <c r="E413" s="252">
        <f>E17</f>
        <v>56499.999999999993</v>
      </c>
      <c r="F413" s="253">
        <f>2*6</f>
        <v>12</v>
      </c>
      <c r="G413" s="249">
        <f>E413*F413</f>
        <v>677999.99999999988</v>
      </c>
      <c r="H413" s="250">
        <f>D413+G413</f>
        <v>677999.99999999988</v>
      </c>
      <c r="K413" s="594" t="s">
        <v>98</v>
      </c>
      <c r="L413" s="257">
        <f>18990*1.13*6</f>
        <v>128752.19999999998</v>
      </c>
      <c r="M413" s="352">
        <f t="shared" si="66"/>
        <v>90126.539999999979</v>
      </c>
      <c r="N413" s="352">
        <f t="shared" si="67"/>
        <v>38625.659999999996</v>
      </c>
    </row>
    <row r="414" spans="1:14" x14ac:dyDescent="0.2">
      <c r="A414" s="1233"/>
      <c r="B414" s="244"/>
      <c r="C414" s="245" t="s">
        <v>91</v>
      </c>
      <c r="D414" s="246">
        <f>SUM(D415:D434)</f>
        <v>14779620.953999998</v>
      </c>
      <c r="E414" s="247"/>
      <c r="F414" s="247"/>
      <c r="G414" s="246">
        <f>SUM(G415:G434)</f>
        <v>30839379.999999996</v>
      </c>
      <c r="H414" s="248">
        <f>SUM(H415:H434)</f>
        <v>45619000.954000004</v>
      </c>
      <c r="K414" s="594" t="s">
        <v>99</v>
      </c>
      <c r="L414" s="326">
        <f>'H) Detalle Datos'!BI52</f>
        <v>3215845</v>
      </c>
      <c r="M414" s="352">
        <f t="shared" si="66"/>
        <v>2251091.5</v>
      </c>
      <c r="N414" s="352">
        <f t="shared" si="67"/>
        <v>964753.5</v>
      </c>
    </row>
    <row r="415" spans="1:14" x14ac:dyDescent="0.2">
      <c r="A415" s="1233"/>
      <c r="B415" s="593">
        <v>53201010100000</v>
      </c>
      <c r="C415" s="594" t="s">
        <v>92</v>
      </c>
      <c r="D415" s="251">
        <v>0</v>
      </c>
      <c r="E415" s="252">
        <f>E19</f>
        <v>1859</v>
      </c>
      <c r="F415" s="720">
        <f>19*20*11</f>
        <v>4180</v>
      </c>
      <c r="G415" s="249">
        <f t="shared" ref="G415:G434" si="68">E415*F415</f>
        <v>7770620</v>
      </c>
      <c r="H415" s="250">
        <f t="shared" ref="H415:H434" si="69">D415+G415</f>
        <v>7770620</v>
      </c>
      <c r="K415" s="594" t="s">
        <v>100</v>
      </c>
      <c r="L415" s="326">
        <f>'H) Detalle Datos'!O28+'H) Detalle Datos'!O29+'H) Detalle Datos'!O30+'H) Detalle Datos'!O31+'H) Detalle Datos'!O32+'H) Detalle Datos'!O33</f>
        <v>4610378</v>
      </c>
      <c r="M415" s="352">
        <f t="shared" si="66"/>
        <v>3227264.5999999996</v>
      </c>
      <c r="N415" s="352">
        <f t="shared" si="67"/>
        <v>1383113.4</v>
      </c>
    </row>
    <row r="416" spans="1:14" x14ac:dyDescent="0.2">
      <c r="A416" s="1233"/>
      <c r="B416" s="593">
        <v>53201010100000</v>
      </c>
      <c r="C416" s="594" t="s">
        <v>93</v>
      </c>
      <c r="D416" s="251">
        <v>0</v>
      </c>
      <c r="E416" s="252">
        <f>1300*1.13</f>
        <v>1468.9999999999998</v>
      </c>
      <c r="F416" s="253">
        <f>70*20*11</f>
        <v>15400</v>
      </c>
      <c r="G416" s="249">
        <f t="shared" si="68"/>
        <v>22622599.999999996</v>
      </c>
      <c r="H416" s="250">
        <f t="shared" si="69"/>
        <v>22622599.999999996</v>
      </c>
      <c r="K416" s="594" t="s">
        <v>101</v>
      </c>
      <c r="L416" s="326">
        <v>4342875</v>
      </c>
      <c r="M416" s="352">
        <f t="shared" si="66"/>
        <v>3040012.5</v>
      </c>
      <c r="N416" s="352">
        <f t="shared" si="67"/>
        <v>1302862.5</v>
      </c>
    </row>
    <row r="417" spans="1:14" x14ac:dyDescent="0.2">
      <c r="A417" s="1233"/>
      <c r="B417" s="593">
        <v>53201010100000</v>
      </c>
      <c r="C417" s="594" t="s">
        <v>94</v>
      </c>
      <c r="D417" s="251">
        <v>0</v>
      </c>
      <c r="E417" s="252">
        <f>E415</f>
        <v>1859</v>
      </c>
      <c r="F417" s="253">
        <f>2*20*6</f>
        <v>240</v>
      </c>
      <c r="G417" s="249">
        <f t="shared" si="68"/>
        <v>446160</v>
      </c>
      <c r="H417" s="250">
        <f t="shared" si="69"/>
        <v>446160</v>
      </c>
      <c r="K417" s="594" t="s">
        <v>102</v>
      </c>
      <c r="L417" s="326">
        <v>1411788</v>
      </c>
      <c r="M417" s="352">
        <f t="shared" si="66"/>
        <v>988251.6</v>
      </c>
      <c r="N417" s="352">
        <f t="shared" si="67"/>
        <v>423536.39999999997</v>
      </c>
    </row>
    <row r="418" spans="1:14" x14ac:dyDescent="0.2">
      <c r="A418" s="1233"/>
      <c r="B418" s="593">
        <v>53202010100000</v>
      </c>
      <c r="C418" s="594" t="s">
        <v>95</v>
      </c>
      <c r="D418" s="249">
        <f t="shared" ref="D418:D434" si="70">+M410</f>
        <v>0</v>
      </c>
      <c r="E418" s="249">
        <v>0</v>
      </c>
      <c r="F418" s="609">
        <v>0</v>
      </c>
      <c r="G418" s="249">
        <f t="shared" si="68"/>
        <v>0</v>
      </c>
      <c r="H418" s="250">
        <f t="shared" si="69"/>
        <v>0</v>
      </c>
      <c r="K418" s="594" t="s">
        <v>103</v>
      </c>
      <c r="L418" s="326">
        <v>2912448</v>
      </c>
      <c r="M418" s="352">
        <f t="shared" si="66"/>
        <v>2038713.5999999999</v>
      </c>
      <c r="N418" s="352">
        <f t="shared" si="67"/>
        <v>873734.4</v>
      </c>
    </row>
    <row r="419" spans="1:14" x14ac:dyDescent="0.2">
      <c r="A419" s="1233"/>
      <c r="B419" s="593">
        <v>53203010100000</v>
      </c>
      <c r="C419" s="594" t="s">
        <v>96</v>
      </c>
      <c r="D419" s="249">
        <f t="shared" si="70"/>
        <v>0</v>
      </c>
      <c r="E419" s="249">
        <v>0</v>
      </c>
      <c r="F419" s="609">
        <v>0</v>
      </c>
      <c r="G419" s="249">
        <f t="shared" si="68"/>
        <v>0</v>
      </c>
      <c r="H419" s="250">
        <f t="shared" si="69"/>
        <v>0</v>
      </c>
      <c r="K419" s="594" t="s">
        <v>104</v>
      </c>
      <c r="L419" s="257">
        <f>34516*12*1.13</f>
        <v>468036.95999999996</v>
      </c>
      <c r="M419" s="352">
        <f t="shared" si="66"/>
        <v>327625.87199999997</v>
      </c>
      <c r="N419" s="352">
        <f t="shared" si="67"/>
        <v>140411.08799999999</v>
      </c>
    </row>
    <row r="420" spans="1:14" x14ac:dyDescent="0.2">
      <c r="A420" s="1233"/>
      <c r="B420" s="593">
        <v>53203030000000</v>
      </c>
      <c r="C420" s="594" t="s">
        <v>97</v>
      </c>
      <c r="D420" s="249">
        <f t="shared" si="70"/>
        <v>0</v>
      </c>
      <c r="E420" s="249">
        <v>0</v>
      </c>
      <c r="F420" s="609">
        <v>0</v>
      </c>
      <c r="G420" s="249">
        <f t="shared" si="68"/>
        <v>0</v>
      </c>
      <c r="H420" s="250">
        <f t="shared" si="69"/>
        <v>0</v>
      </c>
      <c r="K420" s="594" t="s">
        <v>105</v>
      </c>
      <c r="L420" s="326">
        <v>0</v>
      </c>
      <c r="M420" s="352">
        <f t="shared" si="66"/>
        <v>0</v>
      </c>
      <c r="N420" s="352">
        <f t="shared" si="67"/>
        <v>0</v>
      </c>
    </row>
    <row r="421" spans="1:14" x14ac:dyDescent="0.2">
      <c r="A421" s="1233"/>
      <c r="B421" s="593">
        <v>53204030000000</v>
      </c>
      <c r="C421" s="594" t="s">
        <v>98</v>
      </c>
      <c r="D421" s="249">
        <f t="shared" si="70"/>
        <v>90126.539999999979</v>
      </c>
      <c r="E421" s="249">
        <v>0</v>
      </c>
      <c r="F421" s="609">
        <v>0</v>
      </c>
      <c r="G421" s="249">
        <f t="shared" si="68"/>
        <v>0</v>
      </c>
      <c r="H421" s="250">
        <f t="shared" si="69"/>
        <v>90126.539999999979</v>
      </c>
      <c r="K421" s="594" t="s">
        <v>106</v>
      </c>
      <c r="L421" s="326">
        <f>828836*2*1.13</f>
        <v>1873169.3599999999</v>
      </c>
      <c r="M421" s="352">
        <f t="shared" si="66"/>
        <v>1311218.5519999999</v>
      </c>
      <c r="N421" s="352">
        <f t="shared" si="67"/>
        <v>561950.80799999996</v>
      </c>
    </row>
    <row r="422" spans="1:14" x14ac:dyDescent="0.2">
      <c r="A422" s="1233"/>
      <c r="B422" s="593">
        <v>53204100100001</v>
      </c>
      <c r="C422" s="594" t="s">
        <v>99</v>
      </c>
      <c r="D422" s="249"/>
      <c r="E422" s="249">
        <v>0</v>
      </c>
      <c r="F422" s="609">
        <v>0</v>
      </c>
      <c r="G422" s="249">
        <f t="shared" si="68"/>
        <v>0</v>
      </c>
      <c r="H422" s="250">
        <f t="shared" si="69"/>
        <v>0</v>
      </c>
      <c r="K422" s="594" t="s">
        <v>107</v>
      </c>
      <c r="L422" s="351">
        <v>0</v>
      </c>
      <c r="M422" s="352">
        <f t="shared" si="66"/>
        <v>0</v>
      </c>
      <c r="N422" s="352">
        <f t="shared" si="67"/>
        <v>0</v>
      </c>
    </row>
    <row r="423" spans="1:14" x14ac:dyDescent="0.2">
      <c r="A423" s="1233"/>
      <c r="B423" s="593">
        <v>53204130100000</v>
      </c>
      <c r="C423" s="594" t="s">
        <v>100</v>
      </c>
      <c r="D423" s="249">
        <f t="shared" si="70"/>
        <v>3227264.5999999996</v>
      </c>
      <c r="E423" s="249">
        <v>0</v>
      </c>
      <c r="F423" s="609">
        <v>0</v>
      </c>
      <c r="G423" s="249">
        <f t="shared" si="68"/>
        <v>0</v>
      </c>
      <c r="H423" s="250">
        <f t="shared" si="69"/>
        <v>3227264.5999999996</v>
      </c>
      <c r="K423" s="594" t="s">
        <v>108</v>
      </c>
      <c r="L423" s="326">
        <f>'H) Detalle Datos'!O45+'H) Detalle Datos'!O46</f>
        <v>2023120</v>
      </c>
      <c r="M423" s="352">
        <f t="shared" si="66"/>
        <v>1416184</v>
      </c>
      <c r="N423" s="352">
        <f t="shared" si="67"/>
        <v>606936</v>
      </c>
    </row>
    <row r="424" spans="1:14" x14ac:dyDescent="0.2">
      <c r="A424" s="1233"/>
      <c r="B424" s="593">
        <v>53205010100000</v>
      </c>
      <c r="C424" s="594" t="s">
        <v>101</v>
      </c>
      <c r="D424" s="249">
        <f t="shared" si="70"/>
        <v>3040012.5</v>
      </c>
      <c r="E424" s="249">
        <v>0</v>
      </c>
      <c r="F424" s="609">
        <v>0</v>
      </c>
      <c r="G424" s="249">
        <f t="shared" si="68"/>
        <v>0</v>
      </c>
      <c r="H424" s="250">
        <f t="shared" si="69"/>
        <v>3040012.5</v>
      </c>
      <c r="K424" s="594" t="s">
        <v>109</v>
      </c>
      <c r="L424" s="326">
        <v>0</v>
      </c>
      <c r="M424" s="352">
        <f t="shared" si="66"/>
        <v>0</v>
      </c>
      <c r="N424" s="352">
        <f t="shared" si="67"/>
        <v>0</v>
      </c>
    </row>
    <row r="425" spans="1:14" x14ac:dyDescent="0.2">
      <c r="A425" s="1233"/>
      <c r="B425" s="593">
        <v>53205020100000</v>
      </c>
      <c r="C425" s="594" t="s">
        <v>102</v>
      </c>
      <c r="D425" s="249">
        <f t="shared" si="70"/>
        <v>988251.6</v>
      </c>
      <c r="E425" s="249">
        <v>0</v>
      </c>
      <c r="F425" s="609">
        <v>0</v>
      </c>
      <c r="G425" s="249">
        <f t="shared" si="68"/>
        <v>0</v>
      </c>
      <c r="H425" s="250">
        <f t="shared" si="69"/>
        <v>988251.6</v>
      </c>
      <c r="K425" s="608" t="s">
        <v>110</v>
      </c>
      <c r="L425" s="257">
        <f>58772*6*9</f>
        <v>3173688</v>
      </c>
      <c r="M425" s="352">
        <f t="shared" si="66"/>
        <v>2221581.5999999996</v>
      </c>
      <c r="N425" s="352">
        <f t="shared" si="67"/>
        <v>952106.39999999991</v>
      </c>
    </row>
    <row r="426" spans="1:14" x14ac:dyDescent="0.2">
      <c r="A426" s="1233"/>
      <c r="B426" s="593">
        <v>53205030100000</v>
      </c>
      <c r="C426" s="594" t="s">
        <v>103</v>
      </c>
      <c r="D426" s="249">
        <f t="shared" si="70"/>
        <v>2038713.5999999999</v>
      </c>
      <c r="E426" s="249">
        <v>0</v>
      </c>
      <c r="F426" s="609">
        <v>0</v>
      </c>
      <c r="G426" s="249">
        <f t="shared" si="68"/>
        <v>0</v>
      </c>
      <c r="H426" s="250">
        <f t="shared" si="69"/>
        <v>2038713.5999999999</v>
      </c>
      <c r="K426" s="594" t="s">
        <v>111</v>
      </c>
      <c r="L426" s="351">
        <f>149990*1.13</f>
        <v>169488.69999999998</v>
      </c>
      <c r="M426" s="352">
        <f t="shared" si="66"/>
        <v>118642.08999999998</v>
      </c>
      <c r="N426" s="352">
        <f t="shared" si="67"/>
        <v>50846.609999999993</v>
      </c>
    </row>
    <row r="427" spans="1:14" x14ac:dyDescent="0.2">
      <c r="A427" s="1233"/>
      <c r="B427" s="593">
        <v>53205050100000</v>
      </c>
      <c r="C427" s="594" t="s">
        <v>104</v>
      </c>
      <c r="D427" s="249">
        <f t="shared" si="70"/>
        <v>327625.87199999997</v>
      </c>
      <c r="E427" s="249">
        <v>0</v>
      </c>
      <c r="F427" s="609">
        <v>0</v>
      </c>
      <c r="G427" s="249">
        <f t="shared" si="68"/>
        <v>0</v>
      </c>
      <c r="H427" s="250">
        <f t="shared" si="69"/>
        <v>327625.87199999997</v>
      </c>
      <c r="K427" s="239" t="s">
        <v>112</v>
      </c>
      <c r="L427" s="1243"/>
      <c r="M427" s="1243"/>
      <c r="N427" s="1243"/>
    </row>
    <row r="428" spans="1:14" x14ac:dyDescent="0.2">
      <c r="A428" s="1233"/>
      <c r="B428" s="593">
        <v>53205070100000</v>
      </c>
      <c r="C428" s="594" t="s">
        <v>105</v>
      </c>
      <c r="D428" s="249">
        <f t="shared" si="70"/>
        <v>0</v>
      </c>
      <c r="E428" s="249">
        <v>0</v>
      </c>
      <c r="F428" s="609">
        <v>0</v>
      </c>
      <c r="G428" s="249">
        <f t="shared" si="68"/>
        <v>0</v>
      </c>
      <c r="H428" s="250">
        <f t="shared" si="69"/>
        <v>0</v>
      </c>
      <c r="K428" s="245" t="s">
        <v>113</v>
      </c>
      <c r="L428" s="1242"/>
      <c r="M428" s="1242"/>
      <c r="N428" s="1242"/>
    </row>
    <row r="429" spans="1:14" x14ac:dyDescent="0.2">
      <c r="A429" s="1233"/>
      <c r="B429" s="593">
        <v>53208010100000</v>
      </c>
      <c r="C429" s="594" t="s">
        <v>106</v>
      </c>
      <c r="D429" s="249">
        <f t="shared" si="70"/>
        <v>1311218.5519999999</v>
      </c>
      <c r="E429" s="249">
        <v>0</v>
      </c>
      <c r="F429" s="609">
        <v>0</v>
      </c>
      <c r="G429" s="249">
        <f t="shared" si="68"/>
        <v>0</v>
      </c>
      <c r="H429" s="250">
        <f t="shared" si="69"/>
        <v>1311218.5519999999</v>
      </c>
      <c r="K429" s="594" t="s">
        <v>116</v>
      </c>
      <c r="L429" s="716">
        <f>249000*2</f>
        <v>498000</v>
      </c>
      <c r="M429" s="726">
        <f>+L429*0.7</f>
        <v>348600</v>
      </c>
      <c r="N429" s="726">
        <f>+M429*0.3</f>
        <v>104580</v>
      </c>
    </row>
    <row r="430" spans="1:14" x14ac:dyDescent="0.2">
      <c r="A430" s="1233"/>
      <c r="B430" s="593">
        <v>53208070100001</v>
      </c>
      <c r="C430" s="594" t="s">
        <v>107</v>
      </c>
      <c r="D430" s="249">
        <f t="shared" si="70"/>
        <v>0</v>
      </c>
      <c r="E430" s="249">
        <v>0</v>
      </c>
      <c r="F430" s="609">
        <v>0</v>
      </c>
      <c r="G430" s="249">
        <f t="shared" si="68"/>
        <v>0</v>
      </c>
      <c r="H430" s="250">
        <f t="shared" si="69"/>
        <v>0</v>
      </c>
      <c r="K430" s="608" t="s">
        <v>117</v>
      </c>
      <c r="L430" s="727">
        <v>0</v>
      </c>
      <c r="M430" s="726">
        <f>+L430*0.7</f>
        <v>0</v>
      </c>
      <c r="N430" s="726">
        <f>+M430*0.7</f>
        <v>0</v>
      </c>
    </row>
    <row r="431" spans="1:14" x14ac:dyDescent="0.2">
      <c r="A431" s="1233"/>
      <c r="B431" s="593">
        <v>53208100100001</v>
      </c>
      <c r="C431" s="594" t="s">
        <v>108</v>
      </c>
      <c r="D431" s="249">
        <f t="shared" si="70"/>
        <v>1416184</v>
      </c>
      <c r="E431" s="249">
        <v>0</v>
      </c>
      <c r="F431" s="609">
        <v>0</v>
      </c>
      <c r="G431" s="249">
        <f t="shared" si="68"/>
        <v>0</v>
      </c>
      <c r="H431" s="250">
        <f t="shared" si="69"/>
        <v>1416184</v>
      </c>
      <c r="K431" s="245" t="s">
        <v>118</v>
      </c>
      <c r="L431" s="1244"/>
      <c r="M431" s="1244"/>
      <c r="N431" s="1244"/>
    </row>
    <row r="432" spans="1:14" x14ac:dyDescent="0.2">
      <c r="A432" s="1233"/>
      <c r="B432" s="593">
        <v>53211030000000</v>
      </c>
      <c r="C432" s="594" t="s">
        <v>109</v>
      </c>
      <c r="D432" s="249">
        <f t="shared" si="70"/>
        <v>0</v>
      </c>
      <c r="E432" s="249">
        <v>0</v>
      </c>
      <c r="F432" s="609">
        <v>0</v>
      </c>
      <c r="G432" s="249">
        <f t="shared" si="68"/>
        <v>0</v>
      </c>
      <c r="H432" s="250">
        <f t="shared" si="69"/>
        <v>0</v>
      </c>
      <c r="K432" s="594" t="s">
        <v>119</v>
      </c>
      <c r="L432" s="727">
        <v>0</v>
      </c>
      <c r="M432" s="726">
        <f>+L432*0.7</f>
        <v>0</v>
      </c>
      <c r="N432" s="726">
        <f>+M432*0.7</f>
        <v>0</v>
      </c>
    </row>
    <row r="433" spans="1:15" x14ac:dyDescent="0.2">
      <c r="A433" s="1233"/>
      <c r="B433" s="593">
        <v>53212020100000</v>
      </c>
      <c r="C433" s="594" t="s">
        <v>110</v>
      </c>
      <c r="D433" s="249">
        <f t="shared" si="70"/>
        <v>2221581.5999999996</v>
      </c>
      <c r="E433" s="249">
        <v>0</v>
      </c>
      <c r="F433" s="609">
        <v>0</v>
      </c>
      <c r="G433" s="249">
        <f t="shared" si="68"/>
        <v>0</v>
      </c>
      <c r="H433" s="250">
        <f t="shared" si="69"/>
        <v>2221581.5999999996</v>
      </c>
      <c r="K433" s="245" t="s">
        <v>120</v>
      </c>
      <c r="L433" s="1244"/>
      <c r="M433" s="1244"/>
      <c r="N433" s="1244"/>
    </row>
    <row r="434" spans="1:15" ht="15.75" customHeight="1" x14ac:dyDescent="0.2">
      <c r="A434" s="1233"/>
      <c r="B434" s="593">
        <v>53214020000000</v>
      </c>
      <c r="C434" s="594" t="s">
        <v>111</v>
      </c>
      <c r="D434" s="249">
        <f t="shared" si="70"/>
        <v>118642.08999999998</v>
      </c>
      <c r="E434" s="249">
        <v>0</v>
      </c>
      <c r="F434" s="609">
        <v>0</v>
      </c>
      <c r="G434" s="249">
        <f t="shared" si="68"/>
        <v>0</v>
      </c>
      <c r="H434" s="250">
        <f t="shared" si="69"/>
        <v>118642.08999999998</v>
      </c>
      <c r="K434" s="594" t="s">
        <v>121</v>
      </c>
      <c r="L434" s="727">
        <v>980000</v>
      </c>
      <c r="M434" s="726">
        <f t="shared" ref="M434:N441" si="71">+L434*0.7</f>
        <v>686000</v>
      </c>
      <c r="N434" s="726">
        <f>+M434*0.3</f>
        <v>205800</v>
      </c>
    </row>
    <row r="435" spans="1:15" x14ac:dyDescent="0.2">
      <c r="A435" s="1233"/>
      <c r="B435" s="238"/>
      <c r="C435" s="239" t="s">
        <v>112</v>
      </c>
      <c r="D435" s="606">
        <f>+D436+D441+D443+D452+D461+D469</f>
        <v>12371581.223999999</v>
      </c>
      <c r="E435" s="241"/>
      <c r="F435" s="241"/>
      <c r="G435" s="240">
        <f>SUM(G436,G441,G443,G452,G461,G469)</f>
        <v>2364290.1</v>
      </c>
      <c r="H435" s="606">
        <f>SUM(H436,H441,H443,H452,H461,H469)</f>
        <v>14735871.323999999</v>
      </c>
      <c r="K435" s="594" t="s">
        <v>122</v>
      </c>
      <c r="L435" s="716">
        <f>18000*1.13*7</f>
        <v>142379.99999999997</v>
      </c>
      <c r="M435" s="726">
        <f t="shared" si="71"/>
        <v>99665.999999999971</v>
      </c>
      <c r="N435" s="726">
        <f>L435*0.3</f>
        <v>42713.999999999993</v>
      </c>
    </row>
    <row r="436" spans="1:15" x14ac:dyDescent="0.2">
      <c r="A436" s="1233"/>
      <c r="B436" s="244"/>
      <c r="C436" s="245" t="s">
        <v>113</v>
      </c>
      <c r="D436" s="246">
        <f>SUM(D437:D440)</f>
        <v>748550</v>
      </c>
      <c r="E436" s="247"/>
      <c r="F436" s="247"/>
      <c r="G436" s="246">
        <f>SUM(G437:G440)</f>
        <v>999290.1</v>
      </c>
      <c r="H436" s="246">
        <f>SUM(H437:H440)</f>
        <v>1747840.1</v>
      </c>
      <c r="K436" s="594" t="s">
        <v>123</v>
      </c>
      <c r="L436" s="727">
        <v>0</v>
      </c>
      <c r="M436" s="726">
        <f t="shared" si="71"/>
        <v>0</v>
      </c>
      <c r="N436" s="726">
        <f>L436*0.3</f>
        <v>0</v>
      </c>
    </row>
    <row r="437" spans="1:15" x14ac:dyDescent="0.2">
      <c r="A437" s="1233"/>
      <c r="B437" s="593">
        <v>53202020100000</v>
      </c>
      <c r="C437" s="594" t="s">
        <v>114</v>
      </c>
      <c r="D437" s="251">
        <f>79990*5</f>
        <v>399950</v>
      </c>
      <c r="E437" s="252">
        <f>E305</f>
        <v>48173</v>
      </c>
      <c r="F437" s="327">
        <v>18</v>
      </c>
      <c r="G437" s="249">
        <f>E437*F437</f>
        <v>867114</v>
      </c>
      <c r="H437" s="250">
        <f>D437+G437</f>
        <v>1267064</v>
      </c>
      <c r="K437" s="594" t="s">
        <v>124</v>
      </c>
      <c r="L437" s="727">
        <f>'H) Detalle Datos'!E35+'H) Detalle Datos'!I35+250000*12</f>
        <v>5244500</v>
      </c>
      <c r="M437" s="726">
        <f t="shared" si="71"/>
        <v>3671150</v>
      </c>
      <c r="N437" s="726">
        <f>L437*0.3</f>
        <v>1573350</v>
      </c>
      <c r="O437" s="236"/>
    </row>
    <row r="438" spans="1:15" x14ac:dyDescent="0.2">
      <c r="A438" s="1233"/>
      <c r="B438" s="593">
        <v>53202030000000</v>
      </c>
      <c r="C438" s="594" t="s">
        <v>115</v>
      </c>
      <c r="D438" s="251">
        <v>0</v>
      </c>
      <c r="E438" s="252">
        <f>E306</f>
        <v>44058.7</v>
      </c>
      <c r="F438" s="327">
        <v>3</v>
      </c>
      <c r="G438" s="249">
        <f>E438*F438</f>
        <v>132176.09999999998</v>
      </c>
      <c r="H438" s="250">
        <f>D438+G438</f>
        <v>132176.09999999998</v>
      </c>
      <c r="K438" s="594" t="s">
        <v>125</v>
      </c>
      <c r="L438" s="727">
        <f>'H) Detalle Datos'!O42+'H) Detalle Datos'!O43+'H) Detalle Datos'!O44</f>
        <v>346708</v>
      </c>
      <c r="M438" s="726">
        <f t="shared" si="71"/>
        <v>242695.59999999998</v>
      </c>
      <c r="N438" s="726">
        <f>L438*0.3</f>
        <v>104012.4</v>
      </c>
    </row>
    <row r="439" spans="1:15" x14ac:dyDescent="0.2">
      <c r="A439" s="1233"/>
      <c r="B439" s="593">
        <v>53211020000000</v>
      </c>
      <c r="C439" s="594" t="s">
        <v>116</v>
      </c>
      <c r="D439" s="249">
        <f>+M429</f>
        <v>348600</v>
      </c>
      <c r="E439" s="249">
        <v>0</v>
      </c>
      <c r="F439" s="329">
        <v>0</v>
      </c>
      <c r="G439" s="249">
        <f>E439*F439</f>
        <v>0</v>
      </c>
      <c r="H439" s="250">
        <f>D439+G439</f>
        <v>348600</v>
      </c>
      <c r="K439" s="594" t="s">
        <v>126</v>
      </c>
      <c r="L439" s="728">
        <f>'H) Detalle Datos'!O35+'H) Detalle Datos'!O36+'H) Detalle Datos'!O37+'H) Detalle Datos'!O38+'H) Detalle Datos'!O39+'H) Detalle Datos'!O40</f>
        <v>5315088</v>
      </c>
      <c r="M439" s="726">
        <f t="shared" si="71"/>
        <v>3720561.5999999996</v>
      </c>
      <c r="N439" s="726">
        <f t="shared" si="71"/>
        <v>2604393.1199999996</v>
      </c>
    </row>
    <row r="440" spans="1:15" x14ac:dyDescent="0.2">
      <c r="A440" s="1233"/>
      <c r="B440" s="593">
        <v>53101040600000</v>
      </c>
      <c r="C440" s="594" t="s">
        <v>117</v>
      </c>
      <c r="D440" s="249">
        <f>+M430</f>
        <v>0</v>
      </c>
      <c r="E440" s="249">
        <v>0</v>
      </c>
      <c r="F440" s="329">
        <v>0</v>
      </c>
      <c r="G440" s="249">
        <f>E440*F440</f>
        <v>0</v>
      </c>
      <c r="H440" s="250">
        <f>D440+G440</f>
        <v>0</v>
      </c>
      <c r="K440" s="608" t="s">
        <v>127</v>
      </c>
      <c r="L440" s="728">
        <v>150000</v>
      </c>
      <c r="M440" s="726">
        <f t="shared" si="71"/>
        <v>105000</v>
      </c>
      <c r="N440" s="726">
        <f t="shared" si="71"/>
        <v>73500</v>
      </c>
    </row>
    <row r="441" spans="1:15" x14ac:dyDescent="0.2">
      <c r="A441" s="1233"/>
      <c r="B441" s="244"/>
      <c r="C441" s="245" t="s">
        <v>118</v>
      </c>
      <c r="D441" s="246">
        <f>SUM(D442)</f>
        <v>0</v>
      </c>
      <c r="E441" s="247"/>
      <c r="F441" s="247"/>
      <c r="G441" s="261">
        <f>SUM(G442:G442)</f>
        <v>0</v>
      </c>
      <c r="H441" s="246">
        <f>SUM(H442:H442)</f>
        <v>0</v>
      </c>
      <c r="K441" s="594" t="s">
        <v>128</v>
      </c>
      <c r="L441" s="727">
        <v>0</v>
      </c>
      <c r="M441" s="726">
        <f t="shared" si="71"/>
        <v>0</v>
      </c>
      <c r="N441" s="726">
        <f>L441*0.3</f>
        <v>0</v>
      </c>
    </row>
    <row r="442" spans="1:15" x14ac:dyDescent="0.2">
      <c r="A442" s="1233"/>
      <c r="B442" s="601">
        <v>53205990000000</v>
      </c>
      <c r="C442" s="594" t="s">
        <v>119</v>
      </c>
      <c r="D442" s="249">
        <f>+M432</f>
        <v>0</v>
      </c>
      <c r="E442" s="249">
        <v>0</v>
      </c>
      <c r="F442" s="329">
        <v>0</v>
      </c>
      <c r="G442" s="249">
        <f>E442*F442</f>
        <v>0</v>
      </c>
      <c r="H442" s="250">
        <f>D442+G442</f>
        <v>0</v>
      </c>
      <c r="K442" s="245" t="s">
        <v>129</v>
      </c>
      <c r="L442" s="1244"/>
      <c r="M442" s="1244"/>
      <c r="N442" s="1244"/>
    </row>
    <row r="443" spans="1:15" x14ac:dyDescent="0.2">
      <c r="A443" s="1233"/>
      <c r="B443" s="244"/>
      <c r="C443" s="245" t="s">
        <v>120</v>
      </c>
      <c r="D443" s="246">
        <f>SUM(D444:D451)</f>
        <v>8525073.1999999993</v>
      </c>
      <c r="E443" s="247"/>
      <c r="F443" s="247"/>
      <c r="G443" s="246">
        <f>SUM(G444:G451)</f>
        <v>0</v>
      </c>
      <c r="H443" s="246">
        <f>SUM(H444:H451)</f>
        <v>8525073.1999999993</v>
      </c>
      <c r="K443" s="594" t="s">
        <v>130</v>
      </c>
      <c r="L443" s="727">
        <v>0</v>
      </c>
      <c r="M443" s="726">
        <f t="shared" ref="M443:N449" si="72">+L443*0.7</f>
        <v>0</v>
      </c>
      <c r="N443" s="726">
        <f t="shared" si="72"/>
        <v>0</v>
      </c>
    </row>
    <row r="444" spans="1:15" x14ac:dyDescent="0.2">
      <c r="A444" s="1233"/>
      <c r="B444" s="593">
        <v>53204010000000</v>
      </c>
      <c r="C444" s="594" t="s">
        <v>121</v>
      </c>
      <c r="D444" s="249">
        <f t="shared" ref="D444:D451" si="73">+M434</f>
        <v>686000</v>
      </c>
      <c r="E444" s="249">
        <v>0</v>
      </c>
      <c r="F444" s="329">
        <v>0</v>
      </c>
      <c r="G444" s="249">
        <f t="shared" ref="G444:G451" si="74">E444*F444</f>
        <v>0</v>
      </c>
      <c r="H444" s="250">
        <f t="shared" ref="H444:H451" si="75">D444+G444</f>
        <v>686000</v>
      </c>
      <c r="K444" s="594" t="s">
        <v>131</v>
      </c>
      <c r="L444" s="727">
        <v>0</v>
      </c>
      <c r="M444" s="726">
        <f t="shared" si="72"/>
        <v>0</v>
      </c>
      <c r="N444" s="726">
        <f>L444*0.3</f>
        <v>0</v>
      </c>
    </row>
    <row r="445" spans="1:15" x14ac:dyDescent="0.2">
      <c r="A445" s="1233"/>
      <c r="B445" s="601">
        <v>53204040200000</v>
      </c>
      <c r="C445" s="594" t="s">
        <v>122</v>
      </c>
      <c r="D445" s="249">
        <f t="shared" si="73"/>
        <v>99665.999999999971</v>
      </c>
      <c r="E445" s="249">
        <v>0</v>
      </c>
      <c r="F445" s="329">
        <v>0</v>
      </c>
      <c r="G445" s="249">
        <f t="shared" si="74"/>
        <v>0</v>
      </c>
      <c r="H445" s="250">
        <f t="shared" si="75"/>
        <v>99665.999999999971</v>
      </c>
      <c r="K445" s="594" t="s">
        <v>132</v>
      </c>
      <c r="L445" s="727">
        <v>0</v>
      </c>
      <c r="M445" s="726">
        <f t="shared" si="72"/>
        <v>0</v>
      </c>
      <c r="N445" s="726">
        <f t="shared" si="72"/>
        <v>0</v>
      </c>
    </row>
    <row r="446" spans="1:15" x14ac:dyDescent="0.2">
      <c r="A446" s="1233"/>
      <c r="B446" s="593">
        <v>53204060000000</v>
      </c>
      <c r="C446" s="594" t="s">
        <v>123</v>
      </c>
      <c r="D446" s="249">
        <f t="shared" si="73"/>
        <v>0</v>
      </c>
      <c r="E446" s="249">
        <v>0</v>
      </c>
      <c r="F446" s="329">
        <v>0</v>
      </c>
      <c r="G446" s="249">
        <f t="shared" si="74"/>
        <v>0</v>
      </c>
      <c r="H446" s="250">
        <f t="shared" si="75"/>
        <v>0</v>
      </c>
      <c r="K446" s="594" t="s">
        <v>133</v>
      </c>
      <c r="L446" s="727">
        <f>114341*1.13*4</f>
        <v>516821.31999999995</v>
      </c>
      <c r="M446" s="726">
        <f t="shared" si="72"/>
        <v>361774.92399999994</v>
      </c>
      <c r="N446" s="726">
        <f>L446*0.3</f>
        <v>155046.39599999998</v>
      </c>
    </row>
    <row r="447" spans="1:15" x14ac:dyDescent="0.2">
      <c r="A447" s="1233"/>
      <c r="B447" s="593">
        <v>53204070000000</v>
      </c>
      <c r="C447" s="594" t="s">
        <v>124</v>
      </c>
      <c r="D447" s="249">
        <f t="shared" si="73"/>
        <v>3671150</v>
      </c>
      <c r="E447" s="249">
        <v>0</v>
      </c>
      <c r="F447" s="329">
        <v>0</v>
      </c>
      <c r="G447" s="249">
        <f t="shared" si="74"/>
        <v>0</v>
      </c>
      <c r="H447" s="250">
        <f t="shared" si="75"/>
        <v>3671150</v>
      </c>
      <c r="K447" s="594" t="s">
        <v>135</v>
      </c>
      <c r="L447" s="727">
        <v>0</v>
      </c>
      <c r="M447" s="726">
        <f t="shared" si="72"/>
        <v>0</v>
      </c>
      <c r="N447" s="726">
        <f>L447*0.3</f>
        <v>0</v>
      </c>
    </row>
    <row r="448" spans="1:15" x14ac:dyDescent="0.2">
      <c r="A448" s="1233"/>
      <c r="B448" s="593">
        <v>53204080000000</v>
      </c>
      <c r="C448" s="594" t="s">
        <v>125</v>
      </c>
      <c r="D448" s="249">
        <f t="shared" si="73"/>
        <v>242695.59999999998</v>
      </c>
      <c r="E448" s="249">
        <v>0</v>
      </c>
      <c r="F448" s="329">
        <v>0</v>
      </c>
      <c r="G448" s="249">
        <f t="shared" si="74"/>
        <v>0</v>
      </c>
      <c r="H448" s="250">
        <f t="shared" si="75"/>
        <v>242695.59999999998</v>
      </c>
      <c r="K448" s="594" t="s">
        <v>136</v>
      </c>
      <c r="L448" s="727">
        <v>0</v>
      </c>
      <c r="M448" s="726">
        <f t="shared" si="72"/>
        <v>0</v>
      </c>
      <c r="N448" s="726">
        <f t="shared" si="72"/>
        <v>0</v>
      </c>
    </row>
    <row r="449" spans="1:14" x14ac:dyDescent="0.2">
      <c r="A449" s="1233"/>
      <c r="B449" s="593">
        <v>53214010000000</v>
      </c>
      <c r="C449" s="594" t="s">
        <v>126</v>
      </c>
      <c r="D449" s="249">
        <f t="shared" si="73"/>
        <v>3720561.5999999996</v>
      </c>
      <c r="E449" s="249">
        <v>0</v>
      </c>
      <c r="F449" s="329">
        <v>0</v>
      </c>
      <c r="G449" s="249">
        <f t="shared" si="74"/>
        <v>0</v>
      </c>
      <c r="H449" s="250">
        <f t="shared" si="75"/>
        <v>3720561.5999999996</v>
      </c>
      <c r="K449" s="594" t="s">
        <v>137</v>
      </c>
      <c r="L449" s="729">
        <v>3004833</v>
      </c>
      <c r="M449" s="726">
        <f t="shared" si="72"/>
        <v>2103383.1</v>
      </c>
      <c r="N449" s="726">
        <f>L449*0.3</f>
        <v>901449.9</v>
      </c>
    </row>
    <row r="450" spans="1:14" x14ac:dyDescent="0.2">
      <c r="A450" s="1233"/>
      <c r="B450" s="593">
        <v>53214040000000</v>
      </c>
      <c r="C450" s="594" t="s">
        <v>127</v>
      </c>
      <c r="D450" s="249">
        <f t="shared" si="73"/>
        <v>105000</v>
      </c>
      <c r="E450" s="249">
        <v>0</v>
      </c>
      <c r="F450" s="329">
        <v>0</v>
      </c>
      <c r="G450" s="249">
        <f t="shared" si="74"/>
        <v>0</v>
      </c>
      <c r="H450" s="250">
        <f t="shared" si="75"/>
        <v>105000</v>
      </c>
      <c r="K450" s="245" t="s">
        <v>138</v>
      </c>
      <c r="L450" s="1244"/>
      <c r="M450" s="1244"/>
      <c r="N450" s="1244"/>
    </row>
    <row r="451" spans="1:14" x14ac:dyDescent="0.2">
      <c r="A451" s="1233"/>
      <c r="B451" s="598">
        <v>53204020100000</v>
      </c>
      <c r="C451" s="594" t="s">
        <v>128</v>
      </c>
      <c r="D451" s="249">
        <f t="shared" si="73"/>
        <v>0</v>
      </c>
      <c r="E451" s="249">
        <v>0</v>
      </c>
      <c r="F451" s="329">
        <v>0</v>
      </c>
      <c r="G451" s="249">
        <f t="shared" si="74"/>
        <v>0</v>
      </c>
      <c r="H451" s="250">
        <f t="shared" si="75"/>
        <v>0</v>
      </c>
      <c r="K451" s="594" t="s">
        <v>139</v>
      </c>
      <c r="L451" s="727">
        <v>0</v>
      </c>
      <c r="M451" s="726">
        <f t="shared" ref="M451:N457" si="76">+L451*0.7</f>
        <v>0</v>
      </c>
      <c r="N451" s="726">
        <f t="shared" si="76"/>
        <v>0</v>
      </c>
    </row>
    <row r="452" spans="1:14" x14ac:dyDescent="0.2">
      <c r="A452" s="1233"/>
      <c r="B452" s="244"/>
      <c r="C452" s="245" t="s">
        <v>129</v>
      </c>
      <c r="D452" s="246">
        <f>SUM(D453:D460)</f>
        <v>2465158.0240000002</v>
      </c>
      <c r="E452" s="247"/>
      <c r="F452" s="247"/>
      <c r="G452" s="246">
        <f>SUM(G453:G460)</f>
        <v>574000</v>
      </c>
      <c r="H452" s="248">
        <f>SUM(H453:H460)</f>
        <v>3039158.0240000002</v>
      </c>
      <c r="K452" s="594" t="s">
        <v>140</v>
      </c>
      <c r="L452" s="727">
        <v>0</v>
      </c>
      <c r="M452" s="726">
        <f t="shared" si="76"/>
        <v>0</v>
      </c>
      <c r="N452" s="726">
        <f t="shared" si="76"/>
        <v>0</v>
      </c>
    </row>
    <row r="453" spans="1:14" x14ac:dyDescent="0.2">
      <c r="A453" s="1233"/>
      <c r="B453" s="593">
        <v>53207010000000</v>
      </c>
      <c r="C453" s="594" t="s">
        <v>130</v>
      </c>
      <c r="D453" s="249">
        <f>+M443</f>
        <v>0</v>
      </c>
      <c r="E453" s="249">
        <v>0</v>
      </c>
      <c r="F453" s="329">
        <v>0</v>
      </c>
      <c r="G453" s="249">
        <f t="shared" ref="G453:G460" si="77">E453*F453</f>
        <v>0</v>
      </c>
      <c r="H453" s="250">
        <f t="shared" ref="H453:H460" si="78">D453+G453</f>
        <v>0</v>
      </c>
      <c r="K453" s="594" t="s">
        <v>141</v>
      </c>
      <c r="L453" s="727">
        <v>0</v>
      </c>
      <c r="M453" s="726">
        <f t="shared" si="76"/>
        <v>0</v>
      </c>
      <c r="N453" s="726">
        <f>L453*0.3</f>
        <v>0</v>
      </c>
    </row>
    <row r="454" spans="1:14" x14ac:dyDescent="0.2">
      <c r="A454" s="1233"/>
      <c r="B454" s="593">
        <v>53207020000000</v>
      </c>
      <c r="C454" s="594" t="s">
        <v>131</v>
      </c>
      <c r="D454" s="249">
        <f>+M444</f>
        <v>0</v>
      </c>
      <c r="E454" s="249">
        <v>0</v>
      </c>
      <c r="F454" s="329">
        <v>0</v>
      </c>
      <c r="G454" s="249">
        <f t="shared" si="77"/>
        <v>0</v>
      </c>
      <c r="H454" s="250">
        <f t="shared" si="78"/>
        <v>0</v>
      </c>
      <c r="K454" s="594" t="s">
        <v>142</v>
      </c>
      <c r="L454" s="727">
        <v>0</v>
      </c>
      <c r="M454" s="726">
        <f t="shared" si="76"/>
        <v>0</v>
      </c>
      <c r="N454" s="726">
        <f t="shared" si="76"/>
        <v>0</v>
      </c>
    </row>
    <row r="455" spans="1:14" x14ac:dyDescent="0.2">
      <c r="A455" s="1233"/>
      <c r="B455" s="593">
        <v>53208020000000</v>
      </c>
      <c r="C455" s="594" t="s">
        <v>132</v>
      </c>
      <c r="D455" s="249">
        <f>+M445</f>
        <v>0</v>
      </c>
      <c r="E455" s="249">
        <v>0</v>
      </c>
      <c r="F455" s="329">
        <v>0</v>
      </c>
      <c r="G455" s="249">
        <f t="shared" si="77"/>
        <v>0</v>
      </c>
      <c r="H455" s="250">
        <f t="shared" si="78"/>
        <v>0</v>
      </c>
      <c r="K455" s="608" t="s">
        <v>143</v>
      </c>
      <c r="L455" s="727">
        <v>0</v>
      </c>
      <c r="M455" s="726">
        <f t="shared" si="76"/>
        <v>0</v>
      </c>
      <c r="N455" s="726">
        <f t="shared" si="76"/>
        <v>0</v>
      </c>
    </row>
    <row r="456" spans="1:14" x14ac:dyDescent="0.2">
      <c r="A456" s="1233"/>
      <c r="B456" s="593">
        <v>53208990000000</v>
      </c>
      <c r="C456" s="594" t="s">
        <v>133</v>
      </c>
      <c r="D456" s="249">
        <f>+M446</f>
        <v>361774.92399999994</v>
      </c>
      <c r="E456" s="249">
        <v>0</v>
      </c>
      <c r="F456" s="329">
        <v>0</v>
      </c>
      <c r="G456" s="249">
        <f t="shared" si="77"/>
        <v>0</v>
      </c>
      <c r="H456" s="250">
        <f t="shared" si="78"/>
        <v>361774.92399999994</v>
      </c>
      <c r="K456" s="594" t="s">
        <v>144</v>
      </c>
      <c r="L456" s="727">
        <f>80000*1.13*10</f>
        <v>903999.99999999988</v>
      </c>
      <c r="M456" s="726">
        <f t="shared" si="76"/>
        <v>632799.99999999988</v>
      </c>
      <c r="N456" s="726">
        <f>L456*0.3</f>
        <v>271199.99999999994</v>
      </c>
    </row>
    <row r="457" spans="1:14" x14ac:dyDescent="0.2">
      <c r="A457" s="1233"/>
      <c r="B457" s="598">
        <v>53210020300000</v>
      </c>
      <c r="C457" s="594" t="s">
        <v>134</v>
      </c>
      <c r="D457" s="264">
        <v>0</v>
      </c>
      <c r="E457" s="264">
        <v>8200</v>
      </c>
      <c r="F457" s="353">
        <f>'B) Reajuste Tarifas y Ocupación'!I51</f>
        <v>70</v>
      </c>
      <c r="G457" s="249">
        <f t="shared" si="77"/>
        <v>574000</v>
      </c>
      <c r="H457" s="250">
        <f t="shared" si="78"/>
        <v>574000</v>
      </c>
      <c r="K457" s="594" t="s">
        <v>145</v>
      </c>
      <c r="L457" s="727">
        <v>0</v>
      </c>
      <c r="M457" s="726">
        <f t="shared" si="76"/>
        <v>0</v>
      </c>
      <c r="N457" s="726">
        <f>L457*0.3</f>
        <v>0</v>
      </c>
    </row>
    <row r="458" spans="1:14" x14ac:dyDescent="0.2">
      <c r="A458" s="1233"/>
      <c r="B458" s="593">
        <v>53208990000000</v>
      </c>
      <c r="C458" s="594" t="s">
        <v>135</v>
      </c>
      <c r="D458" s="249">
        <f>+M447</f>
        <v>0</v>
      </c>
      <c r="E458" s="249">
        <v>0</v>
      </c>
      <c r="F458" s="329">
        <v>0</v>
      </c>
      <c r="G458" s="249">
        <f t="shared" si="77"/>
        <v>0</v>
      </c>
      <c r="H458" s="250">
        <f t="shared" si="78"/>
        <v>0</v>
      </c>
    </row>
    <row r="459" spans="1:14" x14ac:dyDescent="0.2">
      <c r="A459" s="1233"/>
      <c r="B459" s="593">
        <v>53209990000000</v>
      </c>
      <c r="C459" s="594" t="s">
        <v>136</v>
      </c>
      <c r="D459" s="249">
        <f>+M448</f>
        <v>0</v>
      </c>
      <c r="E459" s="249">
        <v>0</v>
      </c>
      <c r="F459" s="329">
        <v>0</v>
      </c>
      <c r="G459" s="249">
        <f t="shared" si="77"/>
        <v>0</v>
      </c>
      <c r="H459" s="250">
        <f t="shared" si="78"/>
        <v>0</v>
      </c>
    </row>
    <row r="460" spans="1:14" x14ac:dyDescent="0.2">
      <c r="A460" s="1233"/>
      <c r="B460" s="593">
        <v>53210020100000</v>
      </c>
      <c r="C460" s="594" t="s">
        <v>137</v>
      </c>
      <c r="D460" s="249">
        <f>+M449</f>
        <v>2103383.1</v>
      </c>
      <c r="E460" s="249">
        <v>0</v>
      </c>
      <c r="F460" s="329">
        <v>0</v>
      </c>
      <c r="G460" s="249">
        <f t="shared" si="77"/>
        <v>0</v>
      </c>
      <c r="H460" s="250">
        <f t="shared" si="78"/>
        <v>2103383.1</v>
      </c>
    </row>
    <row r="461" spans="1:14" x14ac:dyDescent="0.2">
      <c r="A461" s="1233"/>
      <c r="B461" s="244"/>
      <c r="C461" s="245" t="s">
        <v>138</v>
      </c>
      <c r="D461" s="246">
        <f>SUM(D462:D468)</f>
        <v>632799.99999999988</v>
      </c>
      <c r="E461" s="247"/>
      <c r="F461" s="247"/>
      <c r="G461" s="246">
        <f>SUM(G462:G468)</f>
        <v>0</v>
      </c>
      <c r="H461" s="248">
        <f>SUM(H462:H468)</f>
        <v>632799.99999999988</v>
      </c>
    </row>
    <row r="462" spans="1:14" x14ac:dyDescent="0.2">
      <c r="A462" s="1233"/>
      <c r="B462" s="593">
        <v>53206030000000</v>
      </c>
      <c r="C462" s="594" t="s">
        <v>139</v>
      </c>
      <c r="D462" s="249">
        <f t="shared" ref="D462:D468" si="79">+M451</f>
        <v>0</v>
      </c>
      <c r="E462" s="249">
        <v>0</v>
      </c>
      <c r="F462" s="329">
        <v>0</v>
      </c>
      <c r="G462" s="249">
        <f t="shared" ref="G462:G468" si="80">E462*F462</f>
        <v>0</v>
      </c>
      <c r="H462" s="250">
        <f t="shared" ref="H462:H468" si="81">D462+G462</f>
        <v>0</v>
      </c>
    </row>
    <row r="463" spans="1:14" x14ac:dyDescent="0.2">
      <c r="A463" s="1233"/>
      <c r="B463" s="593">
        <v>53206040000000</v>
      </c>
      <c r="C463" s="594" t="s">
        <v>140</v>
      </c>
      <c r="D463" s="249">
        <f t="shared" si="79"/>
        <v>0</v>
      </c>
      <c r="E463" s="249">
        <v>0</v>
      </c>
      <c r="F463" s="329">
        <v>0</v>
      </c>
      <c r="G463" s="249">
        <f t="shared" si="80"/>
        <v>0</v>
      </c>
      <c r="H463" s="250">
        <f t="shared" si="81"/>
        <v>0</v>
      </c>
    </row>
    <row r="464" spans="1:14" x14ac:dyDescent="0.2">
      <c r="A464" s="1233"/>
      <c r="B464" s="593">
        <v>53206060000000</v>
      </c>
      <c r="C464" s="594" t="s">
        <v>141</v>
      </c>
      <c r="D464" s="249">
        <f t="shared" si="79"/>
        <v>0</v>
      </c>
      <c r="E464" s="249">
        <v>0</v>
      </c>
      <c r="F464" s="329">
        <v>0</v>
      </c>
      <c r="G464" s="249">
        <f t="shared" si="80"/>
        <v>0</v>
      </c>
      <c r="H464" s="250">
        <f t="shared" si="81"/>
        <v>0</v>
      </c>
    </row>
    <row r="465" spans="1:10" x14ac:dyDescent="0.2">
      <c r="A465" s="1233"/>
      <c r="B465" s="593">
        <v>53206070000000</v>
      </c>
      <c r="C465" s="594" t="s">
        <v>142</v>
      </c>
      <c r="D465" s="249">
        <f t="shared" si="79"/>
        <v>0</v>
      </c>
      <c r="E465" s="249">
        <v>0</v>
      </c>
      <c r="F465" s="329">
        <v>0</v>
      </c>
      <c r="G465" s="249">
        <f t="shared" si="80"/>
        <v>0</v>
      </c>
      <c r="H465" s="250">
        <f t="shared" si="81"/>
        <v>0</v>
      </c>
    </row>
    <row r="466" spans="1:10" x14ac:dyDescent="0.2">
      <c r="A466" s="1233"/>
      <c r="B466" s="593">
        <v>53206990000000</v>
      </c>
      <c r="C466" s="594" t="s">
        <v>143</v>
      </c>
      <c r="D466" s="249">
        <f t="shared" si="79"/>
        <v>0</v>
      </c>
      <c r="E466" s="249">
        <v>0</v>
      </c>
      <c r="F466" s="329">
        <v>0</v>
      </c>
      <c r="G466" s="249">
        <f t="shared" si="80"/>
        <v>0</v>
      </c>
      <c r="H466" s="250">
        <f t="shared" si="81"/>
        <v>0</v>
      </c>
    </row>
    <row r="467" spans="1:10" x14ac:dyDescent="0.2">
      <c r="A467" s="1233"/>
      <c r="B467" s="593">
        <v>53208030000000</v>
      </c>
      <c r="C467" s="594" t="s">
        <v>144</v>
      </c>
      <c r="D467" s="249">
        <f t="shared" si="79"/>
        <v>632799.99999999988</v>
      </c>
      <c r="E467" s="249">
        <v>0</v>
      </c>
      <c r="F467" s="329">
        <v>0</v>
      </c>
      <c r="G467" s="249">
        <f t="shared" si="80"/>
        <v>0</v>
      </c>
      <c r="H467" s="250">
        <f t="shared" si="81"/>
        <v>632799.99999999988</v>
      </c>
    </row>
    <row r="468" spans="1:10" x14ac:dyDescent="0.2">
      <c r="A468" s="1233"/>
      <c r="B468" s="593">
        <v>53206990000000</v>
      </c>
      <c r="C468" s="594" t="s">
        <v>145</v>
      </c>
      <c r="D468" s="249">
        <f t="shared" si="79"/>
        <v>0</v>
      </c>
      <c r="E468" s="249">
        <v>0</v>
      </c>
      <c r="F468" s="329">
        <v>0</v>
      </c>
      <c r="G468" s="249">
        <f t="shared" si="80"/>
        <v>0</v>
      </c>
      <c r="H468" s="250">
        <f t="shared" si="81"/>
        <v>0</v>
      </c>
    </row>
    <row r="469" spans="1:10" x14ac:dyDescent="0.2">
      <c r="A469" s="1233"/>
      <c r="B469" s="244"/>
      <c r="C469" s="245" t="s">
        <v>146</v>
      </c>
      <c r="D469" s="246">
        <f>SUM(D470:D470)</f>
        <v>0</v>
      </c>
      <c r="E469" s="247"/>
      <c r="F469" s="247"/>
      <c r="G469" s="246">
        <f>SUM(G470:G470)</f>
        <v>790999.99999999988</v>
      </c>
      <c r="H469" s="248">
        <f>SUM(H470:H470)</f>
        <v>790999.99999999988</v>
      </c>
    </row>
    <row r="470" spans="1:10" x14ac:dyDescent="0.2">
      <c r="A470" s="1233"/>
      <c r="B470" s="602"/>
      <c r="C470" s="603" t="s">
        <v>147</v>
      </c>
      <c r="D470" s="251"/>
      <c r="E470" s="251">
        <f>10000*1.13</f>
        <v>11299.999999999998</v>
      </c>
      <c r="F470" s="607">
        <f>'B) Reajuste Tarifas y Ocupación'!I51</f>
        <v>70</v>
      </c>
      <c r="G470" s="249">
        <f>E470*F470</f>
        <v>790999.99999999988</v>
      </c>
      <c r="H470" s="266">
        <f>D470+G470</f>
        <v>790999.99999999988</v>
      </c>
      <c r="I470" s="711" t="s">
        <v>148</v>
      </c>
      <c r="J470" s="712">
        <f>+H468+H467+H466+H465+H464+H463+H462+H460+H459+H458+H457+H456+H455+H454+H453+H451+H448+H447+H446+H445+H444+H442+H440+H439+H433+H432+H431+H429+H428+H427+H426+H425+H424+H423+H422+H421+H420+H419</f>
        <v>23381048.487999998</v>
      </c>
    </row>
    <row r="471" spans="1:10" x14ac:dyDescent="0.2">
      <c r="A471" s="1233"/>
      <c r="B471" s="269"/>
      <c r="C471" s="285" t="s">
        <v>149</v>
      </c>
      <c r="D471" s="267">
        <f>SUM(D408,D435)</f>
        <v>180943905.15799996</v>
      </c>
      <c r="E471" s="349"/>
      <c r="F471" s="349"/>
      <c r="G471" s="267">
        <f>SUM(G408,G435)</f>
        <v>33881670.099999994</v>
      </c>
      <c r="H471" s="268">
        <f>SUM(H408,H435)</f>
        <v>214825575.25799996</v>
      </c>
      <c r="I471" s="713" t="s">
        <v>150</v>
      </c>
      <c r="J471" s="714">
        <f>+H471-J470</f>
        <v>191444526.76999995</v>
      </c>
    </row>
    <row r="472" spans="1:10" ht="12.75" customHeight="1" x14ac:dyDescent="0.2">
      <c r="A472" s="1235" t="s">
        <v>151</v>
      </c>
      <c r="B472" s="1236" t="s">
        <v>78</v>
      </c>
      <c r="C472" s="1237" t="s">
        <v>79</v>
      </c>
      <c r="D472" s="1238" t="s">
        <v>80</v>
      </c>
      <c r="E472" s="1239" t="s">
        <v>81</v>
      </c>
      <c r="F472" s="1239"/>
      <c r="G472" s="1239"/>
      <c r="H472" s="1232" t="s">
        <v>338</v>
      </c>
    </row>
    <row r="473" spans="1:10" ht="25.5" x14ac:dyDescent="0.2">
      <c r="A473" s="1235"/>
      <c r="B473" s="1236"/>
      <c r="C473" s="1237"/>
      <c r="D473" s="1238"/>
      <c r="E473" s="38" t="s">
        <v>82</v>
      </c>
      <c r="F473" s="237" t="s">
        <v>83</v>
      </c>
      <c r="G473" s="570" t="s">
        <v>84</v>
      </c>
      <c r="H473" s="1232"/>
    </row>
    <row r="474" spans="1:10" ht="15.75" customHeight="1" x14ac:dyDescent="0.2">
      <c r="A474" s="1233" t="s">
        <v>40</v>
      </c>
      <c r="B474" s="238"/>
      <c r="C474" s="239" t="s">
        <v>85</v>
      </c>
      <c r="D474" s="240">
        <f>+D475+D480</f>
        <v>65721693.925999992</v>
      </c>
      <c r="E474" s="274"/>
      <c r="F474" s="274"/>
      <c r="G474" s="242">
        <f>SUM(G475,G480)</f>
        <v>1226940</v>
      </c>
      <c r="H474" s="243">
        <f>SUM(H475,H480)</f>
        <v>66948633.925999992</v>
      </c>
    </row>
    <row r="475" spans="1:10" x14ac:dyDescent="0.2">
      <c r="A475" s="1233"/>
      <c r="B475" s="244"/>
      <c r="C475" s="245" t="s">
        <v>86</v>
      </c>
      <c r="D475" s="246">
        <f>SUM(D476:D479)</f>
        <v>58422817.159999989</v>
      </c>
      <c r="E475" s="247"/>
      <c r="F475" s="247"/>
      <c r="G475" s="46">
        <f>SUM(G476:G479)</f>
        <v>0</v>
      </c>
      <c r="H475" s="248">
        <f>SUM(H476:H479)</f>
        <v>58422817.159999989</v>
      </c>
    </row>
    <row r="476" spans="1:10" x14ac:dyDescent="0.2">
      <c r="A476" s="1233"/>
      <c r="B476" s="593">
        <v>53103040100000</v>
      </c>
      <c r="C476" s="594" t="s">
        <v>87</v>
      </c>
      <c r="D476" s="277">
        <f>+'F) Remuneraciones'!L132</f>
        <v>57844374.159999989</v>
      </c>
      <c r="E476" s="249">
        <v>0</v>
      </c>
      <c r="F476" s="605">
        <v>0</v>
      </c>
      <c r="G476" s="249">
        <f>E476*F476</f>
        <v>0</v>
      </c>
      <c r="H476" s="250">
        <f>D476+G476</f>
        <v>57844374.159999989</v>
      </c>
    </row>
    <row r="477" spans="1:10" x14ac:dyDescent="0.2">
      <c r="A477" s="1233"/>
      <c r="B477" s="593">
        <v>53103050000000</v>
      </c>
      <c r="C477" s="594" t="s">
        <v>152</v>
      </c>
      <c r="D477" s="251">
        <v>0</v>
      </c>
      <c r="E477" s="252">
        <v>0</v>
      </c>
      <c r="F477" s="253">
        <v>0</v>
      </c>
      <c r="G477" s="249">
        <f>E477*F477</f>
        <v>0</v>
      </c>
      <c r="H477" s="250">
        <f>D477+G477</f>
        <v>0</v>
      </c>
    </row>
    <row r="478" spans="1:10" x14ac:dyDescent="0.2">
      <c r="A478" s="1233"/>
      <c r="B478" s="598">
        <v>53103040400000</v>
      </c>
      <c r="C478" s="599" t="s">
        <v>89</v>
      </c>
      <c r="D478" s="251">
        <v>578443</v>
      </c>
      <c r="E478" s="252">
        <v>0</v>
      </c>
      <c r="F478" s="253">
        <v>0</v>
      </c>
      <c r="G478" s="249">
        <f>E478*F478</f>
        <v>0</v>
      </c>
      <c r="H478" s="250">
        <f>D478+G478</f>
        <v>578443</v>
      </c>
    </row>
    <row r="479" spans="1:10" x14ac:dyDescent="0.2">
      <c r="A479" s="1233"/>
      <c r="B479" s="593">
        <v>53103080010000</v>
      </c>
      <c r="C479" s="594" t="s">
        <v>90</v>
      </c>
      <c r="D479" s="251">
        <v>0</v>
      </c>
      <c r="E479" s="252">
        <v>0</v>
      </c>
      <c r="F479" s="253">
        <v>0</v>
      </c>
      <c r="G479" s="249">
        <f>E479*F479</f>
        <v>0</v>
      </c>
      <c r="H479" s="250">
        <f>D479+G479</f>
        <v>0</v>
      </c>
    </row>
    <row r="480" spans="1:10" x14ac:dyDescent="0.2">
      <c r="A480" s="1233"/>
      <c r="B480" s="244"/>
      <c r="C480" s="245" t="s">
        <v>91</v>
      </c>
      <c r="D480" s="246">
        <f>SUM(D481:D500)</f>
        <v>7298876.7660000017</v>
      </c>
      <c r="E480" s="247"/>
      <c r="F480" s="247"/>
      <c r="G480" s="246">
        <f>SUM(G481:G500)</f>
        <v>1226940</v>
      </c>
      <c r="H480" s="248">
        <f>SUM(H481:H500)</f>
        <v>8525816.7660000008</v>
      </c>
    </row>
    <row r="481" spans="1:8" x14ac:dyDescent="0.2">
      <c r="A481" s="1233"/>
      <c r="B481" s="593">
        <v>53201010100000</v>
      </c>
      <c r="C481" s="594" t="s">
        <v>92</v>
      </c>
      <c r="D481" s="251">
        <v>0</v>
      </c>
      <c r="E481" s="252">
        <v>1859</v>
      </c>
      <c r="F481" s="253">
        <f>6*10*11</f>
        <v>660</v>
      </c>
      <c r="G481" s="249">
        <f t="shared" ref="G481:G500" si="82">E481*F481</f>
        <v>1226940</v>
      </c>
      <c r="H481" s="250">
        <f t="shared" ref="H481:H500" si="83">D481+G481</f>
        <v>1226940</v>
      </c>
    </row>
    <row r="482" spans="1:8" x14ac:dyDescent="0.2">
      <c r="A482" s="1233"/>
      <c r="B482" s="593">
        <v>53201010100000</v>
      </c>
      <c r="C482" s="594" t="s">
        <v>93</v>
      </c>
      <c r="D482" s="251">
        <v>0</v>
      </c>
      <c r="E482" s="252">
        <v>0</v>
      </c>
      <c r="F482" s="253">
        <v>0</v>
      </c>
      <c r="G482" s="249">
        <f t="shared" si="82"/>
        <v>0</v>
      </c>
      <c r="H482" s="250">
        <f t="shared" si="83"/>
        <v>0</v>
      </c>
    </row>
    <row r="483" spans="1:8" x14ac:dyDescent="0.2">
      <c r="A483" s="1233"/>
      <c r="B483" s="593">
        <v>53201010100000</v>
      </c>
      <c r="C483" s="594" t="s">
        <v>94</v>
      </c>
      <c r="D483" s="251">
        <v>0</v>
      </c>
      <c r="E483" s="252">
        <v>0</v>
      </c>
      <c r="F483" s="253">
        <v>0</v>
      </c>
      <c r="G483" s="249">
        <f t="shared" si="82"/>
        <v>0</v>
      </c>
      <c r="H483" s="250">
        <f t="shared" si="83"/>
        <v>0</v>
      </c>
    </row>
    <row r="484" spans="1:8" x14ac:dyDescent="0.2">
      <c r="A484" s="1233"/>
      <c r="B484" s="593">
        <v>53202010100000</v>
      </c>
      <c r="C484" s="594" t="s">
        <v>95</v>
      </c>
      <c r="D484" s="249">
        <f t="shared" ref="D484:D500" si="84">+N410</f>
        <v>0</v>
      </c>
      <c r="E484" s="249">
        <v>0</v>
      </c>
      <c r="F484" s="609">
        <v>0</v>
      </c>
      <c r="G484" s="249">
        <f t="shared" si="82"/>
        <v>0</v>
      </c>
      <c r="H484" s="250">
        <f t="shared" si="83"/>
        <v>0</v>
      </c>
    </row>
    <row r="485" spans="1:8" x14ac:dyDescent="0.2">
      <c r="A485" s="1233"/>
      <c r="B485" s="593">
        <v>53203010100000</v>
      </c>
      <c r="C485" s="594" t="s">
        <v>96</v>
      </c>
      <c r="D485" s="249">
        <f t="shared" si="84"/>
        <v>0</v>
      </c>
      <c r="E485" s="249">
        <v>0</v>
      </c>
      <c r="F485" s="609">
        <v>0</v>
      </c>
      <c r="G485" s="249">
        <f t="shared" si="82"/>
        <v>0</v>
      </c>
      <c r="H485" s="250">
        <f t="shared" si="83"/>
        <v>0</v>
      </c>
    </row>
    <row r="486" spans="1:8" x14ac:dyDescent="0.2">
      <c r="A486" s="1233"/>
      <c r="B486" s="593">
        <v>53203030000000</v>
      </c>
      <c r="C486" s="594" t="s">
        <v>97</v>
      </c>
      <c r="D486" s="249">
        <f t="shared" si="84"/>
        <v>0</v>
      </c>
      <c r="E486" s="249">
        <v>0</v>
      </c>
      <c r="F486" s="609">
        <v>0</v>
      </c>
      <c r="G486" s="249">
        <f t="shared" si="82"/>
        <v>0</v>
      </c>
      <c r="H486" s="250">
        <f t="shared" si="83"/>
        <v>0</v>
      </c>
    </row>
    <row r="487" spans="1:8" x14ac:dyDescent="0.2">
      <c r="A487" s="1233"/>
      <c r="B487" s="593">
        <v>53204030000000</v>
      </c>
      <c r="C487" s="594" t="s">
        <v>98</v>
      </c>
      <c r="D487" s="249">
        <f t="shared" si="84"/>
        <v>38625.659999999996</v>
      </c>
      <c r="E487" s="249">
        <v>0</v>
      </c>
      <c r="F487" s="609">
        <v>0</v>
      </c>
      <c r="G487" s="249">
        <f t="shared" si="82"/>
        <v>0</v>
      </c>
      <c r="H487" s="250">
        <f t="shared" si="83"/>
        <v>38625.659999999996</v>
      </c>
    </row>
    <row r="488" spans="1:8" x14ac:dyDescent="0.2">
      <c r="A488" s="1233"/>
      <c r="B488" s="593">
        <v>53204100100001</v>
      </c>
      <c r="C488" s="594" t="s">
        <v>99</v>
      </c>
      <c r="D488" s="249">
        <f t="shared" si="84"/>
        <v>964753.5</v>
      </c>
      <c r="E488" s="249">
        <v>0</v>
      </c>
      <c r="F488" s="609">
        <v>0</v>
      </c>
      <c r="G488" s="249">
        <f t="shared" si="82"/>
        <v>0</v>
      </c>
      <c r="H488" s="250">
        <f t="shared" si="83"/>
        <v>964753.5</v>
      </c>
    </row>
    <row r="489" spans="1:8" x14ac:dyDescent="0.2">
      <c r="A489" s="1233"/>
      <c r="B489" s="593">
        <v>53204130100000</v>
      </c>
      <c r="C489" s="594" t="s">
        <v>100</v>
      </c>
      <c r="D489" s="249">
        <f t="shared" si="84"/>
        <v>1383113.4</v>
      </c>
      <c r="E489" s="249">
        <v>0</v>
      </c>
      <c r="F489" s="609">
        <v>0</v>
      </c>
      <c r="G489" s="249">
        <f t="shared" si="82"/>
        <v>0</v>
      </c>
      <c r="H489" s="250">
        <f t="shared" si="83"/>
        <v>1383113.4</v>
      </c>
    </row>
    <row r="490" spans="1:8" x14ac:dyDescent="0.2">
      <c r="A490" s="1233"/>
      <c r="B490" s="593">
        <v>53205010100000</v>
      </c>
      <c r="C490" s="594" t="s">
        <v>101</v>
      </c>
      <c r="D490" s="249">
        <f t="shared" si="84"/>
        <v>1302862.5</v>
      </c>
      <c r="E490" s="249">
        <v>0</v>
      </c>
      <c r="F490" s="609">
        <v>0</v>
      </c>
      <c r="G490" s="249">
        <f t="shared" si="82"/>
        <v>0</v>
      </c>
      <c r="H490" s="250">
        <f t="shared" si="83"/>
        <v>1302862.5</v>
      </c>
    </row>
    <row r="491" spans="1:8" x14ac:dyDescent="0.2">
      <c r="A491" s="1233"/>
      <c r="B491" s="593">
        <v>53205020100000</v>
      </c>
      <c r="C491" s="594" t="s">
        <v>102</v>
      </c>
      <c r="D491" s="249">
        <f t="shared" si="84"/>
        <v>423536.39999999997</v>
      </c>
      <c r="E491" s="249">
        <v>0</v>
      </c>
      <c r="F491" s="609">
        <v>0</v>
      </c>
      <c r="G491" s="249">
        <f t="shared" si="82"/>
        <v>0</v>
      </c>
      <c r="H491" s="250">
        <f t="shared" si="83"/>
        <v>423536.39999999997</v>
      </c>
    </row>
    <row r="492" spans="1:8" x14ac:dyDescent="0.2">
      <c r="A492" s="1233"/>
      <c r="B492" s="593">
        <v>53205030100000</v>
      </c>
      <c r="C492" s="594" t="s">
        <v>103</v>
      </c>
      <c r="D492" s="249">
        <f t="shared" si="84"/>
        <v>873734.4</v>
      </c>
      <c r="E492" s="249">
        <v>0</v>
      </c>
      <c r="F492" s="609">
        <v>0</v>
      </c>
      <c r="G492" s="249">
        <f t="shared" si="82"/>
        <v>0</v>
      </c>
      <c r="H492" s="250">
        <f t="shared" si="83"/>
        <v>873734.4</v>
      </c>
    </row>
    <row r="493" spans="1:8" x14ac:dyDescent="0.2">
      <c r="A493" s="1233"/>
      <c r="B493" s="593">
        <v>53205050100000</v>
      </c>
      <c r="C493" s="594" t="s">
        <v>104</v>
      </c>
      <c r="D493" s="249">
        <f t="shared" si="84"/>
        <v>140411.08799999999</v>
      </c>
      <c r="E493" s="249">
        <v>0</v>
      </c>
      <c r="F493" s="609">
        <v>0</v>
      </c>
      <c r="G493" s="249">
        <f t="shared" si="82"/>
        <v>0</v>
      </c>
      <c r="H493" s="250">
        <f t="shared" si="83"/>
        <v>140411.08799999999</v>
      </c>
    </row>
    <row r="494" spans="1:8" x14ac:dyDescent="0.2">
      <c r="A494" s="1233"/>
      <c r="B494" s="593">
        <v>53205070100000</v>
      </c>
      <c r="C494" s="594" t="s">
        <v>105</v>
      </c>
      <c r="D494" s="249">
        <f t="shared" si="84"/>
        <v>0</v>
      </c>
      <c r="E494" s="249">
        <v>0</v>
      </c>
      <c r="F494" s="609">
        <v>0</v>
      </c>
      <c r="G494" s="249">
        <f t="shared" si="82"/>
        <v>0</v>
      </c>
      <c r="H494" s="250">
        <f t="shared" si="83"/>
        <v>0</v>
      </c>
    </row>
    <row r="495" spans="1:8" x14ac:dyDescent="0.2">
      <c r="A495" s="1233"/>
      <c r="B495" s="593">
        <v>53208010100000</v>
      </c>
      <c r="C495" s="594" t="s">
        <v>106</v>
      </c>
      <c r="D495" s="249">
        <f t="shared" si="84"/>
        <v>561950.80799999996</v>
      </c>
      <c r="E495" s="249">
        <v>0</v>
      </c>
      <c r="F495" s="609">
        <v>0</v>
      </c>
      <c r="G495" s="249">
        <f t="shared" si="82"/>
        <v>0</v>
      </c>
      <c r="H495" s="250">
        <f t="shared" si="83"/>
        <v>561950.80799999996</v>
      </c>
    </row>
    <row r="496" spans="1:8" x14ac:dyDescent="0.2">
      <c r="A496" s="1233"/>
      <c r="B496" s="593">
        <v>53208070100001</v>
      </c>
      <c r="C496" s="594" t="s">
        <v>107</v>
      </c>
      <c r="D496" s="249">
        <f t="shared" si="84"/>
        <v>0</v>
      </c>
      <c r="E496" s="249">
        <v>0</v>
      </c>
      <c r="F496" s="609">
        <v>0</v>
      </c>
      <c r="G496" s="249">
        <f t="shared" si="82"/>
        <v>0</v>
      </c>
      <c r="H496" s="250">
        <f t="shared" si="83"/>
        <v>0</v>
      </c>
    </row>
    <row r="497" spans="1:8" x14ac:dyDescent="0.2">
      <c r="A497" s="1233"/>
      <c r="B497" s="593">
        <v>53208100100001</v>
      </c>
      <c r="C497" s="594" t="s">
        <v>108</v>
      </c>
      <c r="D497" s="249">
        <f t="shared" si="84"/>
        <v>606936</v>
      </c>
      <c r="E497" s="249">
        <v>0</v>
      </c>
      <c r="F497" s="609">
        <v>0</v>
      </c>
      <c r="G497" s="249">
        <f t="shared" si="82"/>
        <v>0</v>
      </c>
      <c r="H497" s="250">
        <f t="shared" si="83"/>
        <v>606936</v>
      </c>
    </row>
    <row r="498" spans="1:8" x14ac:dyDescent="0.2">
      <c r="A498" s="1233"/>
      <c r="B498" s="593">
        <v>53211030000000</v>
      </c>
      <c r="C498" s="594" t="s">
        <v>109</v>
      </c>
      <c r="D498" s="249">
        <f t="shared" si="84"/>
        <v>0</v>
      </c>
      <c r="E498" s="249">
        <v>0</v>
      </c>
      <c r="F498" s="609">
        <v>0</v>
      </c>
      <c r="G498" s="249">
        <f t="shared" si="82"/>
        <v>0</v>
      </c>
      <c r="H498" s="250">
        <f t="shared" si="83"/>
        <v>0</v>
      </c>
    </row>
    <row r="499" spans="1:8" x14ac:dyDescent="0.2">
      <c r="A499" s="1233"/>
      <c r="B499" s="593">
        <v>53212020100000</v>
      </c>
      <c r="C499" s="594" t="s">
        <v>110</v>
      </c>
      <c r="D499" s="249">
        <f t="shared" si="84"/>
        <v>952106.39999999991</v>
      </c>
      <c r="E499" s="249">
        <v>0</v>
      </c>
      <c r="F499" s="609">
        <v>0</v>
      </c>
      <c r="G499" s="249">
        <f t="shared" si="82"/>
        <v>0</v>
      </c>
      <c r="H499" s="250">
        <f t="shared" si="83"/>
        <v>952106.39999999991</v>
      </c>
    </row>
    <row r="500" spans="1:8" ht="15.75" customHeight="1" x14ac:dyDescent="0.2">
      <c r="A500" s="1233"/>
      <c r="B500" s="593">
        <v>53214020000000</v>
      </c>
      <c r="C500" s="594" t="s">
        <v>111</v>
      </c>
      <c r="D500" s="249">
        <f t="shared" si="84"/>
        <v>50846.609999999993</v>
      </c>
      <c r="E500" s="249">
        <v>0</v>
      </c>
      <c r="F500" s="609">
        <v>0</v>
      </c>
      <c r="G500" s="249">
        <f t="shared" si="82"/>
        <v>0</v>
      </c>
      <c r="H500" s="250">
        <f t="shared" si="83"/>
        <v>50846.609999999993</v>
      </c>
    </row>
    <row r="501" spans="1:8" x14ac:dyDescent="0.2">
      <c r="A501" s="1233"/>
      <c r="B501" s="238"/>
      <c r="C501" s="239" t="s">
        <v>112</v>
      </c>
      <c r="D501" s="606">
        <f>+D502+D507+D509+D518+D527+D535</f>
        <v>6036045.8159999996</v>
      </c>
      <c r="E501" s="241"/>
      <c r="F501" s="241"/>
      <c r="G501" s="240">
        <f>SUM(G502,G507,G509,G518,G527,G535)</f>
        <v>289038</v>
      </c>
      <c r="H501" s="606">
        <f>SUM(H502,H507,H509,H518,H527,H535)</f>
        <v>6325083.8159999996</v>
      </c>
    </row>
    <row r="502" spans="1:8" x14ac:dyDescent="0.2">
      <c r="A502" s="1233"/>
      <c r="B502" s="244"/>
      <c r="C502" s="245" t="s">
        <v>113</v>
      </c>
      <c r="D502" s="246">
        <f>SUM(D503:D506)</f>
        <v>104580</v>
      </c>
      <c r="E502" s="247"/>
      <c r="F502" s="247"/>
      <c r="G502" s="246">
        <f>SUM(G503:G506)</f>
        <v>289038</v>
      </c>
      <c r="H502" s="246">
        <f>SUM(H503:H506)</f>
        <v>393618</v>
      </c>
    </row>
    <row r="503" spans="1:8" x14ac:dyDescent="0.2">
      <c r="A503" s="1233"/>
      <c r="B503" s="593">
        <v>53202020100000</v>
      </c>
      <c r="C503" s="594" t="s">
        <v>114</v>
      </c>
      <c r="D503" s="251">
        <v>0</v>
      </c>
      <c r="E503" s="252">
        <f>E437</f>
        <v>48173</v>
      </c>
      <c r="F503" s="327">
        <v>6</v>
      </c>
      <c r="G503" s="249">
        <f>E503*F503</f>
        <v>289038</v>
      </c>
      <c r="H503" s="250">
        <f>D503+G503</f>
        <v>289038</v>
      </c>
    </row>
    <row r="504" spans="1:8" x14ac:dyDescent="0.2">
      <c r="A504" s="1233"/>
      <c r="B504" s="593">
        <v>53202030000000</v>
      </c>
      <c r="C504" s="594" t="s">
        <v>115</v>
      </c>
      <c r="D504" s="251">
        <v>0</v>
      </c>
      <c r="E504" s="252">
        <v>0</v>
      </c>
      <c r="F504" s="327">
        <v>0</v>
      </c>
      <c r="G504" s="249">
        <f>E504*F504</f>
        <v>0</v>
      </c>
      <c r="H504" s="250">
        <f>D504+G504</f>
        <v>0</v>
      </c>
    </row>
    <row r="505" spans="1:8" x14ac:dyDescent="0.2">
      <c r="A505" s="1233"/>
      <c r="B505" s="593">
        <v>53211020000000</v>
      </c>
      <c r="C505" s="594" t="s">
        <v>116</v>
      </c>
      <c r="D505" s="249">
        <f>+N429</f>
        <v>104580</v>
      </c>
      <c r="E505" s="249">
        <v>0</v>
      </c>
      <c r="F505" s="329">
        <v>0</v>
      </c>
      <c r="G505" s="249">
        <f>E505*F505</f>
        <v>0</v>
      </c>
      <c r="H505" s="250">
        <f>D505+G505</f>
        <v>104580</v>
      </c>
    </row>
    <row r="506" spans="1:8" x14ac:dyDescent="0.2">
      <c r="A506" s="1233"/>
      <c r="B506" s="593">
        <v>53101040600000</v>
      </c>
      <c r="C506" s="594" t="s">
        <v>117</v>
      </c>
      <c r="D506" s="249">
        <f>+N430</f>
        <v>0</v>
      </c>
      <c r="E506" s="249">
        <v>0</v>
      </c>
      <c r="F506" s="329">
        <v>0</v>
      </c>
      <c r="G506" s="249">
        <f>E506*F506</f>
        <v>0</v>
      </c>
      <c r="H506" s="250">
        <f>D506+G506</f>
        <v>0</v>
      </c>
    </row>
    <row r="507" spans="1:8" x14ac:dyDescent="0.2">
      <c r="A507" s="1233"/>
      <c r="B507" s="244"/>
      <c r="C507" s="245" t="s">
        <v>118</v>
      </c>
      <c r="D507" s="246">
        <f>SUM(D508)</f>
        <v>0</v>
      </c>
      <c r="E507" s="247"/>
      <c r="F507" s="247"/>
      <c r="G507" s="261">
        <f>SUM(G508:G508)</f>
        <v>0</v>
      </c>
      <c r="H507" s="246">
        <f>SUM(H508:H508)</f>
        <v>0</v>
      </c>
    </row>
    <row r="508" spans="1:8" x14ac:dyDescent="0.2">
      <c r="A508" s="1233"/>
      <c r="B508" s="601">
        <v>53205990000000</v>
      </c>
      <c r="C508" s="594" t="s">
        <v>119</v>
      </c>
      <c r="D508" s="249">
        <f>+N432</f>
        <v>0</v>
      </c>
      <c r="E508" s="249">
        <v>0</v>
      </c>
      <c r="F508" s="329">
        <v>0</v>
      </c>
      <c r="G508" s="249">
        <f>E508*F508</f>
        <v>0</v>
      </c>
      <c r="H508" s="250">
        <f>D508+G508</f>
        <v>0</v>
      </c>
    </row>
    <row r="509" spans="1:8" x14ac:dyDescent="0.2">
      <c r="A509" s="1233"/>
      <c r="B509" s="244"/>
      <c r="C509" s="245" t="s">
        <v>120</v>
      </c>
      <c r="D509" s="246">
        <f>SUM(D510:D517)</f>
        <v>4603769.5199999996</v>
      </c>
      <c r="E509" s="247"/>
      <c r="F509" s="247"/>
      <c r="G509" s="246">
        <f>SUM(G510:G517)</f>
        <v>0</v>
      </c>
      <c r="H509" s="246">
        <f>SUM(H510:H517)</f>
        <v>4603769.5199999996</v>
      </c>
    </row>
    <row r="510" spans="1:8" x14ac:dyDescent="0.2">
      <c r="A510" s="1233"/>
      <c r="B510" s="593">
        <v>53204010000000</v>
      </c>
      <c r="C510" s="594" t="s">
        <v>121</v>
      </c>
      <c r="D510" s="249">
        <f t="shared" ref="D510:D517" si="85">+N434</f>
        <v>205800</v>
      </c>
      <c r="E510" s="249">
        <v>0</v>
      </c>
      <c r="F510" s="329">
        <v>0</v>
      </c>
      <c r="G510" s="249">
        <f t="shared" ref="G510:G517" si="86">E510*F510</f>
        <v>0</v>
      </c>
      <c r="H510" s="250">
        <f t="shared" ref="H510:H517" si="87">D510+G510</f>
        <v>205800</v>
      </c>
    </row>
    <row r="511" spans="1:8" x14ac:dyDescent="0.2">
      <c r="A511" s="1233"/>
      <c r="B511" s="601">
        <v>53204040200000</v>
      </c>
      <c r="C511" s="594" t="s">
        <v>122</v>
      </c>
      <c r="D511" s="249">
        <f t="shared" si="85"/>
        <v>42713.999999999993</v>
      </c>
      <c r="E511" s="249">
        <v>0</v>
      </c>
      <c r="F511" s="329">
        <v>0</v>
      </c>
      <c r="G511" s="249">
        <f t="shared" si="86"/>
        <v>0</v>
      </c>
      <c r="H511" s="250">
        <f t="shared" si="87"/>
        <v>42713.999999999993</v>
      </c>
    </row>
    <row r="512" spans="1:8" x14ac:dyDescent="0.2">
      <c r="A512" s="1233"/>
      <c r="B512" s="593">
        <v>53204060000000</v>
      </c>
      <c r="C512" s="594" t="s">
        <v>123</v>
      </c>
      <c r="D512" s="249">
        <f t="shared" si="85"/>
        <v>0</v>
      </c>
      <c r="E512" s="249">
        <v>0</v>
      </c>
      <c r="F512" s="329">
        <v>0</v>
      </c>
      <c r="G512" s="249">
        <f t="shared" si="86"/>
        <v>0</v>
      </c>
      <c r="H512" s="250">
        <f t="shared" si="87"/>
        <v>0</v>
      </c>
    </row>
    <row r="513" spans="1:8" x14ac:dyDescent="0.2">
      <c r="A513" s="1233"/>
      <c r="B513" s="593">
        <v>53204070000000</v>
      </c>
      <c r="C513" s="594" t="s">
        <v>124</v>
      </c>
      <c r="D513" s="249">
        <f t="shared" si="85"/>
        <v>1573350</v>
      </c>
      <c r="E513" s="249">
        <v>0</v>
      </c>
      <c r="F513" s="329">
        <v>0</v>
      </c>
      <c r="G513" s="249">
        <f t="shared" si="86"/>
        <v>0</v>
      </c>
      <c r="H513" s="250">
        <f t="shared" si="87"/>
        <v>1573350</v>
      </c>
    </row>
    <row r="514" spans="1:8" x14ac:dyDescent="0.2">
      <c r="A514" s="1233"/>
      <c r="B514" s="593">
        <v>53204080000000</v>
      </c>
      <c r="C514" s="594" t="s">
        <v>125</v>
      </c>
      <c r="D514" s="249">
        <f t="shared" si="85"/>
        <v>104012.4</v>
      </c>
      <c r="E514" s="249">
        <v>0</v>
      </c>
      <c r="F514" s="329">
        <v>0</v>
      </c>
      <c r="G514" s="249">
        <f t="shared" si="86"/>
        <v>0</v>
      </c>
      <c r="H514" s="250">
        <f t="shared" si="87"/>
        <v>104012.4</v>
      </c>
    </row>
    <row r="515" spans="1:8" x14ac:dyDescent="0.2">
      <c r="A515" s="1233"/>
      <c r="B515" s="593">
        <v>53214010000000</v>
      </c>
      <c r="C515" s="594" t="s">
        <v>126</v>
      </c>
      <c r="D515" s="249">
        <f t="shared" si="85"/>
        <v>2604393.1199999996</v>
      </c>
      <c r="E515" s="249">
        <v>0</v>
      </c>
      <c r="F515" s="329">
        <v>0</v>
      </c>
      <c r="G515" s="249">
        <f t="shared" si="86"/>
        <v>0</v>
      </c>
      <c r="H515" s="250">
        <f t="shared" si="87"/>
        <v>2604393.1199999996</v>
      </c>
    </row>
    <row r="516" spans="1:8" x14ac:dyDescent="0.2">
      <c r="A516" s="1233"/>
      <c r="B516" s="593">
        <v>53214040000000</v>
      </c>
      <c r="C516" s="594" t="s">
        <v>127</v>
      </c>
      <c r="D516" s="249">
        <f t="shared" si="85"/>
        <v>73500</v>
      </c>
      <c r="E516" s="249">
        <v>0</v>
      </c>
      <c r="F516" s="329">
        <v>0</v>
      </c>
      <c r="G516" s="249">
        <f t="shared" si="86"/>
        <v>0</v>
      </c>
      <c r="H516" s="250">
        <f t="shared" si="87"/>
        <v>73500</v>
      </c>
    </row>
    <row r="517" spans="1:8" x14ac:dyDescent="0.2">
      <c r="A517" s="1233"/>
      <c r="B517" s="598">
        <v>53204020100000</v>
      </c>
      <c r="C517" s="594" t="s">
        <v>128</v>
      </c>
      <c r="D517" s="249">
        <f t="shared" si="85"/>
        <v>0</v>
      </c>
      <c r="E517" s="249">
        <v>0</v>
      </c>
      <c r="F517" s="329">
        <v>0</v>
      </c>
      <c r="G517" s="249">
        <f t="shared" si="86"/>
        <v>0</v>
      </c>
      <c r="H517" s="250">
        <f t="shared" si="87"/>
        <v>0</v>
      </c>
    </row>
    <row r="518" spans="1:8" x14ac:dyDescent="0.2">
      <c r="A518" s="1233"/>
      <c r="B518" s="244"/>
      <c r="C518" s="245" t="s">
        <v>129</v>
      </c>
      <c r="D518" s="246">
        <f>SUM(D519:D526)</f>
        <v>1056496.2960000001</v>
      </c>
      <c r="E518" s="247"/>
      <c r="F518" s="247"/>
      <c r="G518" s="246">
        <f>SUM(G519:G526)</f>
        <v>0</v>
      </c>
      <c r="H518" s="248">
        <f>SUM(H519:H526)</f>
        <v>1056496.2960000001</v>
      </c>
    </row>
    <row r="519" spans="1:8" x14ac:dyDescent="0.2">
      <c r="A519" s="1233"/>
      <c r="B519" s="593">
        <v>53207010000000</v>
      </c>
      <c r="C519" s="594" t="s">
        <v>130</v>
      </c>
      <c r="D519" s="249">
        <f>+N443</f>
        <v>0</v>
      </c>
      <c r="E519" s="249">
        <v>0</v>
      </c>
      <c r="F519" s="329">
        <v>0</v>
      </c>
      <c r="G519" s="249">
        <f t="shared" ref="G519:G526" si="88">E519*F519</f>
        <v>0</v>
      </c>
      <c r="H519" s="250">
        <f t="shared" ref="H519:H526" si="89">D519+G519</f>
        <v>0</v>
      </c>
    </row>
    <row r="520" spans="1:8" x14ac:dyDescent="0.2">
      <c r="A520" s="1233"/>
      <c r="B520" s="593">
        <v>53207020000000</v>
      </c>
      <c r="C520" s="594" t="s">
        <v>131</v>
      </c>
      <c r="D520" s="249">
        <f>+N444</f>
        <v>0</v>
      </c>
      <c r="E520" s="249">
        <v>0</v>
      </c>
      <c r="F520" s="329">
        <v>0</v>
      </c>
      <c r="G520" s="249">
        <f t="shared" si="88"/>
        <v>0</v>
      </c>
      <c r="H520" s="250">
        <f t="shared" si="89"/>
        <v>0</v>
      </c>
    </row>
    <row r="521" spans="1:8" x14ac:dyDescent="0.2">
      <c r="A521" s="1233"/>
      <c r="B521" s="593">
        <v>53208020000000</v>
      </c>
      <c r="C521" s="594" t="s">
        <v>132</v>
      </c>
      <c r="D521" s="249">
        <f>+N445</f>
        <v>0</v>
      </c>
      <c r="E521" s="249">
        <v>0</v>
      </c>
      <c r="F521" s="329">
        <v>0</v>
      </c>
      <c r="G521" s="249">
        <f t="shared" si="88"/>
        <v>0</v>
      </c>
      <c r="H521" s="250">
        <f t="shared" si="89"/>
        <v>0</v>
      </c>
    </row>
    <row r="522" spans="1:8" x14ac:dyDescent="0.2">
      <c r="A522" s="1233"/>
      <c r="B522" s="593">
        <v>53208990000000</v>
      </c>
      <c r="C522" s="594" t="s">
        <v>133</v>
      </c>
      <c r="D522" s="249">
        <f>+N446</f>
        <v>155046.39599999998</v>
      </c>
      <c r="E522" s="249">
        <v>0</v>
      </c>
      <c r="F522" s="329">
        <v>0</v>
      </c>
      <c r="G522" s="249">
        <f t="shared" si="88"/>
        <v>0</v>
      </c>
      <c r="H522" s="250">
        <f t="shared" si="89"/>
        <v>155046.39599999998</v>
      </c>
    </row>
    <row r="523" spans="1:8" x14ac:dyDescent="0.2">
      <c r="A523" s="1233"/>
      <c r="B523" s="598">
        <v>53210020300000</v>
      </c>
      <c r="C523" s="594" t="s">
        <v>134</v>
      </c>
      <c r="D523" s="264">
        <v>0</v>
      </c>
      <c r="E523" s="264"/>
      <c r="F523" s="353">
        <v>0</v>
      </c>
      <c r="G523" s="249">
        <f t="shared" si="88"/>
        <v>0</v>
      </c>
      <c r="H523" s="250">
        <f t="shared" si="89"/>
        <v>0</v>
      </c>
    </row>
    <row r="524" spans="1:8" x14ac:dyDescent="0.2">
      <c r="A524" s="1233"/>
      <c r="B524" s="593">
        <v>53208990000000</v>
      </c>
      <c r="C524" s="594" t="s">
        <v>135</v>
      </c>
      <c r="D524" s="249">
        <f>+N447</f>
        <v>0</v>
      </c>
      <c r="E524" s="249">
        <v>0</v>
      </c>
      <c r="F524" s="329">
        <v>0</v>
      </c>
      <c r="G524" s="249">
        <f t="shared" si="88"/>
        <v>0</v>
      </c>
      <c r="H524" s="250">
        <f t="shared" si="89"/>
        <v>0</v>
      </c>
    </row>
    <row r="525" spans="1:8" x14ac:dyDescent="0.2">
      <c r="A525" s="1233"/>
      <c r="B525" s="593">
        <v>53209990000000</v>
      </c>
      <c r="C525" s="594" t="s">
        <v>136</v>
      </c>
      <c r="D525" s="249">
        <f>+N448</f>
        <v>0</v>
      </c>
      <c r="E525" s="249">
        <v>0</v>
      </c>
      <c r="F525" s="329">
        <v>0</v>
      </c>
      <c r="G525" s="249">
        <f t="shared" si="88"/>
        <v>0</v>
      </c>
      <c r="H525" s="250">
        <f t="shared" si="89"/>
        <v>0</v>
      </c>
    </row>
    <row r="526" spans="1:8" x14ac:dyDescent="0.2">
      <c r="A526" s="1233"/>
      <c r="B526" s="593">
        <v>53210020100000</v>
      </c>
      <c r="C526" s="594" t="s">
        <v>137</v>
      </c>
      <c r="D526" s="249">
        <f>+N449</f>
        <v>901449.9</v>
      </c>
      <c r="E526" s="249">
        <v>0</v>
      </c>
      <c r="F526" s="329">
        <v>0</v>
      </c>
      <c r="G526" s="249">
        <f t="shared" si="88"/>
        <v>0</v>
      </c>
      <c r="H526" s="250">
        <f t="shared" si="89"/>
        <v>901449.9</v>
      </c>
    </row>
    <row r="527" spans="1:8" x14ac:dyDescent="0.2">
      <c r="A527" s="1233"/>
      <c r="B527" s="244"/>
      <c r="C527" s="245" t="s">
        <v>138</v>
      </c>
      <c r="D527" s="246">
        <f>SUM(D528:D534)</f>
        <v>271199.99999999994</v>
      </c>
      <c r="E527" s="247"/>
      <c r="F527" s="247"/>
      <c r="G527" s="246">
        <f>SUM(G528:G534)</f>
        <v>0</v>
      </c>
      <c r="H527" s="248">
        <f>SUM(H528:H534)</f>
        <v>271199.99999999994</v>
      </c>
    </row>
    <row r="528" spans="1:8" x14ac:dyDescent="0.2">
      <c r="A528" s="1233"/>
      <c r="B528" s="593">
        <v>53206030000000</v>
      </c>
      <c r="C528" s="594" t="s">
        <v>139</v>
      </c>
      <c r="D528" s="249">
        <f t="shared" ref="D528:D534" si="90">+N451</f>
        <v>0</v>
      </c>
      <c r="E528" s="249">
        <v>0</v>
      </c>
      <c r="F528" s="329">
        <v>0</v>
      </c>
      <c r="G528" s="249">
        <f t="shared" ref="G528:G534" si="91">E528*F528</f>
        <v>0</v>
      </c>
      <c r="H528" s="250">
        <f t="shared" ref="H528:H534" si="92">D528+G528</f>
        <v>0</v>
      </c>
    </row>
    <row r="529" spans="1:10" x14ac:dyDescent="0.2">
      <c r="A529" s="1233"/>
      <c r="B529" s="593">
        <v>53206040000000</v>
      </c>
      <c r="C529" s="594" t="s">
        <v>140</v>
      </c>
      <c r="D529" s="249">
        <f t="shared" si="90"/>
        <v>0</v>
      </c>
      <c r="E529" s="249">
        <v>0</v>
      </c>
      <c r="F529" s="329">
        <v>0</v>
      </c>
      <c r="G529" s="249">
        <f t="shared" si="91"/>
        <v>0</v>
      </c>
      <c r="H529" s="250">
        <f t="shared" si="92"/>
        <v>0</v>
      </c>
    </row>
    <row r="530" spans="1:10" x14ac:dyDescent="0.2">
      <c r="A530" s="1233"/>
      <c r="B530" s="593">
        <v>53206060000000</v>
      </c>
      <c r="C530" s="594" t="s">
        <v>141</v>
      </c>
      <c r="D530" s="249">
        <f t="shared" si="90"/>
        <v>0</v>
      </c>
      <c r="E530" s="249">
        <v>0</v>
      </c>
      <c r="F530" s="329">
        <v>0</v>
      </c>
      <c r="G530" s="249">
        <f t="shared" si="91"/>
        <v>0</v>
      </c>
      <c r="H530" s="250">
        <f t="shared" si="92"/>
        <v>0</v>
      </c>
    </row>
    <row r="531" spans="1:10" x14ac:dyDescent="0.2">
      <c r="A531" s="1233"/>
      <c r="B531" s="593">
        <v>53206070000000</v>
      </c>
      <c r="C531" s="594" t="s">
        <v>142</v>
      </c>
      <c r="D531" s="249">
        <f t="shared" si="90"/>
        <v>0</v>
      </c>
      <c r="E531" s="249">
        <v>0</v>
      </c>
      <c r="F531" s="329">
        <v>0</v>
      </c>
      <c r="G531" s="249">
        <f t="shared" si="91"/>
        <v>0</v>
      </c>
      <c r="H531" s="250">
        <f t="shared" si="92"/>
        <v>0</v>
      </c>
    </row>
    <row r="532" spans="1:10" x14ac:dyDescent="0.2">
      <c r="A532" s="1233"/>
      <c r="B532" s="593">
        <v>53206990000000</v>
      </c>
      <c r="C532" s="594" t="s">
        <v>143</v>
      </c>
      <c r="D532" s="249">
        <f t="shared" si="90"/>
        <v>0</v>
      </c>
      <c r="E532" s="249">
        <v>0</v>
      </c>
      <c r="F532" s="329">
        <v>0</v>
      </c>
      <c r="G532" s="249">
        <f t="shared" si="91"/>
        <v>0</v>
      </c>
      <c r="H532" s="250">
        <f t="shared" si="92"/>
        <v>0</v>
      </c>
    </row>
    <row r="533" spans="1:10" x14ac:dyDescent="0.2">
      <c r="A533" s="1233"/>
      <c r="B533" s="593">
        <v>53208030000000</v>
      </c>
      <c r="C533" s="594" t="s">
        <v>144</v>
      </c>
      <c r="D533" s="249">
        <f t="shared" si="90"/>
        <v>271199.99999999994</v>
      </c>
      <c r="E533" s="249">
        <v>0</v>
      </c>
      <c r="F533" s="329">
        <v>0</v>
      </c>
      <c r="G533" s="249">
        <f t="shared" si="91"/>
        <v>0</v>
      </c>
      <c r="H533" s="250">
        <f t="shared" si="92"/>
        <v>271199.99999999994</v>
      </c>
    </row>
    <row r="534" spans="1:10" x14ac:dyDescent="0.2">
      <c r="A534" s="1233"/>
      <c r="B534" s="593">
        <v>53206990000000</v>
      </c>
      <c r="C534" s="594" t="s">
        <v>145</v>
      </c>
      <c r="D534" s="249">
        <f t="shared" si="90"/>
        <v>0</v>
      </c>
      <c r="E534" s="249">
        <v>0</v>
      </c>
      <c r="F534" s="329">
        <v>0</v>
      </c>
      <c r="G534" s="249">
        <f t="shared" si="91"/>
        <v>0</v>
      </c>
      <c r="H534" s="250">
        <f t="shared" si="92"/>
        <v>0</v>
      </c>
    </row>
    <row r="535" spans="1:10" x14ac:dyDescent="0.2">
      <c r="A535" s="1233"/>
      <c r="B535" s="244"/>
      <c r="C535" s="245" t="s">
        <v>146</v>
      </c>
      <c r="D535" s="246">
        <f>SUM(D536:D536)</f>
        <v>0</v>
      </c>
      <c r="E535" s="247"/>
      <c r="F535" s="247"/>
      <c r="G535" s="246">
        <f>SUM(G536:G536)</f>
        <v>0</v>
      </c>
      <c r="H535" s="248">
        <f>SUM(H536:H536)</f>
        <v>0</v>
      </c>
    </row>
    <row r="536" spans="1:10" x14ac:dyDescent="0.2">
      <c r="A536" s="1233"/>
      <c r="B536" s="602"/>
      <c r="C536" s="603" t="s">
        <v>147</v>
      </c>
      <c r="D536" s="597">
        <v>0</v>
      </c>
      <c r="E536" s="597">
        <v>0</v>
      </c>
      <c r="F536" s="327"/>
      <c r="G536" s="249">
        <f>E536*F536</f>
        <v>0</v>
      </c>
      <c r="H536" s="266">
        <f>D536+G536</f>
        <v>0</v>
      </c>
      <c r="I536" s="711" t="s">
        <v>148</v>
      </c>
      <c r="J536" s="712">
        <f>+H534+H533+H532+H531+H530+H529+H528+H526+H525+H524+H523+H522+H521+H520+H519+H517+H514+H513+H512+H511+H510+H508+H506+H505+H499+H498+H497+H495+H494+H493+H492+H491+H490+H489+H488+H487+H486+H485</f>
        <v>10606182.852</v>
      </c>
    </row>
    <row r="537" spans="1:10" x14ac:dyDescent="0.2">
      <c r="A537" s="1233"/>
      <c r="B537" s="269"/>
      <c r="C537" s="285" t="s">
        <v>149</v>
      </c>
      <c r="D537" s="267">
        <f>SUM(D474,D501)</f>
        <v>71757739.741999984</v>
      </c>
      <c r="E537" s="349"/>
      <c r="F537" s="349"/>
      <c r="G537" s="267">
        <f>SUM(G474,G501)</f>
        <v>1515978</v>
      </c>
      <c r="H537" s="268">
        <f>SUM(H474,H501)</f>
        <v>73273717.741999984</v>
      </c>
      <c r="I537" s="713" t="s">
        <v>150</v>
      </c>
      <c r="J537" s="714">
        <f>+H537-J536</f>
        <v>62667534.889999986</v>
      </c>
    </row>
    <row r="538" spans="1:10" ht="15.75" customHeight="1" x14ac:dyDescent="0.2">
      <c r="A538" s="1234" t="s">
        <v>161</v>
      </c>
      <c r="B538" s="1234"/>
      <c r="C538" s="1234"/>
      <c r="D538" s="1234"/>
      <c r="E538" s="1234"/>
      <c r="F538" s="1234"/>
      <c r="G538" s="1234"/>
      <c r="H538" s="354">
        <f>+H75+H141+H207+H273+H339+H405+H471+H537</f>
        <v>858036176.93867671</v>
      </c>
    </row>
  </sheetData>
  <sheetProtection algorithmName="SHA-512" hashValue="K4wc5kLvJp/zR+xNGwTqb1mVSpc0xS2tz/Xu7IcN+r5V1bggtmydNSdETMIUKqzlLw6jgQ4Hb0qcBZCF+Qx2dQ==" saltValue="YA4k38wVoIP2Li4cDADkNA==" spinCount="100000" sheet="1" objects="1" scenarios="1"/>
  <mergeCells count="84">
    <mergeCell ref="D4:E4"/>
    <mergeCell ref="A8:C8"/>
    <mergeCell ref="A10:A11"/>
    <mergeCell ref="B10:B11"/>
    <mergeCell ref="C10:C11"/>
    <mergeCell ref="D10:D11"/>
    <mergeCell ref="E10:G10"/>
    <mergeCell ref="H10:H11"/>
    <mergeCell ref="A12:A75"/>
    <mergeCell ref="A76:A77"/>
    <mergeCell ref="B76:B77"/>
    <mergeCell ref="C76:C77"/>
    <mergeCell ref="D76:D77"/>
    <mergeCell ref="E76:G76"/>
    <mergeCell ref="H76:H77"/>
    <mergeCell ref="A78:A141"/>
    <mergeCell ref="A142:A143"/>
    <mergeCell ref="B142:B143"/>
    <mergeCell ref="C142:C143"/>
    <mergeCell ref="D142:D143"/>
    <mergeCell ref="E142:G142"/>
    <mergeCell ref="H142:H143"/>
    <mergeCell ref="A144:A207"/>
    <mergeCell ref="A208:A209"/>
    <mergeCell ref="B208:B209"/>
    <mergeCell ref="C208:C209"/>
    <mergeCell ref="D208:D209"/>
    <mergeCell ref="E208:G208"/>
    <mergeCell ref="H208:H209"/>
    <mergeCell ref="K208:K209"/>
    <mergeCell ref="L208:L209"/>
    <mergeCell ref="M208:M209"/>
    <mergeCell ref="N208:N209"/>
    <mergeCell ref="O208:O209"/>
    <mergeCell ref="A210:A273"/>
    <mergeCell ref="L210:O210"/>
    <mergeCell ref="L211:O211"/>
    <mergeCell ref="L229:O229"/>
    <mergeCell ref="L230:O230"/>
    <mergeCell ref="L233:O233"/>
    <mergeCell ref="L235:O235"/>
    <mergeCell ref="L244:O244"/>
    <mergeCell ref="L252:O252"/>
    <mergeCell ref="H274:H275"/>
    <mergeCell ref="A276:A339"/>
    <mergeCell ref="A340:A341"/>
    <mergeCell ref="B340:B341"/>
    <mergeCell ref="C340:C341"/>
    <mergeCell ref="D340:D341"/>
    <mergeCell ref="E340:G340"/>
    <mergeCell ref="H340:H341"/>
    <mergeCell ref="A274:A275"/>
    <mergeCell ref="B274:B275"/>
    <mergeCell ref="C274:C275"/>
    <mergeCell ref="D274:D275"/>
    <mergeCell ref="E274:G274"/>
    <mergeCell ref="A342:A405"/>
    <mergeCell ref="A406:A407"/>
    <mergeCell ref="B406:B407"/>
    <mergeCell ref="C406:C407"/>
    <mergeCell ref="D406:D407"/>
    <mergeCell ref="N406:N407"/>
    <mergeCell ref="A408:A471"/>
    <mergeCell ref="K408:N408"/>
    <mergeCell ref="L409:N409"/>
    <mergeCell ref="L427:N427"/>
    <mergeCell ref="L428:N428"/>
    <mergeCell ref="L431:N431"/>
    <mergeCell ref="L433:N433"/>
    <mergeCell ref="L442:N442"/>
    <mergeCell ref="L450:N450"/>
    <mergeCell ref="E406:G406"/>
    <mergeCell ref="H406:H407"/>
    <mergeCell ref="K406:K407"/>
    <mergeCell ref="L406:L407"/>
    <mergeCell ref="M406:M407"/>
    <mergeCell ref="H472:H473"/>
    <mergeCell ref="A474:A537"/>
    <mergeCell ref="A538:G538"/>
    <mergeCell ref="A472:A473"/>
    <mergeCell ref="B472:B473"/>
    <mergeCell ref="C472:C473"/>
    <mergeCell ref="D472:D473"/>
    <mergeCell ref="E472:G472"/>
  </mergeCells>
  <pageMargins left="0.85" right="0.75" top="0.57013888888888897" bottom="0.90972222222222199" header="0" footer="0.51180555555555496"/>
  <pageSetup scale="59" firstPageNumber="0" fitToHeight="12" orientation="landscape" r:id="rId1"/>
  <headerFooter>
    <oddHeader>&amp;LSEPT - 2004&amp;CDIRECTIVA D.B.S.A.
ORDINARIO&amp;R02-BS/0307/02
pag &amp;P de &amp;N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F0"/>
  </sheetPr>
  <dimension ref="A1:AMJ91"/>
  <sheetViews>
    <sheetView showGridLines="0" zoomScale="78" zoomScaleNormal="78" workbookViewId="0">
      <selection activeCell="AQ27" sqref="AQ27"/>
    </sheetView>
  </sheetViews>
  <sheetFormatPr baseColWidth="10" defaultColWidth="9.140625" defaultRowHeight="12.75" x14ac:dyDescent="0.2"/>
  <cols>
    <col min="1" max="1" width="13" style="612"/>
    <col min="2" max="2" width="29" style="612"/>
    <col min="3" max="3" width="29.42578125" style="612"/>
    <col min="4" max="4" width="25" style="612"/>
    <col min="5" max="5" width="42.5703125" style="612"/>
    <col min="6" max="6" width="22.5703125" style="612"/>
    <col min="7" max="10" width="15.42578125" style="612"/>
    <col min="11" max="11" width="19.5703125" style="612"/>
    <col min="12" max="12" width="5.140625" style="612"/>
    <col min="13" max="13" width="19.5703125" style="612"/>
    <col min="14" max="14" width="16.42578125" style="612"/>
    <col min="15" max="15" width="17.42578125" style="612"/>
    <col min="16" max="16" width="15.42578125" style="612"/>
    <col min="17" max="17" width="18.140625" style="612"/>
    <col min="18" max="18" width="17.42578125" style="612"/>
    <col min="19" max="19" width="17.85546875" style="612"/>
    <col min="20" max="20" width="5.140625" style="612"/>
    <col min="21" max="21" width="20.42578125" style="612"/>
    <col min="22" max="22" width="53.85546875" style="612"/>
    <col min="23" max="23" width="18.85546875" style="612"/>
    <col min="24" max="24" width="13.5703125" style="612"/>
    <col min="25" max="25" width="11.5703125" style="612"/>
    <col min="26" max="31" width="14.85546875" style="612"/>
    <col min="32" max="32" width="11.42578125" style="612"/>
    <col min="33" max="38" width="14.85546875" style="612"/>
    <col min="39" max="39" width="11.5703125" style="612"/>
    <col min="40" max="45" width="14.85546875" style="612"/>
    <col min="46" max="1024" width="11.5703125" style="612"/>
    <col min="1025" max="16384" width="9.140625" style="579"/>
  </cols>
  <sheetData>
    <row r="1" spans="1:242" s="21" customFormat="1" x14ac:dyDescent="0.2">
      <c r="E1" s="610"/>
      <c r="F1" s="610"/>
      <c r="G1" s="610"/>
      <c r="H1" s="610"/>
      <c r="I1" s="628"/>
      <c r="J1" s="787"/>
      <c r="IG1" s="611"/>
      <c r="IH1" s="611"/>
    </row>
    <row r="2" spans="1:242" x14ac:dyDescent="0.2">
      <c r="A2" s="21"/>
      <c r="B2" s="21"/>
      <c r="C2" s="21"/>
      <c r="D2" s="21"/>
      <c r="E2" s="610" t="s">
        <v>162</v>
      </c>
      <c r="F2" s="610"/>
      <c r="G2" s="610"/>
      <c r="H2" s="610"/>
      <c r="I2" s="628"/>
      <c r="J2" s="772"/>
      <c r="IG2" s="611"/>
      <c r="IH2" s="611"/>
    </row>
    <row r="3" spans="1:242" x14ac:dyDescent="0.2">
      <c r="A3" s="21"/>
      <c r="B3" s="613"/>
      <c r="I3" s="773"/>
      <c r="J3" s="774"/>
      <c r="HX3" s="611"/>
      <c r="HY3" s="611"/>
      <c r="HZ3" s="611"/>
      <c r="IA3" s="611"/>
      <c r="IB3" s="611"/>
      <c r="IC3" s="611"/>
    </row>
    <row r="4" spans="1:242" ht="18.75" customHeight="1" x14ac:dyDescent="0.2">
      <c r="A4" s="21"/>
      <c r="B4" s="613"/>
      <c r="D4" s="565" t="s">
        <v>27</v>
      </c>
      <c r="E4" s="615" t="str">
        <f>+'[1]B) Reajuste Tarifas y Ocupación'!F5</f>
        <v>(DEPTO./DELEG.)</v>
      </c>
      <c r="F4" s="431"/>
      <c r="G4" s="616"/>
      <c r="H4" s="616"/>
      <c r="I4" s="432"/>
      <c r="J4" s="774"/>
      <c r="O4" s="26"/>
      <c r="HX4" s="611"/>
      <c r="HY4" s="611"/>
      <c r="HZ4" s="611"/>
      <c r="IA4" s="611"/>
      <c r="IB4" s="611"/>
      <c r="IC4" s="611"/>
    </row>
    <row r="5" spans="1:242" x14ac:dyDescent="0.2">
      <c r="A5" s="21"/>
      <c r="B5" s="613"/>
      <c r="D5" s="27"/>
      <c r="E5" s="610"/>
      <c r="F5" s="610"/>
      <c r="G5" s="610"/>
      <c r="H5" s="610"/>
      <c r="I5" s="610"/>
      <c r="J5" s="610"/>
      <c r="O5" s="26"/>
      <c r="HX5" s="611"/>
      <c r="HY5" s="611"/>
      <c r="HZ5" s="611"/>
      <c r="IA5" s="611"/>
      <c r="IB5" s="611"/>
      <c r="IC5" s="611"/>
    </row>
    <row r="6" spans="1:242" ht="13.5" thickBot="1" x14ac:dyDescent="0.25">
      <c r="A6" s="21"/>
      <c r="B6" s="613"/>
      <c r="D6" s="27"/>
      <c r="E6" s="610"/>
      <c r="F6" s="610"/>
      <c r="G6" s="610"/>
      <c r="H6" s="610"/>
      <c r="I6" s="610"/>
      <c r="J6" s="610"/>
      <c r="O6" s="26"/>
      <c r="HX6" s="611"/>
      <c r="HY6" s="611"/>
      <c r="HZ6" s="611"/>
      <c r="IA6" s="611"/>
      <c r="IB6" s="611"/>
      <c r="IC6" s="611"/>
    </row>
    <row r="7" spans="1:242" x14ac:dyDescent="0.2">
      <c r="B7" s="617"/>
      <c r="C7" s="617"/>
      <c r="D7" s="617"/>
      <c r="E7" s="617"/>
      <c r="F7" s="617"/>
      <c r="G7" s="617"/>
      <c r="H7" s="617"/>
      <c r="I7" s="617"/>
      <c r="J7" s="617"/>
      <c r="K7" s="618"/>
      <c r="L7" s="618"/>
      <c r="M7" s="618"/>
      <c r="N7" s="618"/>
      <c r="O7" s="618"/>
      <c r="P7" s="618"/>
      <c r="Q7" s="618"/>
      <c r="R7" s="618"/>
      <c r="Y7" s="619"/>
      <c r="Z7" s="620"/>
      <c r="AA7" s="620"/>
      <c r="AB7" s="620"/>
      <c r="AC7" s="620"/>
      <c r="AD7" s="620"/>
      <c r="AE7" s="620"/>
      <c r="AF7" s="620"/>
      <c r="AG7" s="620"/>
      <c r="AH7" s="620"/>
      <c r="AI7" s="620"/>
      <c r="AJ7" s="620"/>
      <c r="AK7" s="620"/>
      <c r="AL7" s="620"/>
      <c r="AM7" s="620"/>
      <c r="AN7" s="620"/>
      <c r="AO7" s="620"/>
      <c r="AP7" s="620"/>
      <c r="AQ7" s="620"/>
      <c r="AR7" s="620"/>
      <c r="AS7" s="620"/>
      <c r="AT7" s="621"/>
    </row>
    <row r="8" spans="1:242" x14ac:dyDescent="0.2">
      <c r="B8" s="617"/>
      <c r="C8" s="617"/>
      <c r="D8" s="617"/>
      <c r="E8" s="617"/>
      <c r="F8" s="617"/>
      <c r="G8" s="617"/>
      <c r="H8" s="617"/>
      <c r="I8" s="617"/>
      <c r="J8" s="617"/>
      <c r="K8" s="618"/>
      <c r="L8" s="618"/>
      <c r="M8" s="618"/>
      <c r="N8" s="618"/>
      <c r="O8" s="618"/>
      <c r="P8" s="618"/>
      <c r="Q8" s="618"/>
      <c r="R8" s="618"/>
      <c r="Y8" s="622"/>
      <c r="AT8" s="623"/>
    </row>
    <row r="9" spans="1:242" ht="15.75" customHeight="1" x14ac:dyDescent="0.2">
      <c r="A9" s="1284" t="s">
        <v>163</v>
      </c>
      <c r="B9" s="1284"/>
      <c r="C9" s="1284"/>
      <c r="D9" s="1284"/>
      <c r="E9" s="1284"/>
      <c r="F9" s="1284"/>
      <c r="G9" s="1284"/>
      <c r="H9" s="1284"/>
      <c r="I9" s="1284"/>
      <c r="J9" s="624"/>
      <c r="K9" s="624"/>
      <c r="L9" s="624"/>
      <c r="M9" s="1273" t="s">
        <v>164</v>
      </c>
      <c r="N9" s="1273"/>
      <c r="O9" s="1273"/>
      <c r="P9" s="1273"/>
      <c r="Q9" s="1273"/>
      <c r="R9" s="1273"/>
      <c r="S9" s="1273"/>
      <c r="U9" s="1273" t="s">
        <v>165</v>
      </c>
      <c r="V9" s="1273"/>
      <c r="W9" s="1273"/>
      <c r="X9" s="625"/>
      <c r="Y9" s="626"/>
      <c r="Z9" s="1273" t="s">
        <v>166</v>
      </c>
      <c r="AA9" s="1273"/>
      <c r="AB9" s="1273"/>
      <c r="AC9" s="1273"/>
      <c r="AD9" s="1273"/>
      <c r="AE9" s="1273"/>
      <c r="AF9" s="625"/>
      <c r="AG9" s="1273" t="s">
        <v>167</v>
      </c>
      <c r="AH9" s="1273"/>
      <c r="AI9" s="1273"/>
      <c r="AJ9" s="1273"/>
      <c r="AK9" s="1273"/>
      <c r="AL9" s="1273"/>
      <c r="AN9" s="1273" t="s">
        <v>16</v>
      </c>
      <c r="AO9" s="1273"/>
      <c r="AP9" s="1273"/>
      <c r="AQ9" s="1273"/>
      <c r="AR9" s="1273"/>
      <c r="AS9" s="1273"/>
      <c r="AT9" s="623"/>
    </row>
    <row r="10" spans="1:242" ht="13.5" customHeight="1" x14ac:dyDescent="0.2">
      <c r="B10" s="613"/>
      <c r="C10" s="27"/>
      <c r="D10" s="27"/>
      <c r="E10" s="610"/>
      <c r="F10" s="610"/>
      <c r="G10" s="610"/>
      <c r="H10" s="610"/>
      <c r="I10" s="610"/>
      <c r="J10" s="610"/>
      <c r="M10" s="1273"/>
      <c r="N10" s="1273"/>
      <c r="O10" s="1273"/>
      <c r="P10" s="1273"/>
      <c r="Q10" s="1273"/>
      <c r="R10" s="1273"/>
      <c r="S10" s="1273"/>
      <c r="U10" s="1273"/>
      <c r="V10" s="1273"/>
      <c r="W10" s="1273"/>
      <c r="Y10" s="622"/>
      <c r="Z10" s="1273"/>
      <c r="AA10" s="1273"/>
      <c r="AB10" s="1273"/>
      <c r="AC10" s="1273"/>
      <c r="AD10" s="1273"/>
      <c r="AE10" s="1273"/>
      <c r="AG10" s="1273"/>
      <c r="AH10" s="1273"/>
      <c r="AI10" s="1273"/>
      <c r="AJ10" s="1273"/>
      <c r="AK10" s="1273"/>
      <c r="AL10" s="1273"/>
      <c r="AN10" s="1273"/>
      <c r="AO10" s="1273"/>
      <c r="AP10" s="1273"/>
      <c r="AQ10" s="1273"/>
      <c r="AR10" s="1273"/>
      <c r="AS10" s="1273"/>
      <c r="AT10" s="623"/>
    </row>
    <row r="11" spans="1:242" x14ac:dyDescent="0.2">
      <c r="J11" s="627" t="s">
        <v>168</v>
      </c>
      <c r="K11" s="434">
        <v>0.13</v>
      </c>
      <c r="Y11" s="622"/>
      <c r="AT11" s="623"/>
    </row>
    <row r="12" spans="1:242" ht="12.75" customHeight="1" thickBot="1" x14ac:dyDescent="0.25">
      <c r="M12" s="1274"/>
      <c r="N12" s="1274"/>
      <c r="O12" s="1274"/>
      <c r="P12" s="1274"/>
      <c r="Q12" s="1274"/>
      <c r="R12" s="1274"/>
      <c r="Y12" s="622"/>
      <c r="AT12" s="623"/>
    </row>
    <row r="13" spans="1:242" ht="21.75" customHeight="1" thickBot="1" x14ac:dyDescent="0.25">
      <c r="A13" s="1275" t="s">
        <v>169</v>
      </c>
      <c r="B13" s="1275"/>
      <c r="C13" s="1276" t="s">
        <v>170</v>
      </c>
      <c r="D13" s="1276" t="s">
        <v>171</v>
      </c>
      <c r="E13" s="1277" t="s">
        <v>172</v>
      </c>
      <c r="F13" s="1277" t="s">
        <v>151</v>
      </c>
      <c r="G13" s="1263" t="s">
        <v>342</v>
      </c>
      <c r="H13" s="1264"/>
      <c r="I13" s="1264"/>
      <c r="J13" s="1265"/>
      <c r="K13" s="1278" t="s">
        <v>340</v>
      </c>
      <c r="L13" s="618"/>
      <c r="M13" s="1280" t="s">
        <v>173</v>
      </c>
      <c r="N13" s="1280"/>
      <c r="O13" s="1269" t="s">
        <v>174</v>
      </c>
      <c r="P13" s="1269"/>
      <c r="Q13" s="1281" t="s">
        <v>175</v>
      </c>
      <c r="R13" s="1281"/>
      <c r="S13" s="1282" t="s">
        <v>176</v>
      </c>
      <c r="U13" s="1283" t="s">
        <v>78</v>
      </c>
      <c r="V13" s="1238" t="s">
        <v>79</v>
      </c>
      <c r="W13" s="1238" t="s">
        <v>343</v>
      </c>
      <c r="Y13" s="622"/>
      <c r="Z13" s="1280" t="s">
        <v>173</v>
      </c>
      <c r="AA13" s="1280"/>
      <c r="AB13" s="1269" t="s">
        <v>174</v>
      </c>
      <c r="AC13" s="1269"/>
      <c r="AD13" s="1281" t="s">
        <v>175</v>
      </c>
      <c r="AE13" s="1281"/>
      <c r="AG13" s="1260" t="s">
        <v>173</v>
      </c>
      <c r="AH13" s="1260"/>
      <c r="AI13" s="1269" t="s">
        <v>174</v>
      </c>
      <c r="AJ13" s="1269"/>
      <c r="AK13" s="1268" t="s">
        <v>175</v>
      </c>
      <c r="AL13" s="1268"/>
      <c r="AN13" s="1260" t="s">
        <v>173</v>
      </c>
      <c r="AO13" s="1260"/>
      <c r="AP13" s="1269" t="s">
        <v>174</v>
      </c>
      <c r="AQ13" s="1269"/>
      <c r="AR13" s="1268" t="s">
        <v>175</v>
      </c>
      <c r="AS13" s="1268"/>
      <c r="AT13" s="623"/>
    </row>
    <row r="14" spans="1:242" ht="39" thickBot="1" x14ac:dyDescent="0.25">
      <c r="A14" s="1275"/>
      <c r="B14" s="1275"/>
      <c r="C14" s="1276"/>
      <c r="D14" s="1276"/>
      <c r="E14" s="1277"/>
      <c r="F14" s="1277"/>
      <c r="G14" s="271" t="s">
        <v>177</v>
      </c>
      <c r="H14" s="271" t="s">
        <v>178</v>
      </c>
      <c r="I14" s="271" t="s">
        <v>179</v>
      </c>
      <c r="J14" s="271" t="s">
        <v>341</v>
      </c>
      <c r="K14" s="1279"/>
      <c r="L14" s="618"/>
      <c r="M14" s="629" t="s">
        <v>180</v>
      </c>
      <c r="N14" s="630" t="s">
        <v>181</v>
      </c>
      <c r="O14" s="631" t="s">
        <v>180</v>
      </c>
      <c r="P14" s="632" t="s">
        <v>181</v>
      </c>
      <c r="Q14" s="633" t="s">
        <v>180</v>
      </c>
      <c r="R14" s="634" t="s">
        <v>181</v>
      </c>
      <c r="S14" s="1282"/>
      <c r="U14" s="1283"/>
      <c r="V14" s="1238"/>
      <c r="W14" s="1238"/>
      <c r="Y14" s="622"/>
      <c r="Z14" s="629" t="s">
        <v>180</v>
      </c>
      <c r="AA14" s="630" t="s">
        <v>181</v>
      </c>
      <c r="AB14" s="631" t="s">
        <v>180</v>
      </c>
      <c r="AC14" s="632" t="s">
        <v>181</v>
      </c>
      <c r="AD14" s="633" t="s">
        <v>180</v>
      </c>
      <c r="AE14" s="634" t="s">
        <v>181</v>
      </c>
      <c r="AG14" s="635" t="s">
        <v>180</v>
      </c>
      <c r="AH14" s="636" t="s">
        <v>181</v>
      </c>
      <c r="AI14" s="637" t="s">
        <v>180</v>
      </c>
      <c r="AJ14" s="638" t="s">
        <v>181</v>
      </c>
      <c r="AK14" s="639" t="s">
        <v>180</v>
      </c>
      <c r="AL14" s="640" t="s">
        <v>181</v>
      </c>
      <c r="AN14" s="1270" t="s">
        <v>182</v>
      </c>
      <c r="AO14" s="1270"/>
      <c r="AP14" s="1271" t="s">
        <v>182</v>
      </c>
      <c r="AQ14" s="1271"/>
      <c r="AR14" s="1272" t="s">
        <v>183</v>
      </c>
      <c r="AS14" s="1272"/>
      <c r="AT14" s="623"/>
    </row>
    <row r="15" spans="1:242" ht="12.75" customHeight="1" thickBot="1" x14ac:dyDescent="0.25">
      <c r="A15" s="1261" t="s">
        <v>184</v>
      </c>
      <c r="B15" s="1262" t="s">
        <v>185</v>
      </c>
      <c r="C15" s="356" t="s">
        <v>526</v>
      </c>
      <c r="D15" s="356" t="s">
        <v>701</v>
      </c>
      <c r="E15" s="357" t="s">
        <v>527</v>
      </c>
      <c r="F15" s="357" t="s">
        <v>186</v>
      </c>
      <c r="G15" s="362">
        <v>8724228</v>
      </c>
      <c r="H15" s="362">
        <v>272746</v>
      </c>
      <c r="I15" s="362">
        <f>74515*2</f>
        <v>149030</v>
      </c>
      <c r="J15" s="1140">
        <f>SUM(G15:I15)</f>
        <v>9146004</v>
      </c>
      <c r="K15" s="1141">
        <f>+G15*(1+$K$11)+H15+I15</f>
        <v>10280153.639999999</v>
      </c>
      <c r="L15" s="618"/>
      <c r="M15" s="364">
        <v>0.25</v>
      </c>
      <c r="N15" s="659">
        <f>+$K15*M15</f>
        <v>2570038.4099999997</v>
      </c>
      <c r="O15" s="364">
        <v>0.25</v>
      </c>
      <c r="P15" s="642">
        <f t="shared" ref="P15:P20" si="0">+$K15*O15</f>
        <v>2570038.4099999997</v>
      </c>
      <c r="Q15" s="775">
        <v>0.5</v>
      </c>
      <c r="R15" s="643">
        <f t="shared" ref="R15:R20" si="1">+$K15*Q15</f>
        <v>5140076.8199999994</v>
      </c>
      <c r="S15" s="644">
        <f t="shared" ref="S15:S61" si="2">+M15+O15+Q15</f>
        <v>1</v>
      </c>
      <c r="U15" s="645"/>
      <c r="V15" s="273" t="s">
        <v>85</v>
      </c>
      <c r="W15" s="240">
        <f>SUM(W16,W20)</f>
        <v>128296764</v>
      </c>
      <c r="Y15" s="622"/>
      <c r="Z15" s="646">
        <f t="shared" ref="Z15:AE15" si="3">+M62</f>
        <v>0.25</v>
      </c>
      <c r="AA15" s="647">
        <f t="shared" si="3"/>
        <v>49568455.839999989</v>
      </c>
      <c r="AB15" s="646">
        <f t="shared" si="3"/>
        <v>0.25</v>
      </c>
      <c r="AC15" s="648">
        <f t="shared" si="3"/>
        <v>49568455.839999989</v>
      </c>
      <c r="AD15" s="649">
        <f t="shared" si="3"/>
        <v>0.5</v>
      </c>
      <c r="AE15" s="648">
        <f t="shared" si="3"/>
        <v>99136911.679999977</v>
      </c>
      <c r="AG15" s="650">
        <f>+Z15</f>
        <v>0.25</v>
      </c>
      <c r="AH15" s="651">
        <f>+AG15*W80</f>
        <v>43571770.25</v>
      </c>
      <c r="AI15" s="652">
        <f>+AB15</f>
        <v>0.25</v>
      </c>
      <c r="AJ15" s="651">
        <f>+AI15*W80</f>
        <v>43571770.25</v>
      </c>
      <c r="AK15" s="653">
        <f>+AD15</f>
        <v>0.5</v>
      </c>
      <c r="AL15" s="654">
        <f>+AK15*W80</f>
        <v>87143540.5</v>
      </c>
      <c r="AN15" s="1266">
        <f>+AH15+AA15+K73</f>
        <v>124086972.21999998</v>
      </c>
      <c r="AO15" s="1266"/>
      <c r="AP15" s="1266">
        <f>+AJ15+AC15+K81</f>
        <v>93140226.089999989</v>
      </c>
      <c r="AQ15" s="1266"/>
      <c r="AR15" s="1266">
        <f>+AL15+AE15+K90</f>
        <v>301875177.38999999</v>
      </c>
      <c r="AS15" s="1266"/>
      <c r="AT15" s="623"/>
    </row>
    <row r="16" spans="1:242" ht="13.5" thickBot="1" x14ac:dyDescent="0.25">
      <c r="A16" s="1261"/>
      <c r="B16" s="1262"/>
      <c r="C16" s="360" t="s">
        <v>528</v>
      </c>
      <c r="D16" s="360" t="s">
        <v>529</v>
      </c>
      <c r="E16" s="361" t="s">
        <v>530</v>
      </c>
      <c r="F16" s="361" t="s">
        <v>186</v>
      </c>
      <c r="G16" s="362">
        <v>13829772</v>
      </c>
      <c r="H16" s="362">
        <v>151001</v>
      </c>
      <c r="I16" s="362">
        <f>73174*2</f>
        <v>146348</v>
      </c>
      <c r="J16" s="1140">
        <f t="shared" ref="J16:J61" si="4">SUM(G16:I16)</f>
        <v>14127121</v>
      </c>
      <c r="K16" s="1141">
        <f t="shared" ref="K16:K43" si="5">+G16*(1+$K$11)+H16+I16</f>
        <v>15924991.359999999</v>
      </c>
      <c r="L16" s="618"/>
      <c r="M16" s="364">
        <v>0.25</v>
      </c>
      <c r="N16" s="659">
        <f t="shared" ref="N16:N20" si="6">+$K16*M16</f>
        <v>3981247.84</v>
      </c>
      <c r="O16" s="364">
        <v>0.25</v>
      </c>
      <c r="P16" s="658">
        <f t="shared" si="0"/>
        <v>3981247.84</v>
      </c>
      <c r="Q16" s="775">
        <v>0.5</v>
      </c>
      <c r="R16" s="659">
        <f t="shared" si="1"/>
        <v>7962495.6799999997</v>
      </c>
      <c r="S16" s="660">
        <f t="shared" si="2"/>
        <v>1</v>
      </c>
      <c r="U16" s="661"/>
      <c r="V16" s="276" t="s">
        <v>86</v>
      </c>
      <c r="W16" s="246">
        <f>SUM(W17:W19)</f>
        <v>0</v>
      </c>
      <c r="Y16" s="622"/>
      <c r="AT16" s="623"/>
    </row>
    <row r="17" spans="1:46" ht="12.75" customHeight="1" thickBot="1" x14ac:dyDescent="0.25">
      <c r="A17" s="1261"/>
      <c r="B17" s="1262"/>
      <c r="C17" s="360" t="s">
        <v>531</v>
      </c>
      <c r="D17" s="360" t="s">
        <v>532</v>
      </c>
      <c r="E17" s="361" t="s">
        <v>533</v>
      </c>
      <c r="F17" s="361" t="s">
        <v>186</v>
      </c>
      <c r="G17" s="362">
        <v>13398780</v>
      </c>
      <c r="H17" s="362">
        <f>H16</f>
        <v>151001</v>
      </c>
      <c r="I17" s="362">
        <f>I16</f>
        <v>146348</v>
      </c>
      <c r="J17" s="1140">
        <f t="shared" si="4"/>
        <v>13696129</v>
      </c>
      <c r="K17" s="1141">
        <f t="shared" si="5"/>
        <v>15437970.399999999</v>
      </c>
      <c r="L17" s="618"/>
      <c r="M17" s="364">
        <v>0.25</v>
      </c>
      <c r="N17" s="659">
        <f t="shared" si="6"/>
        <v>3859492.5999999996</v>
      </c>
      <c r="O17" s="364">
        <v>0.25</v>
      </c>
      <c r="P17" s="658">
        <f t="shared" si="0"/>
        <v>3859492.5999999996</v>
      </c>
      <c r="Q17" s="775">
        <v>0.5</v>
      </c>
      <c r="R17" s="659">
        <f t="shared" si="1"/>
        <v>7718985.1999999993</v>
      </c>
      <c r="S17" s="660">
        <f t="shared" si="2"/>
        <v>1</v>
      </c>
      <c r="U17" s="662">
        <v>53103050000000</v>
      </c>
      <c r="V17" s="663" t="s">
        <v>187</v>
      </c>
      <c r="W17" s="251">
        <v>0</v>
      </c>
      <c r="Y17" s="622"/>
      <c r="AT17" s="623"/>
    </row>
    <row r="18" spans="1:46" ht="13.5" customHeight="1" thickBot="1" x14ac:dyDescent="0.25">
      <c r="A18" s="1261"/>
      <c r="B18" s="1262"/>
      <c r="C18" s="360" t="s">
        <v>534</v>
      </c>
      <c r="D18" s="360" t="s">
        <v>535</v>
      </c>
      <c r="E18" s="361" t="s">
        <v>536</v>
      </c>
      <c r="F18" s="361" t="s">
        <v>186</v>
      </c>
      <c r="G18" s="362">
        <v>6498456</v>
      </c>
      <c r="H18" s="362">
        <f>H15</f>
        <v>272746</v>
      </c>
      <c r="I18" s="362">
        <f>I17</f>
        <v>146348</v>
      </c>
      <c r="J18" s="1140">
        <f t="shared" si="4"/>
        <v>6917550</v>
      </c>
      <c r="K18" s="1141">
        <f t="shared" si="5"/>
        <v>7762349.2799999993</v>
      </c>
      <c r="L18" s="618"/>
      <c r="M18" s="364">
        <v>0.25</v>
      </c>
      <c r="N18" s="659">
        <f t="shared" si="6"/>
        <v>1940587.3199999998</v>
      </c>
      <c r="O18" s="364">
        <v>0.25</v>
      </c>
      <c r="P18" s="658">
        <f t="shared" si="0"/>
        <v>1940587.3199999998</v>
      </c>
      <c r="Q18" s="775">
        <v>0.5</v>
      </c>
      <c r="R18" s="659">
        <f t="shared" si="1"/>
        <v>3881174.6399999997</v>
      </c>
      <c r="S18" s="660">
        <f t="shared" si="2"/>
        <v>1</v>
      </c>
      <c r="U18" s="662">
        <v>53103060000000</v>
      </c>
      <c r="V18" s="663" t="s">
        <v>189</v>
      </c>
      <c r="W18" s="251">
        <v>0</v>
      </c>
      <c r="Y18" s="664"/>
      <c r="Z18" s="665"/>
      <c r="AA18" s="665"/>
      <c r="AB18" s="665"/>
      <c r="AC18" s="665"/>
      <c r="AD18" s="665"/>
      <c r="AE18" s="665"/>
      <c r="AF18" s="665"/>
      <c r="AG18" s="665"/>
      <c r="AH18" s="665"/>
      <c r="AI18" s="665"/>
      <c r="AJ18" s="665"/>
      <c r="AK18" s="665"/>
      <c r="AL18" s="665"/>
      <c r="AM18" s="665"/>
      <c r="AN18" s="665"/>
      <c r="AO18" s="665"/>
      <c r="AP18" s="665"/>
      <c r="AQ18" s="665"/>
      <c r="AR18" s="665"/>
      <c r="AS18" s="665"/>
      <c r="AT18" s="666"/>
    </row>
    <row r="19" spans="1:46" ht="13.5" thickBot="1" x14ac:dyDescent="0.25">
      <c r="A19" s="1261"/>
      <c r="B19" s="1262"/>
      <c r="C19" s="360" t="s">
        <v>537</v>
      </c>
      <c r="D19" s="360" t="s">
        <v>538</v>
      </c>
      <c r="E19" s="361" t="s">
        <v>539</v>
      </c>
      <c r="F19" s="361" t="s">
        <v>186</v>
      </c>
      <c r="G19" s="362">
        <v>9049836</v>
      </c>
      <c r="H19" s="362">
        <f>H15</f>
        <v>272746</v>
      </c>
      <c r="I19" s="362">
        <f>I18</f>
        <v>146348</v>
      </c>
      <c r="J19" s="1140">
        <f t="shared" si="4"/>
        <v>9468930</v>
      </c>
      <c r="K19" s="1141">
        <f t="shared" si="5"/>
        <v>10645408.68</v>
      </c>
      <c r="L19" s="618"/>
      <c r="M19" s="364">
        <v>0.25</v>
      </c>
      <c r="N19" s="659">
        <f t="shared" si="6"/>
        <v>2661352.17</v>
      </c>
      <c r="O19" s="364">
        <v>0.25</v>
      </c>
      <c r="P19" s="658">
        <f t="shared" si="0"/>
        <v>2661352.17</v>
      </c>
      <c r="Q19" s="775">
        <v>0.5</v>
      </c>
      <c r="R19" s="659">
        <f t="shared" si="1"/>
        <v>5322704.34</v>
      </c>
      <c r="S19" s="660">
        <f t="shared" si="2"/>
        <v>1</v>
      </c>
      <c r="U19" s="662">
        <v>53103080010000</v>
      </c>
      <c r="V19" s="663" t="s">
        <v>190</v>
      </c>
      <c r="W19" s="251">
        <v>0</v>
      </c>
    </row>
    <row r="20" spans="1:46" ht="13.5" thickBot="1" x14ac:dyDescent="0.25">
      <c r="A20" s="1261"/>
      <c r="B20" s="1262"/>
      <c r="C20" s="360" t="s">
        <v>540</v>
      </c>
      <c r="D20" s="360" t="s">
        <v>541</v>
      </c>
      <c r="E20" s="361" t="s">
        <v>542</v>
      </c>
      <c r="F20" s="361" t="s">
        <v>186</v>
      </c>
      <c r="G20" s="362">
        <v>25482648</v>
      </c>
      <c r="H20" s="362">
        <f>H17</f>
        <v>151001</v>
      </c>
      <c r="I20" s="362">
        <f>72819*2</f>
        <v>145638</v>
      </c>
      <c r="J20" s="1140">
        <f t="shared" si="4"/>
        <v>25779287</v>
      </c>
      <c r="K20" s="1141">
        <f t="shared" si="5"/>
        <v>29092031.239999998</v>
      </c>
      <c r="L20" s="618"/>
      <c r="M20" s="364">
        <v>0.25</v>
      </c>
      <c r="N20" s="659">
        <f t="shared" si="6"/>
        <v>7273007.8099999996</v>
      </c>
      <c r="O20" s="364">
        <v>0.25</v>
      </c>
      <c r="P20" s="658">
        <f t="shared" si="0"/>
        <v>7273007.8099999996</v>
      </c>
      <c r="Q20" s="775">
        <v>0.5</v>
      </c>
      <c r="R20" s="659">
        <f t="shared" si="1"/>
        <v>14546015.619999999</v>
      </c>
      <c r="S20" s="660">
        <f t="shared" si="2"/>
        <v>1</v>
      </c>
      <c r="U20" s="661"/>
      <c r="V20" s="276" t="s">
        <v>91</v>
      </c>
      <c r="W20" s="246">
        <f>SUM(W21:W39)</f>
        <v>128296764</v>
      </c>
    </row>
    <row r="21" spans="1:46" ht="13.5" thickBot="1" x14ac:dyDescent="0.25">
      <c r="A21" s="1261"/>
      <c r="B21" s="1262"/>
      <c r="C21" s="365"/>
      <c r="D21" s="365"/>
      <c r="E21" s="366"/>
      <c r="F21" s="366"/>
      <c r="G21" s="362"/>
      <c r="H21" s="363"/>
      <c r="I21" s="802"/>
      <c r="J21" s="818">
        <f t="shared" si="4"/>
        <v>0</v>
      </c>
      <c r="K21" s="1141">
        <f t="shared" si="5"/>
        <v>0</v>
      </c>
      <c r="L21" s="618"/>
      <c r="M21" s="364">
        <v>0</v>
      </c>
      <c r="N21" s="659">
        <f>+$K83*M21</f>
        <v>0</v>
      </c>
      <c r="O21" s="364">
        <v>0</v>
      </c>
      <c r="P21" s="658">
        <f>+$K83*O21</f>
        <v>0</v>
      </c>
      <c r="Q21" s="775">
        <v>0</v>
      </c>
      <c r="R21" s="659">
        <f>+$K83*Q21</f>
        <v>0</v>
      </c>
      <c r="S21" s="660">
        <f t="shared" si="2"/>
        <v>0</v>
      </c>
      <c r="U21" s="662">
        <v>53201010100000</v>
      </c>
      <c r="V21" s="663" t="s">
        <v>191</v>
      </c>
      <c r="W21" s="367">
        <v>20340000</v>
      </c>
    </row>
    <row r="22" spans="1:46" ht="13.5" thickBot="1" x14ac:dyDescent="0.25">
      <c r="A22" s="1261"/>
      <c r="B22" s="1262"/>
      <c r="C22" s="365"/>
      <c r="D22" s="365"/>
      <c r="E22" s="366"/>
      <c r="F22" s="366"/>
      <c r="G22" s="362"/>
      <c r="H22" s="363"/>
      <c r="I22" s="802"/>
      <c r="J22" s="818">
        <f t="shared" si="4"/>
        <v>0</v>
      </c>
      <c r="K22" s="1141">
        <f t="shared" si="5"/>
        <v>0</v>
      </c>
      <c r="L22" s="618"/>
      <c r="M22" s="364">
        <v>0</v>
      </c>
      <c r="N22" s="659">
        <f>+$K84*M22</f>
        <v>0</v>
      </c>
      <c r="O22" s="364">
        <v>0</v>
      </c>
      <c r="P22" s="658">
        <f>+$K84*O22</f>
        <v>0</v>
      </c>
      <c r="Q22" s="775">
        <v>0</v>
      </c>
      <c r="R22" s="659">
        <f>+$K84*Q22</f>
        <v>0</v>
      </c>
      <c r="S22" s="660">
        <f t="shared" si="2"/>
        <v>0</v>
      </c>
      <c r="U22" s="662">
        <v>53202010100000</v>
      </c>
      <c r="V22" s="663" t="s">
        <v>192</v>
      </c>
      <c r="W22" s="367">
        <v>470080</v>
      </c>
    </row>
    <row r="23" spans="1:46" ht="13.5" thickBot="1" x14ac:dyDescent="0.25">
      <c r="A23" s="1261"/>
      <c r="B23" s="1262"/>
      <c r="C23" s="365"/>
      <c r="D23" s="365"/>
      <c r="E23" s="366"/>
      <c r="F23" s="366"/>
      <c r="G23" s="362"/>
      <c r="H23" s="363"/>
      <c r="I23" s="802"/>
      <c r="J23" s="818">
        <f t="shared" si="4"/>
        <v>0</v>
      </c>
      <c r="K23" s="1141">
        <f t="shared" si="5"/>
        <v>0</v>
      </c>
      <c r="M23" s="364">
        <v>0</v>
      </c>
      <c r="N23" s="659">
        <f>+$K85*M23</f>
        <v>0</v>
      </c>
      <c r="O23" s="364">
        <v>0</v>
      </c>
      <c r="P23" s="658">
        <f>+$K85*O23</f>
        <v>0</v>
      </c>
      <c r="Q23" s="775">
        <v>0</v>
      </c>
      <c r="R23" s="659">
        <f>+$K85*Q23</f>
        <v>0</v>
      </c>
      <c r="S23" s="660">
        <f t="shared" si="2"/>
        <v>0</v>
      </c>
      <c r="U23" s="662">
        <v>53203010100000</v>
      </c>
      <c r="V23" s="663" t="s">
        <v>96</v>
      </c>
      <c r="W23" s="367">
        <v>6554000</v>
      </c>
    </row>
    <row r="24" spans="1:46" ht="13.5" thickBot="1" x14ac:dyDescent="0.25">
      <c r="A24" s="1261"/>
      <c r="B24" s="1262"/>
      <c r="C24" s="368"/>
      <c r="D24" s="368"/>
      <c r="E24" s="369"/>
      <c r="F24" s="369"/>
      <c r="G24" s="370"/>
      <c r="H24" s="371"/>
      <c r="I24" s="803"/>
      <c r="J24" s="819">
        <f t="shared" si="4"/>
        <v>0</v>
      </c>
      <c r="K24" s="1141">
        <f t="shared" si="5"/>
        <v>0</v>
      </c>
      <c r="L24" s="618"/>
      <c r="M24" s="372">
        <v>0</v>
      </c>
      <c r="N24" s="674">
        <f>+$K84*M24</f>
        <v>0</v>
      </c>
      <c r="O24" s="372">
        <v>0</v>
      </c>
      <c r="P24" s="673">
        <f>+$K84*O24</f>
        <v>0</v>
      </c>
      <c r="Q24" s="775">
        <v>0</v>
      </c>
      <c r="R24" s="674">
        <f>+$K84*Q24</f>
        <v>0</v>
      </c>
      <c r="S24" s="675">
        <f t="shared" si="2"/>
        <v>0</v>
      </c>
      <c r="U24" s="662">
        <v>53203030000000</v>
      </c>
      <c r="V24" s="663" t="s">
        <v>193</v>
      </c>
      <c r="W24" s="367">
        <v>0</v>
      </c>
    </row>
    <row r="25" spans="1:46" ht="12.75" customHeight="1" thickBot="1" x14ac:dyDescent="0.25">
      <c r="A25" s="1261"/>
      <c r="B25" s="1262" t="s">
        <v>194</v>
      </c>
      <c r="C25" s="356" t="s">
        <v>543</v>
      </c>
      <c r="D25" s="356" t="s">
        <v>544</v>
      </c>
      <c r="E25" s="357" t="s">
        <v>545</v>
      </c>
      <c r="F25" s="357" t="s">
        <v>186</v>
      </c>
      <c r="G25" s="358">
        <v>10771236</v>
      </c>
      <c r="H25" s="358">
        <f>H16</f>
        <v>151001</v>
      </c>
      <c r="I25" s="801">
        <f>I16</f>
        <v>146348</v>
      </c>
      <c r="J25" s="817">
        <f t="shared" si="4"/>
        <v>11068585</v>
      </c>
      <c r="K25" s="1141">
        <f t="shared" si="5"/>
        <v>12468845.68</v>
      </c>
      <c r="L25" s="618"/>
      <c r="M25" s="364">
        <v>0.25</v>
      </c>
      <c r="N25" s="643">
        <f t="shared" ref="N25:N61" si="7">+$K25*M25</f>
        <v>3117211.42</v>
      </c>
      <c r="O25" s="364">
        <v>0.25</v>
      </c>
      <c r="P25" s="642">
        <f t="shared" ref="P25:P61" si="8">+$K25*O25</f>
        <v>3117211.42</v>
      </c>
      <c r="Q25" s="374">
        <v>0.5</v>
      </c>
      <c r="R25" s="643">
        <f t="shared" ref="R25:R61" si="9">+$K25*Q25</f>
        <v>6234422.8399999999</v>
      </c>
      <c r="S25" s="644">
        <f t="shared" si="2"/>
        <v>1</v>
      </c>
      <c r="U25" s="662">
        <v>53204030000000</v>
      </c>
      <c r="V25" s="663" t="s">
        <v>195</v>
      </c>
      <c r="W25" s="367">
        <v>282500</v>
      </c>
    </row>
    <row r="26" spans="1:46" ht="12.75" customHeight="1" thickBot="1" x14ac:dyDescent="0.25">
      <c r="A26" s="1261"/>
      <c r="B26" s="1262"/>
      <c r="C26" s="360" t="s">
        <v>546</v>
      </c>
      <c r="D26" s="360" t="s">
        <v>547</v>
      </c>
      <c r="E26" s="357" t="s">
        <v>545</v>
      </c>
      <c r="F26" s="361" t="s">
        <v>186</v>
      </c>
      <c r="G26" s="362">
        <v>13477968</v>
      </c>
      <c r="H26" s="363">
        <f>H25</f>
        <v>151001</v>
      </c>
      <c r="I26" s="802">
        <f>I16</f>
        <v>146348</v>
      </c>
      <c r="J26" s="818">
        <f t="shared" si="4"/>
        <v>13775317</v>
      </c>
      <c r="K26" s="1141">
        <f t="shared" si="5"/>
        <v>15527452.839999998</v>
      </c>
      <c r="L26" s="618"/>
      <c r="M26" s="364">
        <v>0.25</v>
      </c>
      <c r="N26" s="659">
        <f t="shared" si="7"/>
        <v>3881863.2099999995</v>
      </c>
      <c r="O26" s="364">
        <v>0.25</v>
      </c>
      <c r="P26" s="658">
        <f t="shared" si="8"/>
        <v>3881863.2099999995</v>
      </c>
      <c r="Q26" s="374">
        <v>0.5</v>
      </c>
      <c r="R26" s="659">
        <f t="shared" si="9"/>
        <v>7763726.419999999</v>
      </c>
      <c r="S26" s="660">
        <f t="shared" si="2"/>
        <v>1</v>
      </c>
      <c r="U26" s="662">
        <v>53204100100001</v>
      </c>
      <c r="V26" s="663" t="s">
        <v>99</v>
      </c>
      <c r="W26" s="367">
        <v>19787384</v>
      </c>
    </row>
    <row r="27" spans="1:46" ht="12.75" customHeight="1" thickBot="1" x14ac:dyDescent="0.25">
      <c r="A27" s="1261"/>
      <c r="B27" s="1262"/>
      <c r="C27" s="360" t="s">
        <v>548</v>
      </c>
      <c r="D27" s="360" t="s">
        <v>549</v>
      </c>
      <c r="E27" s="361" t="s">
        <v>550</v>
      </c>
      <c r="F27" s="361" t="s">
        <v>186</v>
      </c>
      <c r="G27" s="362">
        <v>13995964</v>
      </c>
      <c r="H27" s="363">
        <f>H26</f>
        <v>151001</v>
      </c>
      <c r="I27" s="802">
        <f>I20</f>
        <v>145638</v>
      </c>
      <c r="J27" s="818">
        <f t="shared" si="4"/>
        <v>14292603</v>
      </c>
      <c r="K27" s="1141">
        <f t="shared" si="5"/>
        <v>16112078.319999998</v>
      </c>
      <c r="L27" s="618"/>
      <c r="M27" s="364">
        <v>0.25</v>
      </c>
      <c r="N27" s="659">
        <f t="shared" si="7"/>
        <v>4028019.5799999996</v>
      </c>
      <c r="O27" s="364">
        <v>0.25</v>
      </c>
      <c r="P27" s="658">
        <f t="shared" si="8"/>
        <v>4028019.5799999996</v>
      </c>
      <c r="Q27" s="374">
        <v>0.5</v>
      </c>
      <c r="R27" s="659">
        <f t="shared" si="9"/>
        <v>8056039.1599999992</v>
      </c>
      <c r="S27" s="660">
        <f t="shared" si="2"/>
        <v>1</v>
      </c>
      <c r="U27" s="662">
        <v>53204130100000</v>
      </c>
      <c r="V27" s="663" t="s">
        <v>196</v>
      </c>
      <c r="W27" s="367">
        <v>0</v>
      </c>
    </row>
    <row r="28" spans="1:46" ht="12.75" customHeight="1" thickBot="1" x14ac:dyDescent="0.25">
      <c r="A28" s="1261"/>
      <c r="B28" s="1262"/>
      <c r="C28" s="360" t="s">
        <v>551</v>
      </c>
      <c r="D28" s="360" t="s">
        <v>552</v>
      </c>
      <c r="E28" s="361" t="s">
        <v>545</v>
      </c>
      <c r="F28" s="361" t="s">
        <v>186</v>
      </c>
      <c r="G28" s="362">
        <v>9125388</v>
      </c>
      <c r="H28" s="363">
        <f>H15</f>
        <v>272746</v>
      </c>
      <c r="I28" s="802">
        <f>I25</f>
        <v>146348</v>
      </c>
      <c r="J28" s="818">
        <f t="shared" si="4"/>
        <v>9544482</v>
      </c>
      <c r="K28" s="1141">
        <f t="shared" si="5"/>
        <v>10730782.439999999</v>
      </c>
      <c r="L28" s="618"/>
      <c r="M28" s="364">
        <v>0.25</v>
      </c>
      <c r="N28" s="659">
        <f t="shared" si="7"/>
        <v>2682695.61</v>
      </c>
      <c r="O28" s="364">
        <v>0.25</v>
      </c>
      <c r="P28" s="658">
        <f t="shared" si="8"/>
        <v>2682695.61</v>
      </c>
      <c r="Q28" s="374">
        <v>0.5</v>
      </c>
      <c r="R28" s="659">
        <f t="shared" si="9"/>
        <v>5365391.22</v>
      </c>
      <c r="S28" s="660">
        <f t="shared" si="2"/>
        <v>1</v>
      </c>
      <c r="U28" s="662">
        <v>53205010100000</v>
      </c>
      <c r="V28" s="663" t="s">
        <v>101</v>
      </c>
      <c r="W28" s="367">
        <v>30510000</v>
      </c>
    </row>
    <row r="29" spans="1:46" ht="12.75" customHeight="1" thickBot="1" x14ac:dyDescent="0.25">
      <c r="A29" s="1261"/>
      <c r="B29" s="1262"/>
      <c r="C29" s="446" t="s">
        <v>418</v>
      </c>
      <c r="D29" s="446"/>
      <c r="E29" s="1127" t="s">
        <v>553</v>
      </c>
      <c r="F29" s="1127" t="s">
        <v>186</v>
      </c>
      <c r="G29" s="1062">
        <v>0</v>
      </c>
      <c r="H29" s="1128">
        <v>0</v>
      </c>
      <c r="I29" s="1129">
        <v>0</v>
      </c>
      <c r="J29" s="1130">
        <f t="shared" si="4"/>
        <v>0</v>
      </c>
      <c r="K29" s="1141">
        <f t="shared" si="5"/>
        <v>0</v>
      </c>
      <c r="L29" s="618"/>
      <c r="M29" s="364">
        <v>0.25</v>
      </c>
      <c r="N29" s="659">
        <f t="shared" si="7"/>
        <v>0</v>
      </c>
      <c r="O29" s="364">
        <v>0.25</v>
      </c>
      <c r="P29" s="658">
        <f t="shared" si="8"/>
        <v>0</v>
      </c>
      <c r="Q29" s="374">
        <v>0.5</v>
      </c>
      <c r="R29" s="659">
        <f t="shared" si="9"/>
        <v>0</v>
      </c>
      <c r="S29" s="660">
        <f t="shared" si="2"/>
        <v>1</v>
      </c>
      <c r="U29" s="662">
        <v>53205020100000</v>
      </c>
      <c r="V29" s="663" t="s">
        <v>102</v>
      </c>
      <c r="W29" s="367">
        <v>610200</v>
      </c>
    </row>
    <row r="30" spans="1:46" ht="12.75" customHeight="1" thickBot="1" x14ac:dyDescent="0.25">
      <c r="A30" s="1261"/>
      <c r="B30" s="1262"/>
      <c r="C30" s="365"/>
      <c r="D30" s="365"/>
      <c r="E30" s="366"/>
      <c r="F30" s="366"/>
      <c r="G30" s="362"/>
      <c r="H30" s="363"/>
      <c r="I30" s="802"/>
      <c r="J30" s="818">
        <f t="shared" si="4"/>
        <v>0</v>
      </c>
      <c r="K30" s="1141">
        <f t="shared" si="5"/>
        <v>0</v>
      </c>
      <c r="L30" s="618"/>
      <c r="M30" s="364">
        <v>0</v>
      </c>
      <c r="N30" s="659">
        <f t="shared" si="7"/>
        <v>0</v>
      </c>
      <c r="O30" s="364">
        <v>0</v>
      </c>
      <c r="P30" s="658">
        <f t="shared" si="8"/>
        <v>0</v>
      </c>
      <c r="Q30" s="375">
        <v>0</v>
      </c>
      <c r="R30" s="659">
        <f t="shared" si="9"/>
        <v>0</v>
      </c>
      <c r="S30" s="660">
        <f t="shared" si="2"/>
        <v>0</v>
      </c>
      <c r="U30" s="662">
        <v>53205030100000</v>
      </c>
      <c r="V30" s="663" t="s">
        <v>103</v>
      </c>
      <c r="W30" s="367">
        <v>5898600</v>
      </c>
    </row>
    <row r="31" spans="1:46" ht="12.75" customHeight="1" thickBot="1" x14ac:dyDescent="0.25">
      <c r="A31" s="1261"/>
      <c r="B31" s="1262"/>
      <c r="C31" s="365"/>
      <c r="D31" s="365"/>
      <c r="E31" s="366"/>
      <c r="F31" s="366"/>
      <c r="G31" s="362"/>
      <c r="H31" s="363"/>
      <c r="I31" s="802"/>
      <c r="J31" s="818">
        <f t="shared" si="4"/>
        <v>0</v>
      </c>
      <c r="K31" s="1141">
        <f t="shared" si="5"/>
        <v>0</v>
      </c>
      <c r="L31" s="618"/>
      <c r="M31" s="364">
        <v>0</v>
      </c>
      <c r="N31" s="659">
        <f t="shared" si="7"/>
        <v>0</v>
      </c>
      <c r="O31" s="364">
        <v>0</v>
      </c>
      <c r="P31" s="658">
        <f t="shared" si="8"/>
        <v>0</v>
      </c>
      <c r="Q31" s="375">
        <v>0</v>
      </c>
      <c r="R31" s="659">
        <f t="shared" si="9"/>
        <v>0</v>
      </c>
      <c r="S31" s="660">
        <f t="shared" si="2"/>
        <v>0</v>
      </c>
      <c r="U31" s="662">
        <v>53205050100000</v>
      </c>
      <c r="V31" s="663" t="s">
        <v>104</v>
      </c>
      <c r="W31" s="367">
        <v>9763200</v>
      </c>
    </row>
    <row r="32" spans="1:46" ht="12.75" customHeight="1" thickBot="1" x14ac:dyDescent="0.25">
      <c r="A32" s="1261"/>
      <c r="B32" s="1262"/>
      <c r="C32" s="365"/>
      <c r="D32" s="365"/>
      <c r="E32" s="366"/>
      <c r="F32" s="366"/>
      <c r="G32" s="362"/>
      <c r="H32" s="363"/>
      <c r="I32" s="802"/>
      <c r="J32" s="818">
        <f t="shared" si="4"/>
        <v>0</v>
      </c>
      <c r="K32" s="1141">
        <f t="shared" si="5"/>
        <v>0</v>
      </c>
      <c r="L32" s="618"/>
      <c r="M32" s="364">
        <v>0</v>
      </c>
      <c r="N32" s="659">
        <f t="shared" si="7"/>
        <v>0</v>
      </c>
      <c r="O32" s="364">
        <v>0</v>
      </c>
      <c r="P32" s="658">
        <f t="shared" si="8"/>
        <v>0</v>
      </c>
      <c r="Q32" s="375">
        <v>0</v>
      </c>
      <c r="R32" s="659">
        <f t="shared" si="9"/>
        <v>0</v>
      </c>
      <c r="S32" s="660">
        <f t="shared" si="2"/>
        <v>0</v>
      </c>
      <c r="U32" s="662">
        <v>53205060100000</v>
      </c>
      <c r="V32" s="663" t="s">
        <v>197</v>
      </c>
      <c r="W32" s="367">
        <v>6983400</v>
      </c>
    </row>
    <row r="33" spans="1:23" ht="12.75" customHeight="1" thickBot="1" x14ac:dyDescent="0.25">
      <c r="A33" s="1261"/>
      <c r="B33" s="1262"/>
      <c r="C33" s="365"/>
      <c r="D33" s="365"/>
      <c r="E33" s="366"/>
      <c r="F33" s="366"/>
      <c r="G33" s="362"/>
      <c r="H33" s="363"/>
      <c r="I33" s="802"/>
      <c r="J33" s="818">
        <f t="shared" si="4"/>
        <v>0</v>
      </c>
      <c r="K33" s="1141">
        <f t="shared" si="5"/>
        <v>0</v>
      </c>
      <c r="L33" s="618"/>
      <c r="M33" s="364">
        <v>0</v>
      </c>
      <c r="N33" s="659">
        <f t="shared" si="7"/>
        <v>0</v>
      </c>
      <c r="O33" s="364">
        <v>0</v>
      </c>
      <c r="P33" s="658">
        <f t="shared" si="8"/>
        <v>0</v>
      </c>
      <c r="Q33" s="375">
        <v>0</v>
      </c>
      <c r="R33" s="659">
        <f t="shared" si="9"/>
        <v>0</v>
      </c>
      <c r="S33" s="660">
        <f t="shared" si="2"/>
        <v>0</v>
      </c>
      <c r="U33" s="662">
        <v>53205070100000</v>
      </c>
      <c r="V33" s="663" t="s">
        <v>105</v>
      </c>
      <c r="W33" s="367">
        <v>15187200</v>
      </c>
    </row>
    <row r="34" spans="1:23" ht="12.75" customHeight="1" thickBot="1" x14ac:dyDescent="0.25">
      <c r="A34" s="1261"/>
      <c r="B34" s="1262"/>
      <c r="C34" s="368"/>
      <c r="D34" s="368"/>
      <c r="E34" s="369"/>
      <c r="F34" s="369"/>
      <c r="G34" s="370"/>
      <c r="H34" s="371"/>
      <c r="I34" s="803"/>
      <c r="J34" s="819">
        <f t="shared" si="4"/>
        <v>0</v>
      </c>
      <c r="K34" s="1141">
        <f t="shared" si="5"/>
        <v>0</v>
      </c>
      <c r="L34" s="618"/>
      <c r="M34" s="359">
        <v>0</v>
      </c>
      <c r="N34" s="781">
        <f t="shared" si="7"/>
        <v>0</v>
      </c>
      <c r="O34" s="359">
        <v>0</v>
      </c>
      <c r="P34" s="782">
        <f t="shared" si="8"/>
        <v>0</v>
      </c>
      <c r="Q34" s="373">
        <v>0</v>
      </c>
      <c r="R34" s="781">
        <f t="shared" si="9"/>
        <v>0</v>
      </c>
      <c r="S34" s="783">
        <f t="shared" si="2"/>
        <v>0</v>
      </c>
      <c r="U34" s="662">
        <v>53208010100000</v>
      </c>
      <c r="V34" s="663" t="s">
        <v>106</v>
      </c>
      <c r="W34" s="367">
        <v>1627200</v>
      </c>
    </row>
    <row r="35" spans="1:23" ht="12.75" customHeight="1" thickBot="1" x14ac:dyDescent="0.25">
      <c r="A35" s="1261"/>
      <c r="B35" s="1262" t="s">
        <v>198</v>
      </c>
      <c r="C35" s="356" t="s">
        <v>554</v>
      </c>
      <c r="D35" s="356" t="s">
        <v>555</v>
      </c>
      <c r="E35" s="357" t="s">
        <v>556</v>
      </c>
      <c r="F35" s="357" t="s">
        <v>186</v>
      </c>
      <c r="G35" s="358">
        <v>11682732</v>
      </c>
      <c r="H35" s="358">
        <f>H25</f>
        <v>151001</v>
      </c>
      <c r="I35" s="801">
        <f>I29</f>
        <v>0</v>
      </c>
      <c r="J35" s="817">
        <f t="shared" si="4"/>
        <v>11833733</v>
      </c>
      <c r="K35" s="1141">
        <f t="shared" si="5"/>
        <v>13352488.159999998</v>
      </c>
      <c r="L35" s="618"/>
      <c r="M35" s="376">
        <v>0.25</v>
      </c>
      <c r="N35" s="643">
        <f t="shared" si="7"/>
        <v>3338122.0399999996</v>
      </c>
      <c r="O35" s="376">
        <v>0.25</v>
      </c>
      <c r="P35" s="642">
        <f t="shared" si="8"/>
        <v>3338122.0399999996</v>
      </c>
      <c r="Q35" s="377">
        <v>0.5</v>
      </c>
      <c r="R35" s="643">
        <f t="shared" si="9"/>
        <v>6676244.0799999991</v>
      </c>
      <c r="S35" s="644">
        <f t="shared" si="2"/>
        <v>1</v>
      </c>
      <c r="U35" s="662">
        <v>53208070100001</v>
      </c>
      <c r="V35" s="663" t="s">
        <v>107</v>
      </c>
      <c r="W35" s="367">
        <v>0</v>
      </c>
    </row>
    <row r="36" spans="1:23" ht="12.75" customHeight="1" thickBot="1" x14ac:dyDescent="0.25">
      <c r="A36" s="1261"/>
      <c r="B36" s="1262"/>
      <c r="C36" s="365"/>
      <c r="D36" s="365"/>
      <c r="E36" s="366"/>
      <c r="F36" s="366"/>
      <c r="G36" s="362"/>
      <c r="H36" s="363"/>
      <c r="I36" s="802"/>
      <c r="J36" s="818">
        <f t="shared" si="4"/>
        <v>0</v>
      </c>
      <c r="K36" s="1141">
        <f t="shared" si="5"/>
        <v>0</v>
      </c>
      <c r="L36" s="618"/>
      <c r="M36" s="364">
        <v>0</v>
      </c>
      <c r="N36" s="659">
        <f t="shared" si="7"/>
        <v>0</v>
      </c>
      <c r="O36" s="364">
        <v>0</v>
      </c>
      <c r="P36" s="658">
        <f t="shared" si="8"/>
        <v>0</v>
      </c>
      <c r="Q36" s="375">
        <v>0</v>
      </c>
      <c r="R36" s="659">
        <f t="shared" si="9"/>
        <v>0</v>
      </c>
      <c r="S36" s="660">
        <f t="shared" si="2"/>
        <v>0</v>
      </c>
      <c r="U36" s="662">
        <v>53208100100001</v>
      </c>
      <c r="V36" s="663" t="s">
        <v>199</v>
      </c>
      <c r="W36" s="367">
        <v>0</v>
      </c>
    </row>
    <row r="37" spans="1:23" ht="12.75" customHeight="1" thickBot="1" x14ac:dyDescent="0.25">
      <c r="A37" s="1261"/>
      <c r="B37" s="1262"/>
      <c r="C37" s="365"/>
      <c r="D37" s="365"/>
      <c r="E37" s="366"/>
      <c r="F37" s="366"/>
      <c r="G37" s="362"/>
      <c r="H37" s="363"/>
      <c r="I37" s="802"/>
      <c r="J37" s="818">
        <f t="shared" si="4"/>
        <v>0</v>
      </c>
      <c r="K37" s="1141">
        <f t="shared" si="5"/>
        <v>0</v>
      </c>
      <c r="L37" s="618"/>
      <c r="M37" s="364">
        <v>0</v>
      </c>
      <c r="N37" s="659">
        <f t="shared" si="7"/>
        <v>0</v>
      </c>
      <c r="O37" s="364">
        <v>0</v>
      </c>
      <c r="P37" s="658">
        <f t="shared" si="8"/>
        <v>0</v>
      </c>
      <c r="Q37" s="375">
        <v>0</v>
      </c>
      <c r="R37" s="659">
        <f t="shared" si="9"/>
        <v>0</v>
      </c>
      <c r="S37" s="660">
        <f t="shared" si="2"/>
        <v>0</v>
      </c>
      <c r="U37" s="662">
        <v>53211030000000</v>
      </c>
      <c r="V37" s="663" t="s">
        <v>109</v>
      </c>
      <c r="W37" s="367">
        <v>0</v>
      </c>
    </row>
    <row r="38" spans="1:23" ht="12.75" customHeight="1" thickBot="1" x14ac:dyDescent="0.25">
      <c r="A38" s="1261"/>
      <c r="B38" s="1262"/>
      <c r="C38" s="365"/>
      <c r="D38" s="365"/>
      <c r="E38" s="366"/>
      <c r="F38" s="366"/>
      <c r="G38" s="362"/>
      <c r="H38" s="363"/>
      <c r="I38" s="802"/>
      <c r="J38" s="818">
        <f t="shared" si="4"/>
        <v>0</v>
      </c>
      <c r="K38" s="1141">
        <f t="shared" si="5"/>
        <v>0</v>
      </c>
      <c r="L38" s="618"/>
      <c r="M38" s="364">
        <v>0</v>
      </c>
      <c r="N38" s="659">
        <f t="shared" si="7"/>
        <v>0</v>
      </c>
      <c r="O38" s="364">
        <v>0</v>
      </c>
      <c r="P38" s="658">
        <f t="shared" si="8"/>
        <v>0</v>
      </c>
      <c r="Q38" s="375">
        <v>0</v>
      </c>
      <c r="R38" s="659">
        <f t="shared" si="9"/>
        <v>0</v>
      </c>
      <c r="S38" s="660">
        <f t="shared" si="2"/>
        <v>0</v>
      </c>
      <c r="U38" s="662">
        <v>53212020100000</v>
      </c>
      <c r="V38" s="663" t="s">
        <v>200</v>
      </c>
      <c r="W38" s="367">
        <v>10170000</v>
      </c>
    </row>
    <row r="39" spans="1:23" ht="12.75" customHeight="1" thickBot="1" x14ac:dyDescent="0.25">
      <c r="A39" s="1261"/>
      <c r="B39" s="1267"/>
      <c r="C39" s="1142"/>
      <c r="D39" s="1142"/>
      <c r="E39" s="1143"/>
      <c r="F39" s="1143"/>
      <c r="G39" s="560"/>
      <c r="H39" s="1144"/>
      <c r="I39" s="1145"/>
      <c r="J39" s="1146">
        <f t="shared" si="4"/>
        <v>0</v>
      </c>
      <c r="K39" s="1147">
        <f t="shared" si="5"/>
        <v>0</v>
      </c>
      <c r="L39" s="618"/>
      <c r="M39" s="380">
        <v>0</v>
      </c>
      <c r="N39" s="674">
        <f t="shared" si="7"/>
        <v>0</v>
      </c>
      <c r="O39" s="380">
        <v>0</v>
      </c>
      <c r="P39" s="673">
        <f t="shared" si="8"/>
        <v>0</v>
      </c>
      <c r="Q39" s="381">
        <v>0</v>
      </c>
      <c r="R39" s="674">
        <f t="shared" si="9"/>
        <v>0</v>
      </c>
      <c r="S39" s="675">
        <f t="shared" si="2"/>
        <v>0</v>
      </c>
      <c r="U39" s="662">
        <v>53214020000000</v>
      </c>
      <c r="V39" s="663" t="s">
        <v>201</v>
      </c>
      <c r="W39" s="367">
        <v>113000</v>
      </c>
    </row>
    <row r="40" spans="1:23" ht="12.75" customHeight="1" thickBot="1" x14ac:dyDescent="0.25">
      <c r="A40" s="1261"/>
      <c r="B40" s="1262" t="s">
        <v>202</v>
      </c>
      <c r="C40" s="356" t="s">
        <v>557</v>
      </c>
      <c r="D40" s="356" t="s">
        <v>558</v>
      </c>
      <c r="E40" s="357" t="s">
        <v>567</v>
      </c>
      <c r="F40" s="357" t="s">
        <v>186</v>
      </c>
      <c r="G40" s="358">
        <v>10857840</v>
      </c>
      <c r="H40" s="358">
        <f>H25</f>
        <v>151001</v>
      </c>
      <c r="I40" s="801">
        <f>I25</f>
        <v>146348</v>
      </c>
      <c r="J40" s="807">
        <f t="shared" si="4"/>
        <v>11155189</v>
      </c>
      <c r="K40" s="642">
        <f t="shared" si="5"/>
        <v>12566708.199999999</v>
      </c>
      <c r="L40" s="618"/>
      <c r="M40" s="776">
        <v>0.25</v>
      </c>
      <c r="N40" s="777">
        <f t="shared" si="7"/>
        <v>3141677.05</v>
      </c>
      <c r="O40" s="776">
        <v>0.25</v>
      </c>
      <c r="P40" s="778">
        <f t="shared" si="8"/>
        <v>3141677.05</v>
      </c>
      <c r="Q40" s="779">
        <v>0.5</v>
      </c>
      <c r="R40" s="777">
        <f t="shared" si="9"/>
        <v>6283354.0999999996</v>
      </c>
      <c r="S40" s="780">
        <f t="shared" si="2"/>
        <v>1</v>
      </c>
      <c r="U40" s="645"/>
      <c r="V40" s="273" t="s">
        <v>112</v>
      </c>
      <c r="W40" s="240">
        <f>SUM(W41,W46,W49,W60,W70,W78)</f>
        <v>45990317</v>
      </c>
    </row>
    <row r="41" spans="1:23" ht="12.75" customHeight="1" thickBot="1" x14ac:dyDescent="0.25">
      <c r="A41" s="1261"/>
      <c r="B41" s="1262"/>
      <c r="C41" s="360" t="s">
        <v>559</v>
      </c>
      <c r="D41" s="360" t="s">
        <v>560</v>
      </c>
      <c r="E41" s="361" t="s">
        <v>561</v>
      </c>
      <c r="F41" s="361" t="s">
        <v>186</v>
      </c>
      <c r="G41" s="362">
        <v>6029796</v>
      </c>
      <c r="H41" s="363">
        <f>H19</f>
        <v>272746</v>
      </c>
      <c r="I41" s="802">
        <f>74207*2</f>
        <v>148414</v>
      </c>
      <c r="J41" s="808">
        <f t="shared" si="4"/>
        <v>6450956</v>
      </c>
      <c r="K41" s="658">
        <f t="shared" si="5"/>
        <v>7234829.4799999995</v>
      </c>
      <c r="L41" s="618"/>
      <c r="M41" s="776">
        <v>0.25</v>
      </c>
      <c r="N41" s="659">
        <f t="shared" si="7"/>
        <v>1808707.3699999999</v>
      </c>
      <c r="O41" s="364">
        <v>0.25</v>
      </c>
      <c r="P41" s="658">
        <f t="shared" si="8"/>
        <v>1808707.3699999999</v>
      </c>
      <c r="Q41" s="779">
        <v>0.5</v>
      </c>
      <c r="R41" s="659">
        <f t="shared" si="9"/>
        <v>3617414.7399999998</v>
      </c>
      <c r="S41" s="660">
        <f t="shared" si="2"/>
        <v>1</v>
      </c>
      <c r="U41" s="661"/>
      <c r="V41" s="276" t="s">
        <v>113</v>
      </c>
      <c r="W41" s="246">
        <f>SUM(W42:W45)</f>
        <v>1695000</v>
      </c>
    </row>
    <row r="42" spans="1:23" ht="12.75" customHeight="1" thickBot="1" x14ac:dyDescent="0.25">
      <c r="A42" s="1261"/>
      <c r="B42" s="1262"/>
      <c r="C42" s="365" t="s">
        <v>562</v>
      </c>
      <c r="D42" s="365" t="s">
        <v>563</v>
      </c>
      <c r="E42" s="361" t="s">
        <v>564</v>
      </c>
      <c r="F42" s="361" t="s">
        <v>186</v>
      </c>
      <c r="G42" s="362">
        <v>9543564</v>
      </c>
      <c r="H42" s="363">
        <f>H41</f>
        <v>272746</v>
      </c>
      <c r="I42" s="802">
        <f>I27</f>
        <v>145638</v>
      </c>
      <c r="J42" s="808">
        <f t="shared" si="4"/>
        <v>9961948</v>
      </c>
      <c r="K42" s="658">
        <f t="shared" si="5"/>
        <v>11202611.319999998</v>
      </c>
      <c r="L42" s="618"/>
      <c r="M42" s="776">
        <v>0.25</v>
      </c>
      <c r="N42" s="659">
        <f t="shared" si="7"/>
        <v>2800652.8299999996</v>
      </c>
      <c r="O42" s="364">
        <v>0.25</v>
      </c>
      <c r="P42" s="658">
        <f t="shared" si="8"/>
        <v>2800652.8299999996</v>
      </c>
      <c r="Q42" s="779">
        <v>0.5</v>
      </c>
      <c r="R42" s="659">
        <f t="shared" si="9"/>
        <v>5601305.6599999992</v>
      </c>
      <c r="S42" s="660">
        <f t="shared" si="2"/>
        <v>1</v>
      </c>
      <c r="U42" s="662">
        <v>53202020100000</v>
      </c>
      <c r="V42" s="663" t="s">
        <v>203</v>
      </c>
      <c r="W42" s="367">
        <v>565000</v>
      </c>
    </row>
    <row r="43" spans="1:23" ht="12.75" customHeight="1" thickBot="1" x14ac:dyDescent="0.25">
      <c r="A43" s="1261"/>
      <c r="B43" s="1262"/>
      <c r="C43" s="360" t="s">
        <v>565</v>
      </c>
      <c r="D43" s="360" t="s">
        <v>566</v>
      </c>
      <c r="E43" s="361" t="s">
        <v>567</v>
      </c>
      <c r="F43" s="361" t="s">
        <v>186</v>
      </c>
      <c r="G43" s="362">
        <v>8421264</v>
      </c>
      <c r="H43" s="363">
        <f>H42</f>
        <v>272746</v>
      </c>
      <c r="I43" s="802">
        <f>I25</f>
        <v>146348</v>
      </c>
      <c r="J43" s="808">
        <f t="shared" si="4"/>
        <v>8840358</v>
      </c>
      <c r="K43" s="658">
        <f t="shared" si="5"/>
        <v>9935122.3199999984</v>
      </c>
      <c r="L43" s="618"/>
      <c r="M43" s="776">
        <v>0.25</v>
      </c>
      <c r="N43" s="659">
        <f t="shared" si="7"/>
        <v>2483780.5799999996</v>
      </c>
      <c r="O43" s="364">
        <v>0.25</v>
      </c>
      <c r="P43" s="658">
        <f t="shared" si="8"/>
        <v>2483780.5799999996</v>
      </c>
      <c r="Q43" s="779">
        <v>0.5</v>
      </c>
      <c r="R43" s="659">
        <f t="shared" si="9"/>
        <v>4967561.1599999992</v>
      </c>
      <c r="S43" s="660">
        <f t="shared" si="2"/>
        <v>1</v>
      </c>
      <c r="U43" s="662">
        <v>53202030000000</v>
      </c>
      <c r="V43" s="663" t="s">
        <v>204</v>
      </c>
      <c r="W43" s="367">
        <v>226000</v>
      </c>
    </row>
    <row r="44" spans="1:23" ht="12.75" customHeight="1" thickBot="1" x14ac:dyDescent="0.25">
      <c r="A44" s="1261"/>
      <c r="B44" s="1262"/>
      <c r="C44" s="360"/>
      <c r="D44" s="360"/>
      <c r="E44" s="361"/>
      <c r="F44" s="361"/>
      <c r="G44" s="362"/>
      <c r="H44" s="363"/>
      <c r="I44" s="802"/>
      <c r="J44" s="808">
        <f t="shared" si="4"/>
        <v>0</v>
      </c>
      <c r="K44" s="799">
        <f t="shared" ref="K44:K61" si="10">+J44*(1+$K$11)</f>
        <v>0</v>
      </c>
      <c r="L44" s="618"/>
      <c r="M44" s="776">
        <v>0.25</v>
      </c>
      <c r="N44" s="659">
        <f t="shared" si="7"/>
        <v>0</v>
      </c>
      <c r="O44" s="364">
        <v>0</v>
      </c>
      <c r="P44" s="658">
        <f t="shared" si="8"/>
        <v>0</v>
      </c>
      <c r="Q44" s="779">
        <v>0.5</v>
      </c>
      <c r="R44" s="659">
        <f t="shared" si="9"/>
        <v>0</v>
      </c>
      <c r="S44" s="660">
        <f t="shared" si="2"/>
        <v>0.75</v>
      </c>
      <c r="U44" s="662">
        <v>53211020000000</v>
      </c>
      <c r="V44" s="663" t="s">
        <v>116</v>
      </c>
      <c r="W44" s="367">
        <v>226000</v>
      </c>
    </row>
    <row r="45" spans="1:23" ht="12.75" customHeight="1" thickBot="1" x14ac:dyDescent="0.25">
      <c r="A45" s="1261"/>
      <c r="B45" s="1262"/>
      <c r="C45" s="360"/>
      <c r="D45" s="360"/>
      <c r="E45" s="361"/>
      <c r="F45" s="361"/>
      <c r="G45" s="362"/>
      <c r="H45" s="363"/>
      <c r="I45" s="802"/>
      <c r="J45" s="808">
        <f t="shared" si="4"/>
        <v>0</v>
      </c>
      <c r="K45" s="799">
        <f t="shared" si="10"/>
        <v>0</v>
      </c>
      <c r="L45" s="618"/>
      <c r="M45" s="776">
        <v>0.25</v>
      </c>
      <c r="N45" s="659">
        <f t="shared" si="7"/>
        <v>0</v>
      </c>
      <c r="O45" s="364">
        <v>0</v>
      </c>
      <c r="P45" s="658">
        <f t="shared" si="8"/>
        <v>0</v>
      </c>
      <c r="Q45" s="779">
        <v>0.5</v>
      </c>
      <c r="R45" s="659">
        <f t="shared" si="9"/>
        <v>0</v>
      </c>
      <c r="S45" s="660">
        <f t="shared" si="2"/>
        <v>0.75</v>
      </c>
      <c r="U45" s="662">
        <v>53101004030000</v>
      </c>
      <c r="V45" s="663" t="s">
        <v>205</v>
      </c>
      <c r="W45" s="367">
        <v>678000</v>
      </c>
    </row>
    <row r="46" spans="1:23" ht="12.75" customHeight="1" thickBot="1" x14ac:dyDescent="0.25">
      <c r="A46" s="1261"/>
      <c r="B46" s="1262"/>
      <c r="C46" s="360"/>
      <c r="D46" s="360"/>
      <c r="E46" s="361"/>
      <c r="F46" s="361"/>
      <c r="G46" s="378"/>
      <c r="H46" s="363"/>
      <c r="I46" s="802"/>
      <c r="J46" s="808">
        <f t="shared" si="4"/>
        <v>0</v>
      </c>
      <c r="K46" s="799">
        <f t="shared" si="10"/>
        <v>0</v>
      </c>
      <c r="L46" s="618"/>
      <c r="M46" s="364">
        <v>0</v>
      </c>
      <c r="N46" s="659">
        <f t="shared" si="7"/>
        <v>0</v>
      </c>
      <c r="O46" s="364">
        <v>0</v>
      </c>
      <c r="P46" s="658">
        <f t="shared" si="8"/>
        <v>0</v>
      </c>
      <c r="Q46" s="375">
        <v>0</v>
      </c>
      <c r="R46" s="659">
        <f t="shared" si="9"/>
        <v>0</v>
      </c>
      <c r="S46" s="660">
        <f t="shared" si="2"/>
        <v>0</v>
      </c>
      <c r="U46" s="661"/>
      <c r="V46" s="276" t="s">
        <v>118</v>
      </c>
      <c r="W46" s="246">
        <f>SUM(W47:W48)</f>
        <v>7051200</v>
      </c>
    </row>
    <row r="47" spans="1:23" ht="12.75" customHeight="1" thickBot="1" x14ac:dyDescent="0.25">
      <c r="A47" s="1261"/>
      <c r="B47" s="1262"/>
      <c r="C47" s="360"/>
      <c r="D47" s="360"/>
      <c r="E47" s="361"/>
      <c r="F47" s="361"/>
      <c r="G47" s="378"/>
      <c r="H47" s="363"/>
      <c r="I47" s="802"/>
      <c r="J47" s="808">
        <f t="shared" si="4"/>
        <v>0</v>
      </c>
      <c r="K47" s="799">
        <f t="shared" si="10"/>
        <v>0</v>
      </c>
      <c r="L47" s="618"/>
      <c r="M47" s="364">
        <v>0</v>
      </c>
      <c r="N47" s="659">
        <f t="shared" si="7"/>
        <v>0</v>
      </c>
      <c r="O47" s="364">
        <v>0</v>
      </c>
      <c r="P47" s="658">
        <f t="shared" si="8"/>
        <v>0</v>
      </c>
      <c r="Q47" s="375">
        <v>0</v>
      </c>
      <c r="R47" s="659">
        <f t="shared" si="9"/>
        <v>0</v>
      </c>
      <c r="S47" s="660">
        <f t="shared" si="2"/>
        <v>0</v>
      </c>
      <c r="U47" s="662">
        <v>53205080000000</v>
      </c>
      <c r="V47" s="663" t="s">
        <v>206</v>
      </c>
      <c r="W47" s="251">
        <v>7051200</v>
      </c>
    </row>
    <row r="48" spans="1:23" ht="12.75" customHeight="1" thickBot="1" x14ac:dyDescent="0.25">
      <c r="A48" s="1261"/>
      <c r="B48" s="1262"/>
      <c r="C48" s="360"/>
      <c r="D48" s="360"/>
      <c r="E48" s="360"/>
      <c r="F48" s="361"/>
      <c r="G48" s="362"/>
      <c r="H48" s="363"/>
      <c r="I48" s="802"/>
      <c r="J48" s="808">
        <f t="shared" si="4"/>
        <v>0</v>
      </c>
      <c r="K48" s="799">
        <f t="shared" si="10"/>
        <v>0</v>
      </c>
      <c r="L48" s="618"/>
      <c r="M48" s="364">
        <v>0</v>
      </c>
      <c r="N48" s="659">
        <f t="shared" si="7"/>
        <v>0</v>
      </c>
      <c r="O48" s="364">
        <v>0</v>
      </c>
      <c r="P48" s="658">
        <f t="shared" si="8"/>
        <v>0</v>
      </c>
      <c r="Q48" s="375">
        <v>0</v>
      </c>
      <c r="R48" s="659">
        <f t="shared" si="9"/>
        <v>0</v>
      </c>
      <c r="S48" s="660">
        <f t="shared" si="2"/>
        <v>0</v>
      </c>
      <c r="U48" s="662">
        <v>53205990000000</v>
      </c>
      <c r="V48" s="663" t="s">
        <v>119</v>
      </c>
      <c r="W48" s="251">
        <v>0</v>
      </c>
    </row>
    <row r="49" spans="1:23" ht="12.75" customHeight="1" thickBot="1" x14ac:dyDescent="0.25">
      <c r="A49" s="1261"/>
      <c r="B49" s="1262"/>
      <c r="C49" s="360"/>
      <c r="D49" s="360"/>
      <c r="E49" s="361"/>
      <c r="F49" s="361"/>
      <c r="G49" s="378"/>
      <c r="H49" s="363"/>
      <c r="I49" s="802"/>
      <c r="J49" s="808">
        <f t="shared" si="4"/>
        <v>0</v>
      </c>
      <c r="K49" s="799">
        <f t="shared" si="10"/>
        <v>0</v>
      </c>
      <c r="L49" s="618"/>
      <c r="M49" s="364">
        <v>0</v>
      </c>
      <c r="N49" s="659">
        <f t="shared" si="7"/>
        <v>0</v>
      </c>
      <c r="O49" s="364">
        <v>0</v>
      </c>
      <c r="P49" s="658">
        <f t="shared" si="8"/>
        <v>0</v>
      </c>
      <c r="Q49" s="375">
        <v>0</v>
      </c>
      <c r="R49" s="659">
        <f t="shared" si="9"/>
        <v>0</v>
      </c>
      <c r="S49" s="660">
        <f t="shared" si="2"/>
        <v>0</v>
      </c>
      <c r="U49" s="661"/>
      <c r="V49" s="276" t="s">
        <v>120</v>
      </c>
      <c r="W49" s="246">
        <f>SUM(W50:W59)</f>
        <v>25959200</v>
      </c>
    </row>
    <row r="50" spans="1:23" ht="12.75" customHeight="1" thickBot="1" x14ac:dyDescent="0.25">
      <c r="A50" s="1261"/>
      <c r="B50" s="1262"/>
      <c r="C50" s="379"/>
      <c r="D50" s="379"/>
      <c r="E50" s="379"/>
      <c r="F50" s="361"/>
      <c r="G50" s="362"/>
      <c r="H50" s="363"/>
      <c r="I50" s="802"/>
      <c r="J50" s="808">
        <f t="shared" si="4"/>
        <v>0</v>
      </c>
      <c r="K50" s="799">
        <f t="shared" si="10"/>
        <v>0</v>
      </c>
      <c r="L50" s="618"/>
      <c r="M50" s="364">
        <v>0</v>
      </c>
      <c r="N50" s="659">
        <f t="shared" si="7"/>
        <v>0</v>
      </c>
      <c r="O50" s="364">
        <v>0</v>
      </c>
      <c r="P50" s="658">
        <f t="shared" si="8"/>
        <v>0</v>
      </c>
      <c r="Q50" s="375">
        <v>0</v>
      </c>
      <c r="R50" s="659">
        <f t="shared" si="9"/>
        <v>0</v>
      </c>
      <c r="S50" s="660">
        <f t="shared" si="2"/>
        <v>0</v>
      </c>
      <c r="U50" s="662">
        <v>53203010200000</v>
      </c>
      <c r="V50" s="663" t="s">
        <v>207</v>
      </c>
      <c r="W50" s="251">
        <v>0</v>
      </c>
    </row>
    <row r="51" spans="1:23" ht="12.75" customHeight="1" thickBot="1" x14ac:dyDescent="0.25">
      <c r="A51" s="1261"/>
      <c r="B51" s="1262"/>
      <c r="C51" s="379"/>
      <c r="D51" s="379"/>
      <c r="E51" s="379"/>
      <c r="F51" s="361"/>
      <c r="G51" s="362"/>
      <c r="H51" s="363"/>
      <c r="I51" s="802"/>
      <c r="J51" s="808">
        <f t="shared" si="4"/>
        <v>0</v>
      </c>
      <c r="K51" s="799">
        <f t="shared" si="10"/>
        <v>0</v>
      </c>
      <c r="L51" s="618"/>
      <c r="M51" s="364">
        <v>0</v>
      </c>
      <c r="N51" s="659">
        <f t="shared" si="7"/>
        <v>0</v>
      </c>
      <c r="O51" s="364">
        <v>0</v>
      </c>
      <c r="P51" s="658">
        <f t="shared" si="8"/>
        <v>0</v>
      </c>
      <c r="Q51" s="375">
        <v>0</v>
      </c>
      <c r="R51" s="659">
        <f t="shared" si="9"/>
        <v>0</v>
      </c>
      <c r="S51" s="660">
        <f t="shared" si="2"/>
        <v>0</v>
      </c>
      <c r="U51" s="662">
        <v>53204010000000</v>
      </c>
      <c r="V51" s="663" t="s">
        <v>121</v>
      </c>
      <c r="W51" s="367">
        <v>11119200</v>
      </c>
    </row>
    <row r="52" spans="1:23" ht="12.75" customHeight="1" thickBot="1" x14ac:dyDescent="0.25">
      <c r="A52" s="1261"/>
      <c r="B52" s="1262"/>
      <c r="C52" s="365"/>
      <c r="D52" s="365"/>
      <c r="E52" s="366"/>
      <c r="F52" s="361"/>
      <c r="G52" s="362"/>
      <c r="H52" s="363"/>
      <c r="I52" s="802"/>
      <c r="J52" s="808">
        <f t="shared" si="4"/>
        <v>0</v>
      </c>
      <c r="K52" s="799">
        <f t="shared" si="10"/>
        <v>0</v>
      </c>
      <c r="L52" s="618"/>
      <c r="M52" s="364">
        <v>0</v>
      </c>
      <c r="N52" s="659">
        <f t="shared" si="7"/>
        <v>0</v>
      </c>
      <c r="O52" s="364">
        <v>0</v>
      </c>
      <c r="P52" s="658">
        <f t="shared" si="8"/>
        <v>0</v>
      </c>
      <c r="Q52" s="375">
        <v>0</v>
      </c>
      <c r="R52" s="659">
        <f t="shared" si="9"/>
        <v>0</v>
      </c>
      <c r="S52" s="660">
        <f t="shared" si="2"/>
        <v>0</v>
      </c>
      <c r="U52" s="662">
        <v>53204040200000</v>
      </c>
      <c r="V52" s="663" t="s">
        <v>208</v>
      </c>
      <c r="W52" s="367">
        <v>0</v>
      </c>
    </row>
    <row r="53" spans="1:23" ht="12.75" customHeight="1" thickBot="1" x14ac:dyDescent="0.25">
      <c r="A53" s="1261"/>
      <c r="B53" s="1262"/>
      <c r="C53" s="365"/>
      <c r="D53" s="365"/>
      <c r="E53" s="366"/>
      <c r="F53" s="361"/>
      <c r="G53" s="362"/>
      <c r="H53" s="363"/>
      <c r="I53" s="802"/>
      <c r="J53" s="808">
        <f t="shared" si="4"/>
        <v>0</v>
      </c>
      <c r="K53" s="799">
        <f t="shared" si="10"/>
        <v>0</v>
      </c>
      <c r="L53" s="618"/>
      <c r="M53" s="364">
        <v>0</v>
      </c>
      <c r="N53" s="659">
        <f t="shared" si="7"/>
        <v>0</v>
      </c>
      <c r="O53" s="364">
        <v>0</v>
      </c>
      <c r="P53" s="658">
        <f t="shared" si="8"/>
        <v>0</v>
      </c>
      <c r="Q53" s="375">
        <v>0</v>
      </c>
      <c r="R53" s="659">
        <f t="shared" si="9"/>
        <v>0</v>
      </c>
      <c r="S53" s="660">
        <f t="shared" si="2"/>
        <v>0</v>
      </c>
      <c r="U53" s="662">
        <v>53204060000000</v>
      </c>
      <c r="V53" s="663" t="s">
        <v>123</v>
      </c>
      <c r="W53" s="367">
        <v>300000</v>
      </c>
    </row>
    <row r="54" spans="1:23" ht="12.75" customHeight="1" thickBot="1" x14ac:dyDescent="0.25">
      <c r="A54" s="1261"/>
      <c r="B54" s="1262"/>
      <c r="C54" s="365"/>
      <c r="D54" s="365"/>
      <c r="E54" s="366"/>
      <c r="F54" s="361"/>
      <c r="G54" s="362"/>
      <c r="H54" s="363"/>
      <c r="I54" s="802"/>
      <c r="J54" s="808">
        <f t="shared" si="4"/>
        <v>0</v>
      </c>
      <c r="K54" s="799">
        <f t="shared" si="10"/>
        <v>0</v>
      </c>
      <c r="L54" s="618"/>
      <c r="M54" s="364">
        <v>0</v>
      </c>
      <c r="N54" s="659">
        <f t="shared" si="7"/>
        <v>0</v>
      </c>
      <c r="O54" s="364">
        <v>0</v>
      </c>
      <c r="P54" s="658">
        <f t="shared" si="8"/>
        <v>0</v>
      </c>
      <c r="Q54" s="375">
        <v>0</v>
      </c>
      <c r="R54" s="659">
        <f t="shared" si="9"/>
        <v>0</v>
      </c>
      <c r="S54" s="660">
        <f t="shared" si="2"/>
        <v>0</v>
      </c>
      <c r="U54" s="662">
        <v>53204070000000</v>
      </c>
      <c r="V54" s="663" t="s">
        <v>124</v>
      </c>
      <c r="W54" s="367">
        <v>7910000</v>
      </c>
    </row>
    <row r="55" spans="1:23" ht="12.75" customHeight="1" thickBot="1" x14ac:dyDescent="0.25">
      <c r="A55" s="1261"/>
      <c r="B55" s="1262"/>
      <c r="C55" s="365"/>
      <c r="D55" s="365"/>
      <c r="E55" s="366"/>
      <c r="F55" s="361"/>
      <c r="G55" s="362"/>
      <c r="H55" s="363"/>
      <c r="I55" s="802"/>
      <c r="J55" s="808">
        <f t="shared" si="4"/>
        <v>0</v>
      </c>
      <c r="K55" s="799">
        <f t="shared" si="10"/>
        <v>0</v>
      </c>
      <c r="L55" s="618"/>
      <c r="M55" s="364">
        <v>0</v>
      </c>
      <c r="N55" s="659">
        <f t="shared" si="7"/>
        <v>0</v>
      </c>
      <c r="O55" s="364">
        <v>0</v>
      </c>
      <c r="P55" s="658">
        <f t="shared" si="8"/>
        <v>0</v>
      </c>
      <c r="Q55" s="375">
        <v>0</v>
      </c>
      <c r="R55" s="659">
        <f t="shared" si="9"/>
        <v>0</v>
      </c>
      <c r="S55" s="660">
        <f t="shared" si="2"/>
        <v>0</v>
      </c>
      <c r="U55" s="662">
        <v>53204080000000</v>
      </c>
      <c r="V55" s="663" t="s">
        <v>125</v>
      </c>
      <c r="W55" s="367">
        <v>1130000</v>
      </c>
    </row>
    <row r="56" spans="1:23" ht="12.75" customHeight="1" thickBot="1" x14ac:dyDescent="0.25">
      <c r="A56" s="1261"/>
      <c r="B56" s="1262"/>
      <c r="C56" s="365"/>
      <c r="D56" s="365"/>
      <c r="E56" s="366"/>
      <c r="F56" s="361"/>
      <c r="G56" s="362"/>
      <c r="H56" s="363"/>
      <c r="I56" s="802"/>
      <c r="J56" s="808">
        <f t="shared" si="4"/>
        <v>0</v>
      </c>
      <c r="K56" s="799">
        <f t="shared" si="10"/>
        <v>0</v>
      </c>
      <c r="L56" s="618"/>
      <c r="M56" s="364">
        <v>0</v>
      </c>
      <c r="N56" s="659">
        <f t="shared" si="7"/>
        <v>0</v>
      </c>
      <c r="O56" s="364">
        <v>0</v>
      </c>
      <c r="P56" s="658">
        <f t="shared" si="8"/>
        <v>0</v>
      </c>
      <c r="Q56" s="375">
        <v>0</v>
      </c>
      <c r="R56" s="659">
        <f t="shared" si="9"/>
        <v>0</v>
      </c>
      <c r="S56" s="660">
        <f t="shared" si="2"/>
        <v>0</v>
      </c>
      <c r="U56" s="662">
        <v>53214010000000</v>
      </c>
      <c r="V56" s="663" t="s">
        <v>126</v>
      </c>
      <c r="W56" s="367">
        <v>3000000</v>
      </c>
    </row>
    <row r="57" spans="1:23" ht="12.75" customHeight="1" thickBot="1" x14ac:dyDescent="0.25">
      <c r="A57" s="1261"/>
      <c r="B57" s="1262"/>
      <c r="C57" s="365"/>
      <c r="D57" s="365"/>
      <c r="E57" s="366"/>
      <c r="F57" s="366"/>
      <c r="G57" s="362"/>
      <c r="H57" s="363"/>
      <c r="I57" s="802"/>
      <c r="J57" s="808">
        <f t="shared" si="4"/>
        <v>0</v>
      </c>
      <c r="K57" s="799">
        <f t="shared" si="10"/>
        <v>0</v>
      </c>
      <c r="L57" s="618"/>
      <c r="M57" s="364">
        <v>0</v>
      </c>
      <c r="N57" s="659">
        <f t="shared" si="7"/>
        <v>0</v>
      </c>
      <c r="O57" s="364">
        <v>1</v>
      </c>
      <c r="P57" s="658">
        <f t="shared" si="8"/>
        <v>0</v>
      </c>
      <c r="Q57" s="375">
        <v>0</v>
      </c>
      <c r="R57" s="659">
        <f t="shared" si="9"/>
        <v>0</v>
      </c>
      <c r="S57" s="660">
        <f t="shared" si="2"/>
        <v>1</v>
      </c>
      <c r="U57" s="662">
        <v>53214040000000</v>
      </c>
      <c r="V57" s="663" t="s">
        <v>209</v>
      </c>
      <c r="W57" s="367">
        <v>2500000</v>
      </c>
    </row>
    <row r="58" spans="1:23" ht="12.75" customHeight="1" thickBot="1" x14ac:dyDescent="0.25">
      <c r="A58" s="1261"/>
      <c r="B58" s="1262"/>
      <c r="C58" s="365"/>
      <c r="D58" s="365"/>
      <c r="E58" s="366"/>
      <c r="F58" s="366"/>
      <c r="G58" s="362"/>
      <c r="H58" s="363"/>
      <c r="I58" s="802"/>
      <c r="J58" s="808">
        <f t="shared" si="4"/>
        <v>0</v>
      </c>
      <c r="K58" s="799">
        <f t="shared" si="10"/>
        <v>0</v>
      </c>
      <c r="L58" s="618"/>
      <c r="M58" s="364">
        <v>0</v>
      </c>
      <c r="N58" s="659">
        <f t="shared" si="7"/>
        <v>0</v>
      </c>
      <c r="O58" s="364">
        <v>0</v>
      </c>
      <c r="P58" s="658">
        <f t="shared" si="8"/>
        <v>0</v>
      </c>
      <c r="Q58" s="375">
        <v>0</v>
      </c>
      <c r="R58" s="659">
        <f t="shared" si="9"/>
        <v>0</v>
      </c>
      <c r="S58" s="660">
        <f t="shared" si="2"/>
        <v>0</v>
      </c>
      <c r="U58" s="662">
        <v>55201010100004</v>
      </c>
      <c r="V58" s="663" t="s">
        <v>210</v>
      </c>
      <c r="W58" s="367">
        <v>0</v>
      </c>
    </row>
    <row r="59" spans="1:23" ht="12.75" customHeight="1" thickBot="1" x14ac:dyDescent="0.25">
      <c r="A59" s="1261"/>
      <c r="B59" s="1262"/>
      <c r="C59" s="365"/>
      <c r="D59" s="365"/>
      <c r="E59" s="366"/>
      <c r="F59" s="366"/>
      <c r="G59" s="362"/>
      <c r="H59" s="363"/>
      <c r="I59" s="802"/>
      <c r="J59" s="808">
        <f t="shared" si="4"/>
        <v>0</v>
      </c>
      <c r="K59" s="799">
        <f t="shared" si="10"/>
        <v>0</v>
      </c>
      <c r="L59" s="618"/>
      <c r="M59" s="364">
        <v>0</v>
      </c>
      <c r="N59" s="659">
        <f t="shared" si="7"/>
        <v>0</v>
      </c>
      <c r="O59" s="364">
        <v>0</v>
      </c>
      <c r="P59" s="658">
        <f t="shared" si="8"/>
        <v>0</v>
      </c>
      <c r="Q59" s="375">
        <v>0</v>
      </c>
      <c r="R59" s="659">
        <f t="shared" si="9"/>
        <v>0</v>
      </c>
      <c r="S59" s="660">
        <f t="shared" si="2"/>
        <v>0</v>
      </c>
      <c r="U59" s="662">
        <v>55201010100005</v>
      </c>
      <c r="V59" s="663" t="s">
        <v>211</v>
      </c>
      <c r="W59" s="251">
        <v>0</v>
      </c>
    </row>
    <row r="60" spans="1:23" ht="12.75" customHeight="1" thickBot="1" x14ac:dyDescent="0.25">
      <c r="A60" s="1261"/>
      <c r="B60" s="1262"/>
      <c r="C60" s="365"/>
      <c r="D60" s="365"/>
      <c r="E60" s="366"/>
      <c r="F60" s="366"/>
      <c r="G60" s="362"/>
      <c r="H60" s="363"/>
      <c r="I60" s="802"/>
      <c r="J60" s="808">
        <f t="shared" si="4"/>
        <v>0</v>
      </c>
      <c r="K60" s="799">
        <f t="shared" si="10"/>
        <v>0</v>
      </c>
      <c r="L60" s="618"/>
      <c r="M60" s="364">
        <v>0</v>
      </c>
      <c r="N60" s="659">
        <f t="shared" si="7"/>
        <v>0</v>
      </c>
      <c r="O60" s="364">
        <v>0</v>
      </c>
      <c r="P60" s="658">
        <f t="shared" si="8"/>
        <v>0</v>
      </c>
      <c r="Q60" s="375">
        <v>0</v>
      </c>
      <c r="R60" s="659">
        <f t="shared" si="9"/>
        <v>0</v>
      </c>
      <c r="S60" s="660">
        <f t="shared" si="2"/>
        <v>0</v>
      </c>
      <c r="U60" s="661"/>
      <c r="V60" s="276" t="s">
        <v>129</v>
      </c>
      <c r="W60" s="246">
        <f>SUM(W61:W69)</f>
        <v>8346500</v>
      </c>
    </row>
    <row r="61" spans="1:23" ht="12.75" customHeight="1" thickBot="1" x14ac:dyDescent="0.25">
      <c r="A61" s="1261"/>
      <c r="B61" s="1262"/>
      <c r="C61" s="368"/>
      <c r="D61" s="368"/>
      <c r="E61" s="369"/>
      <c r="F61" s="369"/>
      <c r="G61" s="370"/>
      <c r="H61" s="371"/>
      <c r="I61" s="803"/>
      <c r="J61" s="809">
        <f t="shared" si="4"/>
        <v>0</v>
      </c>
      <c r="K61" s="800">
        <f t="shared" si="10"/>
        <v>0</v>
      </c>
      <c r="L61" s="618"/>
      <c r="M61" s="380">
        <v>0</v>
      </c>
      <c r="N61" s="674">
        <f t="shared" si="7"/>
        <v>0</v>
      </c>
      <c r="O61" s="380">
        <v>0</v>
      </c>
      <c r="P61" s="673">
        <f t="shared" si="8"/>
        <v>0</v>
      </c>
      <c r="Q61" s="381">
        <v>0</v>
      </c>
      <c r="R61" s="674">
        <f t="shared" si="9"/>
        <v>0</v>
      </c>
      <c r="S61" s="675">
        <f t="shared" si="2"/>
        <v>0</v>
      </c>
      <c r="U61" s="662">
        <v>53207010000000</v>
      </c>
      <c r="V61" s="663" t="s">
        <v>130</v>
      </c>
      <c r="W61" s="251">
        <v>282500</v>
      </c>
    </row>
    <row r="62" spans="1:23" ht="12.75" customHeight="1" thickBot="1" x14ac:dyDescent="0.25">
      <c r="K62" s="677">
        <f>SUM(K15:K61)</f>
        <v>198273823.35999995</v>
      </c>
      <c r="M62" s="678">
        <f>IFERROR(+N62/$K$62,0)</f>
        <v>0.25</v>
      </c>
      <c r="N62" s="679">
        <f>SUM(N15:N61)</f>
        <v>49568455.839999989</v>
      </c>
      <c r="O62" s="678">
        <f>IFERROR(+P62/$K$62,0)</f>
        <v>0.25</v>
      </c>
      <c r="P62" s="679">
        <f>SUM(P15:P61)</f>
        <v>49568455.839999989</v>
      </c>
      <c r="Q62" s="678">
        <f>IFERROR(+R62/$K$62,0)</f>
        <v>0.5</v>
      </c>
      <c r="R62" s="679">
        <f>SUM(R15:R61)</f>
        <v>99136911.679999977</v>
      </c>
      <c r="U62" s="662">
        <v>53207020000000</v>
      </c>
      <c r="V62" s="663" t="s">
        <v>131</v>
      </c>
      <c r="W62" s="251">
        <v>1130000</v>
      </c>
    </row>
    <row r="63" spans="1:23" ht="12.75" customHeight="1" x14ac:dyDescent="0.2">
      <c r="K63" s="680">
        <v>1</v>
      </c>
      <c r="U63" s="662">
        <v>53208020000000</v>
      </c>
      <c r="V63" s="663" t="s">
        <v>212</v>
      </c>
      <c r="W63" s="367">
        <v>0</v>
      </c>
    </row>
    <row r="64" spans="1:23" ht="12.75" customHeight="1" x14ac:dyDescent="0.2">
      <c r="U64" s="662">
        <v>53208990000000</v>
      </c>
      <c r="V64" s="663" t="s">
        <v>213</v>
      </c>
      <c r="W64" s="251">
        <v>1921000</v>
      </c>
    </row>
    <row r="65" spans="1:23" ht="12.75" customHeight="1" x14ac:dyDescent="0.2">
      <c r="U65" s="662">
        <v>53209010000000</v>
      </c>
      <c r="V65" s="663" t="s">
        <v>217</v>
      </c>
      <c r="W65" s="367">
        <v>0</v>
      </c>
    </row>
    <row r="66" spans="1:23" ht="12.75" customHeight="1" x14ac:dyDescent="0.2">
      <c r="U66" s="662">
        <v>53209040000000</v>
      </c>
      <c r="V66" s="663" t="s">
        <v>218</v>
      </c>
      <c r="W66" s="367">
        <v>0</v>
      </c>
    </row>
    <row r="67" spans="1:23" ht="12.75" customHeight="1" thickBot="1" x14ac:dyDescent="0.25">
      <c r="U67" s="662">
        <v>53209050000000</v>
      </c>
      <c r="V67" s="663" t="s">
        <v>219</v>
      </c>
      <c r="W67" s="251">
        <v>4900000</v>
      </c>
    </row>
    <row r="68" spans="1:23" ht="12.75" customHeight="1" thickBot="1" x14ac:dyDescent="0.25">
      <c r="A68" s="1258" t="s">
        <v>214</v>
      </c>
      <c r="B68" s="1259" t="s">
        <v>215</v>
      </c>
      <c r="C68" s="1131" t="s">
        <v>704</v>
      </c>
      <c r="D68" s="1132" t="s">
        <v>705</v>
      </c>
      <c r="E68" s="1132" t="s">
        <v>706</v>
      </c>
      <c r="F68" s="1132" t="s">
        <v>216</v>
      </c>
      <c r="G68" s="1133">
        <v>12390036</v>
      </c>
      <c r="H68" s="1133">
        <v>131369</v>
      </c>
      <c r="I68" s="1134">
        <v>135482</v>
      </c>
      <c r="J68" s="807">
        <f>SUM(G68:I68)</f>
        <v>12656887</v>
      </c>
      <c r="K68" s="798">
        <f>+J68*(1+$K$11)</f>
        <v>14302282.309999999</v>
      </c>
      <c r="L68" s="618"/>
      <c r="U68" s="662">
        <v>53209990000000</v>
      </c>
      <c r="V68" s="663" t="s">
        <v>220</v>
      </c>
      <c r="W68" s="251">
        <v>113000</v>
      </c>
    </row>
    <row r="69" spans="1:23" ht="12.75" customHeight="1" thickBot="1" x14ac:dyDescent="0.25">
      <c r="A69" s="1258"/>
      <c r="B69" s="1259"/>
      <c r="C69" s="1135" t="s">
        <v>707</v>
      </c>
      <c r="D69" s="1136" t="s">
        <v>708</v>
      </c>
      <c r="E69" s="1136" t="s">
        <v>709</v>
      </c>
      <c r="F69" s="1136" t="s">
        <v>216</v>
      </c>
      <c r="G69" s="1137">
        <v>6930900</v>
      </c>
      <c r="H69" s="1138">
        <v>237287</v>
      </c>
      <c r="I69" s="1139">
        <v>133044</v>
      </c>
      <c r="J69" s="808">
        <f t="shared" ref="J69:J72" si="11">SUM(G69:I69)</f>
        <v>7301231</v>
      </c>
      <c r="K69" s="799">
        <f t="shared" ref="K69:K72" si="12">+J69*(1+$K$11)</f>
        <v>8250391.0299999993</v>
      </c>
      <c r="L69" s="618"/>
      <c r="U69" s="662">
        <v>53210020100000</v>
      </c>
      <c r="V69" s="663" t="s">
        <v>137</v>
      </c>
      <c r="W69" s="367">
        <v>0</v>
      </c>
    </row>
    <row r="70" spans="1:23" ht="13.5" thickBot="1" x14ac:dyDescent="0.25">
      <c r="A70" s="1258"/>
      <c r="B70" s="1259"/>
      <c r="C70" s="1135" t="s">
        <v>710</v>
      </c>
      <c r="D70" s="1136" t="s">
        <v>711</v>
      </c>
      <c r="E70" s="1136" t="s">
        <v>712</v>
      </c>
      <c r="F70" s="1136" t="s">
        <v>216</v>
      </c>
      <c r="G70" s="1137">
        <v>7058052</v>
      </c>
      <c r="H70" s="1138">
        <v>237287</v>
      </c>
      <c r="I70" s="1139">
        <v>133044</v>
      </c>
      <c r="J70" s="808">
        <f t="shared" si="11"/>
        <v>7428383</v>
      </c>
      <c r="K70" s="799">
        <f t="shared" si="12"/>
        <v>8394072.7899999991</v>
      </c>
      <c r="L70" s="618"/>
      <c r="U70" s="661"/>
      <c r="V70" s="276" t="s">
        <v>138</v>
      </c>
      <c r="W70" s="246">
        <f>SUM(W71:W77)</f>
        <v>1078000</v>
      </c>
    </row>
    <row r="71" spans="1:23" ht="13.5" thickBot="1" x14ac:dyDescent="0.25">
      <c r="A71" s="1258"/>
      <c r="B71" s="1259"/>
      <c r="C71" s="681"/>
      <c r="D71" s="681"/>
      <c r="E71" s="682"/>
      <c r="F71" s="655"/>
      <c r="G71" s="656">
        <v>0</v>
      </c>
      <c r="H71" s="657">
        <f>+I71/12</f>
        <v>0</v>
      </c>
      <c r="I71" s="805">
        <f>+G71*(1+$K$11)</f>
        <v>0</v>
      </c>
      <c r="J71" s="808">
        <f t="shared" si="11"/>
        <v>0</v>
      </c>
      <c r="K71" s="799">
        <f t="shared" si="12"/>
        <v>0</v>
      </c>
      <c r="L71" s="618"/>
      <c r="U71" s="662">
        <v>53206030000000</v>
      </c>
      <c r="V71" s="663" t="s">
        <v>139</v>
      </c>
      <c r="W71" s="251">
        <v>200000</v>
      </c>
    </row>
    <row r="72" spans="1:23" ht="13.5" thickBot="1" x14ac:dyDescent="0.25">
      <c r="A72" s="1258"/>
      <c r="B72" s="1259"/>
      <c r="C72" s="669"/>
      <c r="D72" s="669"/>
      <c r="E72" s="670"/>
      <c r="F72" s="670"/>
      <c r="G72" s="671"/>
      <c r="H72" s="672">
        <f>+I72/12</f>
        <v>0</v>
      </c>
      <c r="I72" s="806">
        <f>+G72*(1+$K$11)</f>
        <v>0</v>
      </c>
      <c r="J72" s="809">
        <f t="shared" si="11"/>
        <v>0</v>
      </c>
      <c r="K72" s="800">
        <f t="shared" si="12"/>
        <v>0</v>
      </c>
      <c r="L72" s="618"/>
      <c r="U72" s="662">
        <v>53206040000000</v>
      </c>
      <c r="V72" s="663" t="s">
        <v>140</v>
      </c>
      <c r="W72" s="251">
        <v>0</v>
      </c>
    </row>
    <row r="73" spans="1:23" ht="16.5" thickBot="1" x14ac:dyDescent="0.25">
      <c r="C73" s="617"/>
      <c r="D73" s="617"/>
      <c r="E73" s="683"/>
      <c r="F73" s="683"/>
      <c r="G73" s="683"/>
      <c r="H73" s="683"/>
      <c r="I73" s="683"/>
      <c r="J73" s="683"/>
      <c r="K73" s="684">
        <f>SUM(K68:K72)</f>
        <v>30946746.129999995</v>
      </c>
      <c r="L73" s="618"/>
      <c r="U73" s="662">
        <v>53206060000000</v>
      </c>
      <c r="V73" s="663" t="s">
        <v>223</v>
      </c>
      <c r="W73" s="251">
        <v>113000</v>
      </c>
    </row>
    <row r="74" spans="1:23" x14ac:dyDescent="0.2">
      <c r="K74" s="680">
        <v>1</v>
      </c>
      <c r="L74" s="618"/>
      <c r="M74" s="685"/>
      <c r="O74" s="685"/>
      <c r="Q74" s="685"/>
      <c r="U74" s="662">
        <v>53206070000000</v>
      </c>
      <c r="V74" s="663" t="s">
        <v>142</v>
      </c>
      <c r="W74" s="251">
        <v>565000</v>
      </c>
    </row>
    <row r="75" spans="1:23" ht="15.75" customHeight="1" thickBot="1" x14ac:dyDescent="0.25">
      <c r="U75" s="662">
        <v>53206990000000</v>
      </c>
      <c r="V75" s="663" t="s">
        <v>224</v>
      </c>
      <c r="W75" s="251">
        <v>0</v>
      </c>
    </row>
    <row r="76" spans="1:23" ht="12.75" customHeight="1" thickBot="1" x14ac:dyDescent="0.25">
      <c r="A76" s="1258" t="s">
        <v>221</v>
      </c>
      <c r="B76" s="1259" t="s">
        <v>222</v>
      </c>
      <c r="C76" s="686"/>
      <c r="D76" s="686"/>
      <c r="E76" s="687"/>
      <c r="F76" s="687" t="s">
        <v>186</v>
      </c>
      <c r="G76" s="641">
        <v>0</v>
      </c>
      <c r="H76" s="641">
        <f>+I76/12</f>
        <v>0</v>
      </c>
      <c r="I76" s="804">
        <f>+G76*(1+$K$11)</f>
        <v>0</v>
      </c>
      <c r="J76" s="807">
        <f>SUM(G76:I76)</f>
        <v>0</v>
      </c>
      <c r="K76" s="798">
        <f>+J76*(1+$K$11)</f>
        <v>0</v>
      </c>
      <c r="U76" s="662">
        <v>53208030000000</v>
      </c>
      <c r="V76" s="663" t="s">
        <v>144</v>
      </c>
      <c r="W76" s="251">
        <v>0</v>
      </c>
    </row>
    <row r="77" spans="1:23" ht="13.5" thickBot="1" x14ac:dyDescent="0.25">
      <c r="A77" s="1258"/>
      <c r="B77" s="1259"/>
      <c r="C77" s="667"/>
      <c r="D77" s="667"/>
      <c r="E77" s="668"/>
      <c r="F77" s="668"/>
      <c r="G77" s="656">
        <v>0</v>
      </c>
      <c r="H77" s="656">
        <v>0</v>
      </c>
      <c r="I77" s="805">
        <v>0</v>
      </c>
      <c r="J77" s="808">
        <f t="shared" ref="J77:J80" si="13">SUM(G77:I77)</f>
        <v>0</v>
      </c>
      <c r="K77" s="799">
        <f>+J77*(1+$K$11)</f>
        <v>0</v>
      </c>
      <c r="U77" s="662">
        <v>53212060000000</v>
      </c>
      <c r="V77" s="663" t="s">
        <v>225</v>
      </c>
      <c r="W77" s="251">
        <v>200000</v>
      </c>
    </row>
    <row r="78" spans="1:23" ht="13.5" thickBot="1" x14ac:dyDescent="0.25">
      <c r="A78" s="1258"/>
      <c r="B78" s="1259"/>
      <c r="C78" s="676"/>
      <c r="D78" s="676"/>
      <c r="E78" s="676"/>
      <c r="F78" s="668"/>
      <c r="G78" s="656">
        <f>+[2]REMUNERACIONES!Z56</f>
        <v>0</v>
      </c>
      <c r="H78" s="656">
        <f>+I78/12</f>
        <v>0</v>
      </c>
      <c r="I78" s="805">
        <f>+G78*(1+$K$11)</f>
        <v>0</v>
      </c>
      <c r="J78" s="808">
        <f t="shared" si="13"/>
        <v>0</v>
      </c>
      <c r="K78" s="799">
        <f t="shared" ref="K78:K80" si="14">+J78*(1+$K$11)</f>
        <v>0</v>
      </c>
      <c r="U78" s="661"/>
      <c r="V78" s="276" t="s">
        <v>146</v>
      </c>
      <c r="W78" s="246">
        <f>SUM(W79:W79)</f>
        <v>1860417</v>
      </c>
    </row>
    <row r="79" spans="1:23" ht="13.5" thickBot="1" x14ac:dyDescent="0.25">
      <c r="A79" s="1258"/>
      <c r="B79" s="1259"/>
      <c r="C79" s="667"/>
      <c r="D79" s="667"/>
      <c r="E79" s="668"/>
      <c r="F79" s="668"/>
      <c r="G79" s="656">
        <f>+[2]REMUNERACIONES!Z57</f>
        <v>0</v>
      </c>
      <c r="H79" s="656">
        <f>+I79/12</f>
        <v>0</v>
      </c>
      <c r="I79" s="805">
        <f>+G79*(1+$K$11)</f>
        <v>0</v>
      </c>
      <c r="J79" s="808">
        <f t="shared" si="13"/>
        <v>0</v>
      </c>
      <c r="K79" s="799">
        <f t="shared" si="14"/>
        <v>0</v>
      </c>
      <c r="U79" s="662">
        <v>53204999000000</v>
      </c>
      <c r="V79" s="663" t="s">
        <v>226</v>
      </c>
      <c r="W79" s="251">
        <v>1860417</v>
      </c>
    </row>
    <row r="80" spans="1:23" ht="13.5" thickBot="1" x14ac:dyDescent="0.25">
      <c r="A80" s="1258"/>
      <c r="B80" s="1259"/>
      <c r="C80" s="669"/>
      <c r="D80" s="669"/>
      <c r="E80" s="670"/>
      <c r="F80" s="670"/>
      <c r="G80" s="671">
        <f>+[2]REMUNERACIONES!Z58</f>
        <v>0</v>
      </c>
      <c r="H80" s="671">
        <f>+I80/12</f>
        <v>0</v>
      </c>
      <c r="I80" s="806">
        <f>+G80*(1+$K$11)</f>
        <v>0</v>
      </c>
      <c r="J80" s="809">
        <f t="shared" si="13"/>
        <v>0</v>
      </c>
      <c r="K80" s="800">
        <f t="shared" si="14"/>
        <v>0</v>
      </c>
      <c r="U80" s="269"/>
      <c r="V80" s="689" t="s">
        <v>229</v>
      </c>
      <c r="W80" s="690">
        <f>SUM(W40+W15)</f>
        <v>174287081</v>
      </c>
    </row>
    <row r="81" spans="1:25" ht="16.5" thickBot="1" x14ac:dyDescent="0.25">
      <c r="C81" s="617"/>
      <c r="D81" s="617"/>
      <c r="E81" s="683"/>
      <c r="F81" s="683"/>
      <c r="G81" s="683"/>
      <c r="H81" s="683"/>
      <c r="I81" s="683"/>
      <c r="J81" s="683"/>
      <c r="K81" s="684">
        <f>SUM(K76:K80)</f>
        <v>0</v>
      </c>
    </row>
    <row r="82" spans="1:25" ht="13.5" thickBot="1" x14ac:dyDescent="0.25">
      <c r="K82" s="688">
        <v>1</v>
      </c>
    </row>
    <row r="83" spans="1:25" ht="15.75" customHeight="1" thickBot="1" x14ac:dyDescent="0.25">
      <c r="A83" s="1258" t="s">
        <v>227</v>
      </c>
      <c r="B83" s="1259" t="s">
        <v>228</v>
      </c>
      <c r="C83" s="1131" t="s">
        <v>713</v>
      </c>
      <c r="D83" s="1132" t="s">
        <v>714</v>
      </c>
      <c r="E83" s="1132" t="s">
        <v>715</v>
      </c>
      <c r="F83" s="1132" t="s">
        <v>216</v>
      </c>
      <c r="G83" s="1148">
        <v>11454408</v>
      </c>
      <c r="H83" s="1148">
        <v>131369</v>
      </c>
      <c r="I83" s="1149">
        <v>135482</v>
      </c>
      <c r="J83" s="807">
        <f>SUM(G83:I83)</f>
        <v>11721259</v>
      </c>
      <c r="K83" s="798">
        <f>+J83*(1+$K$11)</f>
        <v>13245022.669999998</v>
      </c>
      <c r="X83" s="614"/>
    </row>
    <row r="84" spans="1:25" ht="13.5" thickBot="1" x14ac:dyDescent="0.25">
      <c r="A84" s="1258"/>
      <c r="B84" s="1259"/>
      <c r="C84" s="1135" t="s">
        <v>716</v>
      </c>
      <c r="D84" s="1136" t="s">
        <v>717</v>
      </c>
      <c r="E84" s="1136" t="s">
        <v>718</v>
      </c>
      <c r="F84" s="1136" t="s">
        <v>216</v>
      </c>
      <c r="G84" s="1150">
        <v>7245228</v>
      </c>
      <c r="H84" s="1150">
        <v>237287</v>
      </c>
      <c r="I84" s="1151">
        <v>133044</v>
      </c>
      <c r="J84" s="808">
        <f t="shared" ref="J84:J89" si="15">SUM(G84:I84)</f>
        <v>7615559</v>
      </c>
      <c r="K84" s="799">
        <f t="shared" ref="K84:K89" si="16">+J84*(1+$K$11)</f>
        <v>8605581.6699999999</v>
      </c>
    </row>
    <row r="85" spans="1:25" ht="13.5" thickBot="1" x14ac:dyDescent="0.25">
      <c r="A85" s="1258"/>
      <c r="B85" s="1259"/>
      <c r="C85" s="1135" t="s">
        <v>719</v>
      </c>
      <c r="D85" s="1136" t="s">
        <v>720</v>
      </c>
      <c r="E85" s="1136" t="s">
        <v>721</v>
      </c>
      <c r="F85" s="1136" t="s">
        <v>216</v>
      </c>
      <c r="G85" s="1150">
        <v>28474344</v>
      </c>
      <c r="H85" s="1150">
        <v>131369</v>
      </c>
      <c r="I85" s="1151">
        <v>132398</v>
      </c>
      <c r="J85" s="808">
        <f t="shared" si="15"/>
        <v>28738111</v>
      </c>
      <c r="K85" s="799">
        <f t="shared" si="16"/>
        <v>32474065.429999996</v>
      </c>
    </row>
    <row r="86" spans="1:25" ht="13.5" thickBot="1" x14ac:dyDescent="0.25">
      <c r="A86" s="1258"/>
      <c r="B86" s="1259"/>
      <c r="C86" s="1135" t="s">
        <v>722</v>
      </c>
      <c r="D86" s="1136" t="s">
        <v>723</v>
      </c>
      <c r="E86" s="1136" t="s">
        <v>724</v>
      </c>
      <c r="F86" s="1136" t="s">
        <v>216</v>
      </c>
      <c r="G86" s="1150">
        <v>14489112</v>
      </c>
      <c r="H86" s="1150">
        <v>131369</v>
      </c>
      <c r="I86" s="1151">
        <v>135482</v>
      </c>
      <c r="J86" s="808">
        <f t="shared" si="15"/>
        <v>14755963</v>
      </c>
      <c r="K86" s="799">
        <f t="shared" si="16"/>
        <v>16674238.189999998</v>
      </c>
      <c r="W86" s="784"/>
    </row>
    <row r="87" spans="1:25" ht="13.5" thickBot="1" x14ac:dyDescent="0.25">
      <c r="A87" s="1258"/>
      <c r="B87" s="1259"/>
      <c r="C87" s="1152" t="s">
        <v>568</v>
      </c>
      <c r="D87" s="1152" t="s">
        <v>569</v>
      </c>
      <c r="E87" s="1136" t="s">
        <v>570</v>
      </c>
      <c r="F87" s="1136" t="s">
        <v>186</v>
      </c>
      <c r="G87" s="1153">
        <v>13889376</v>
      </c>
      <c r="H87" s="1154">
        <v>131369</v>
      </c>
      <c r="I87" s="1155">
        <v>135482</v>
      </c>
      <c r="J87" s="809">
        <f t="shared" si="15"/>
        <v>14156227</v>
      </c>
      <c r="K87" s="800">
        <f t="shared" si="16"/>
        <v>15996536.509999998</v>
      </c>
    </row>
    <row r="88" spans="1:25" ht="13.5" thickBot="1" x14ac:dyDescent="0.25">
      <c r="C88" s="1135" t="s">
        <v>725</v>
      </c>
      <c r="D88" s="1136" t="s">
        <v>726</v>
      </c>
      <c r="E88" s="1136" t="s">
        <v>724</v>
      </c>
      <c r="F88" s="1136" t="s">
        <v>216</v>
      </c>
      <c r="G88" s="1150">
        <v>10432116</v>
      </c>
      <c r="H88" s="1150">
        <v>237287</v>
      </c>
      <c r="I88" s="1151">
        <v>133044</v>
      </c>
      <c r="J88" s="809">
        <f t="shared" si="15"/>
        <v>10802447</v>
      </c>
      <c r="K88" s="800">
        <f t="shared" si="16"/>
        <v>12206765.109999999</v>
      </c>
      <c r="W88" s="614"/>
    </row>
    <row r="89" spans="1:25" ht="13.5" thickBot="1" x14ac:dyDescent="0.25">
      <c r="C89" s="1156" t="s">
        <v>727</v>
      </c>
      <c r="D89" s="1157" t="s">
        <v>728</v>
      </c>
      <c r="E89" s="1157" t="s">
        <v>729</v>
      </c>
      <c r="F89" s="1157" t="s">
        <v>216</v>
      </c>
      <c r="G89" s="1158">
        <v>14242884</v>
      </c>
      <c r="H89" s="1158">
        <v>131369</v>
      </c>
      <c r="I89" s="1159">
        <v>132398</v>
      </c>
      <c r="J89" s="809">
        <f t="shared" si="15"/>
        <v>14506651</v>
      </c>
      <c r="K89" s="800">
        <f t="shared" si="16"/>
        <v>16392515.629999999</v>
      </c>
    </row>
    <row r="90" spans="1:25" ht="16.5" thickBot="1" x14ac:dyDescent="0.25">
      <c r="K90" s="684">
        <f>SUM(K83:K89)</f>
        <v>115594725.20999999</v>
      </c>
      <c r="W90" s="691"/>
      <c r="Y90" s="692"/>
    </row>
    <row r="91" spans="1:25" x14ac:dyDescent="0.2">
      <c r="K91" s="680">
        <v>1</v>
      </c>
    </row>
  </sheetData>
  <sheetProtection algorithmName="SHA-512" hashValue="Be6SftrVrUR05rtSXZSNwbi5wi9eUqUAk9xTFyWsrmh/yY/1k0ZsSdbXFu66KLQ5EVfRvzy3Cf0ddRdeZzxjEg==" saltValue="6sb+8ssYwMuEE4KMgVdRcQ==" spinCount="100000" sheet="1" objects="1" scenarios="1"/>
  <mergeCells count="47">
    <mergeCell ref="A9:I9"/>
    <mergeCell ref="M9:S10"/>
    <mergeCell ref="U9:W10"/>
    <mergeCell ref="Z9:AE10"/>
    <mergeCell ref="W13:W14"/>
    <mergeCell ref="Z13:AA13"/>
    <mergeCell ref="AB13:AC13"/>
    <mergeCell ref="AD13:AE13"/>
    <mergeCell ref="AG9:AL10"/>
    <mergeCell ref="AN9:AS10"/>
    <mergeCell ref="M12:R12"/>
    <mergeCell ref="A13:B14"/>
    <mergeCell ref="C13:C14"/>
    <mergeCell ref="D13:D14"/>
    <mergeCell ref="E13:E14"/>
    <mergeCell ref="F13:F14"/>
    <mergeCell ref="K13:K14"/>
    <mergeCell ref="M13:N13"/>
    <mergeCell ref="O13:P13"/>
    <mergeCell ref="Q13:R13"/>
    <mergeCell ref="S13:S14"/>
    <mergeCell ref="U13:U14"/>
    <mergeCell ref="V13:V14"/>
    <mergeCell ref="AI13:AJ13"/>
    <mergeCell ref="AK13:AL13"/>
    <mergeCell ref="AN13:AO13"/>
    <mergeCell ref="AP13:AQ13"/>
    <mergeCell ref="AR13:AS13"/>
    <mergeCell ref="AN14:AO14"/>
    <mergeCell ref="AP14:AQ14"/>
    <mergeCell ref="AR14:AS14"/>
    <mergeCell ref="AN15:AO15"/>
    <mergeCell ref="AP15:AQ15"/>
    <mergeCell ref="AR15:AS15"/>
    <mergeCell ref="B25:B34"/>
    <mergeCell ref="B35:B39"/>
    <mergeCell ref="A83:A87"/>
    <mergeCell ref="B83:B87"/>
    <mergeCell ref="AG13:AH13"/>
    <mergeCell ref="A68:A72"/>
    <mergeCell ref="B68:B72"/>
    <mergeCell ref="A76:A80"/>
    <mergeCell ref="B76:B80"/>
    <mergeCell ref="A15:A61"/>
    <mergeCell ref="B15:B24"/>
    <mergeCell ref="B40:B61"/>
    <mergeCell ref="G13:J13"/>
  </mergeCells>
  <conditionalFormatting sqref="S15:S61">
    <cfRule type="cellIs" dxfId="1" priority="2" operator="equal">
      <formula>1</formula>
    </cfRule>
  </conditionalFormatting>
  <pageMargins left="0.7" right="0.7" top="0.75" bottom="0.75" header="0.51180555555555496" footer="0.51180555555555496"/>
  <pageSetup firstPageNumber="0" orientation="portrait" horizontalDpi="300" verticalDpi="300" r:id="rId1"/>
  <ignoredErrors>
    <ignoredError sqref="H21:I24 H30:I34 H36:I39" unlockedFormula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4" tint="-0.499984740745262"/>
    <pageSetUpPr fitToPage="1"/>
  </sheetPr>
  <dimension ref="A1:AMK22"/>
  <sheetViews>
    <sheetView showGridLines="0" zoomScale="80" zoomScaleNormal="80" workbookViewId="0">
      <selection activeCell="H15" sqref="H15:L16"/>
    </sheetView>
  </sheetViews>
  <sheetFormatPr baseColWidth="10" defaultColWidth="9.140625" defaultRowHeight="12.75" x14ac:dyDescent="0.2"/>
  <cols>
    <col min="1" max="1" width="43.42578125" style="19"/>
    <col min="2" max="2" width="34" style="19"/>
    <col min="3" max="4" width="14.42578125" style="24"/>
    <col min="5" max="5" width="17.42578125" style="24" customWidth="1"/>
    <col min="6" max="9" width="14.42578125" style="24"/>
    <col min="10" max="10" width="17.85546875" style="24" customWidth="1"/>
    <col min="11" max="17" width="14.42578125" style="24"/>
    <col min="18" max="18" width="13.42578125" style="19"/>
    <col min="19" max="20" width="14.42578125" style="19"/>
    <col min="21" max="21" width="12.5703125" style="19"/>
    <col min="22" max="1025" width="11.5703125" style="19"/>
  </cols>
  <sheetData>
    <row r="1" spans="1:245" s="21" customFormat="1" x14ac:dyDescent="0.2">
      <c r="B1" s="20"/>
      <c r="C1" s="22"/>
      <c r="D1" s="22"/>
      <c r="E1" s="22"/>
      <c r="F1" s="22"/>
      <c r="G1" s="4" t="s">
        <v>230</v>
      </c>
      <c r="H1" s="22"/>
      <c r="I1" s="22"/>
      <c r="J1" s="22"/>
      <c r="K1" s="22"/>
      <c r="L1" s="22"/>
      <c r="M1" s="22"/>
      <c r="N1" s="22"/>
      <c r="O1" s="22"/>
      <c r="P1" s="22"/>
      <c r="Q1" s="22"/>
      <c r="IJ1" s="19"/>
      <c r="IK1" s="19"/>
    </row>
    <row r="2" spans="1:245" s="21" customFormat="1" x14ac:dyDescent="0.2">
      <c r="B2" s="23"/>
      <c r="C2" s="22"/>
      <c r="D2" s="22"/>
      <c r="E2" s="22"/>
      <c r="F2" s="22"/>
      <c r="G2" s="4" t="s">
        <v>231</v>
      </c>
      <c r="H2" s="22"/>
      <c r="I2" s="22"/>
      <c r="J2" s="22"/>
      <c r="K2" s="22"/>
      <c r="L2" s="22"/>
      <c r="M2" s="22"/>
      <c r="N2" s="22"/>
      <c r="O2" s="22"/>
      <c r="P2" s="22"/>
      <c r="Q2" s="22"/>
      <c r="IJ2" s="19"/>
      <c r="IK2" s="19"/>
    </row>
    <row r="3" spans="1:245" x14ac:dyDescent="0.2">
      <c r="A3" s="21"/>
    </row>
    <row r="4" spans="1:245" ht="17.25" customHeight="1" x14ac:dyDescent="0.2">
      <c r="A4" s="21"/>
      <c r="B4" s="24"/>
      <c r="C4" s="28"/>
      <c r="F4" s="28" t="s">
        <v>27</v>
      </c>
      <c r="G4" s="1300" t="str">
        <f>+'B) Reajuste Tarifas y Ocupación'!F5</f>
        <v>BIENVALP</v>
      </c>
      <c r="H4" s="1300"/>
      <c r="I4" s="28"/>
      <c r="J4" s="28"/>
      <c r="K4" s="28"/>
      <c r="L4" s="28"/>
      <c r="M4" s="28"/>
      <c r="N4" s="28"/>
      <c r="O4" s="28"/>
      <c r="P4" s="28"/>
      <c r="Q4" s="28"/>
    </row>
    <row r="5" spans="1:245" x14ac:dyDescent="0.2">
      <c r="A5" s="21"/>
      <c r="B5" s="24"/>
      <c r="C5" s="28"/>
      <c r="F5" s="28"/>
      <c r="G5" s="4"/>
      <c r="H5" s="4"/>
      <c r="I5" s="28"/>
      <c r="J5" s="28"/>
      <c r="K5" s="28"/>
      <c r="L5" s="28"/>
      <c r="M5" s="28"/>
      <c r="N5" s="28"/>
      <c r="O5" s="28"/>
      <c r="P5" s="28"/>
      <c r="Q5" s="28"/>
    </row>
    <row r="6" spans="1:245" ht="15.75" x14ac:dyDescent="0.2">
      <c r="A6" s="1197" t="s">
        <v>18</v>
      </c>
      <c r="B6" s="1197"/>
      <c r="C6" s="1197"/>
      <c r="D6" s="1197"/>
      <c r="E6" s="29"/>
      <c r="F6" s="28"/>
      <c r="G6" s="4"/>
      <c r="H6" s="4"/>
      <c r="I6" s="28"/>
      <c r="J6" s="28"/>
      <c r="K6" s="28"/>
      <c r="L6" s="28"/>
      <c r="M6" s="28"/>
      <c r="N6" s="28"/>
      <c r="O6" s="28"/>
      <c r="P6" s="28"/>
      <c r="Q6" s="28"/>
    </row>
    <row r="7" spans="1:245" x14ac:dyDescent="0.2"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</row>
    <row r="8" spans="1:245" ht="16.5" customHeight="1" x14ac:dyDescent="0.2">
      <c r="A8" s="1301" t="s">
        <v>29</v>
      </c>
      <c r="B8" s="1302" t="s">
        <v>42</v>
      </c>
      <c r="C8" s="1190" t="s">
        <v>336</v>
      </c>
      <c r="D8" s="1190"/>
      <c r="E8" s="1190"/>
      <c r="F8" s="1190"/>
      <c r="G8" s="1190"/>
      <c r="H8" s="1303" t="s">
        <v>44</v>
      </c>
      <c r="I8" s="1303"/>
      <c r="J8" s="1303"/>
      <c r="K8" s="1303"/>
      <c r="L8" s="1303"/>
      <c r="M8" s="1299" t="s">
        <v>232</v>
      </c>
      <c r="N8" s="1299"/>
      <c r="O8" s="1299"/>
      <c r="P8" s="1299"/>
      <c r="Q8" s="1299"/>
      <c r="R8" s="1299" t="s">
        <v>233</v>
      </c>
      <c r="S8" s="1299"/>
      <c r="T8" s="1299"/>
      <c r="U8" s="1299"/>
      <c r="V8" s="1299"/>
    </row>
    <row r="9" spans="1:245" ht="63.75" x14ac:dyDescent="0.2">
      <c r="A9" s="1301" t="e">
        <f>NA()</f>
        <v>#N/A</v>
      </c>
      <c r="B9" s="1302" t="e">
        <f>NA()</f>
        <v>#N/A</v>
      </c>
      <c r="C9" s="74" t="s">
        <v>48</v>
      </c>
      <c r="D9" s="75" t="s">
        <v>49</v>
      </c>
      <c r="E9" s="75" t="s">
        <v>50</v>
      </c>
      <c r="F9" s="75" t="s">
        <v>51</v>
      </c>
      <c r="G9" s="77" t="s">
        <v>52</v>
      </c>
      <c r="H9" s="185" t="s">
        <v>48</v>
      </c>
      <c r="I9" s="186" t="s">
        <v>49</v>
      </c>
      <c r="J9" s="186" t="s">
        <v>50</v>
      </c>
      <c r="K9" s="186" t="s">
        <v>51</v>
      </c>
      <c r="L9" s="382" t="s">
        <v>52</v>
      </c>
      <c r="M9" s="383" t="s">
        <v>48</v>
      </c>
      <c r="N9" s="186" t="s">
        <v>49</v>
      </c>
      <c r="O9" s="186" t="s">
        <v>50</v>
      </c>
      <c r="P9" s="186" t="s">
        <v>51</v>
      </c>
      <c r="Q9" s="382" t="s">
        <v>52</v>
      </c>
      <c r="R9" s="185" t="s">
        <v>48</v>
      </c>
      <c r="S9" s="186" t="s">
        <v>49</v>
      </c>
      <c r="T9" s="186" t="s">
        <v>50</v>
      </c>
      <c r="U9" s="186" t="s">
        <v>51</v>
      </c>
      <c r="V9" s="382" t="s">
        <v>52</v>
      </c>
    </row>
    <row r="10" spans="1:245" x14ac:dyDescent="0.2">
      <c r="A10" s="1290" t="str">
        <f>+'B) Reajuste Tarifas y Ocupación'!A12</f>
        <v>Jardín Infantil Lobito Marino</v>
      </c>
      <c r="B10" s="384" t="str">
        <f>+'B) Reajuste Tarifas y Ocupación'!B12</f>
        <v>Media jornada</v>
      </c>
      <c r="C10" s="385">
        <f>+'B) Reajuste Tarifas y Ocupación'!M12</f>
        <v>94700</v>
      </c>
      <c r="D10" s="386">
        <f>+'B) Reajuste Tarifas y Ocupación'!N12</f>
        <v>127900</v>
      </c>
      <c r="E10" s="386">
        <f>+'B) Reajuste Tarifas y Ocupación'!O12</f>
        <v>132600</v>
      </c>
      <c r="F10" s="386">
        <f>+'B) Reajuste Tarifas y Ocupación'!P12</f>
        <v>126900</v>
      </c>
      <c r="G10" s="387">
        <f>+'B) Reajuste Tarifas y Ocupación'!Q12</f>
        <v>186700</v>
      </c>
      <c r="H10" s="388">
        <f>+'B) Reajuste Tarifas y Ocupación'!C12</f>
        <v>83800</v>
      </c>
      <c r="I10" s="389">
        <f>+'B) Reajuste Tarifas y Ocupación'!D12</f>
        <v>100500</v>
      </c>
      <c r="J10" s="389">
        <f>+'B) Reajuste Tarifas y Ocupación'!E12</f>
        <v>100500</v>
      </c>
      <c r="K10" s="389">
        <f>+'B) Reajuste Tarifas y Ocupación'!F12</f>
        <v>112300</v>
      </c>
      <c r="L10" s="390">
        <f>+'B) Reajuste Tarifas y Ocupación'!G12</f>
        <v>165200</v>
      </c>
      <c r="M10" s="79">
        <f t="shared" ref="M10:Q13" si="0">C10-H10</f>
        <v>10900</v>
      </c>
      <c r="N10" s="80">
        <f t="shared" si="0"/>
        <v>27400</v>
      </c>
      <c r="O10" s="80">
        <f t="shared" si="0"/>
        <v>32100</v>
      </c>
      <c r="P10" s="80">
        <f t="shared" si="0"/>
        <v>14600</v>
      </c>
      <c r="Q10" s="81">
        <f t="shared" si="0"/>
        <v>21500</v>
      </c>
      <c r="R10" s="391">
        <f>+'B) Reajuste Tarifas y Ocupación'!H12</f>
        <v>0.13</v>
      </c>
      <c r="S10" s="392">
        <f>+'B) Reajuste Tarifas y Ocupación'!I12</f>
        <v>0.13</v>
      </c>
      <c r="T10" s="392">
        <f>+'B) Reajuste Tarifas y Ocupación'!J12</f>
        <v>0.13</v>
      </c>
      <c r="U10" s="392">
        <f>+'B) Reajuste Tarifas y Ocupación'!K12</f>
        <v>0.13</v>
      </c>
      <c r="V10" s="393">
        <f>+'B) Reajuste Tarifas y Ocupación'!L12</f>
        <v>0.13</v>
      </c>
    </row>
    <row r="11" spans="1:245" x14ac:dyDescent="0.2">
      <c r="A11" s="1290"/>
      <c r="B11" s="394" t="str">
        <f>+'B) Reajuste Tarifas y Ocupación'!B13</f>
        <v>Jornada completa</v>
      </c>
      <c r="C11" s="395">
        <f>+'B) Reajuste Tarifas y Ocupación'!M13</f>
        <v>154600</v>
      </c>
      <c r="D11" s="396">
        <f>+'B) Reajuste Tarifas y Ocupación'!N13</f>
        <v>208700</v>
      </c>
      <c r="E11" s="396">
        <f>+'B) Reajuste Tarifas y Ocupación'!O13</f>
        <v>216500</v>
      </c>
      <c r="F11" s="396">
        <f>+'B) Reajuste Tarifas y Ocupación'!P13</f>
        <v>261000</v>
      </c>
      <c r="G11" s="397">
        <f>+'B) Reajuste Tarifas y Ocupación'!Q13</f>
        <v>389200</v>
      </c>
      <c r="H11" s="398">
        <f>+'B) Reajuste Tarifas y Ocupación'!C13</f>
        <v>136800</v>
      </c>
      <c r="I11" s="399">
        <f>+'B) Reajuste Tarifas y Ocupación'!D13</f>
        <v>164200</v>
      </c>
      <c r="J11" s="399">
        <f>+'B) Reajuste Tarifas y Ocupación'!E13</f>
        <v>164200</v>
      </c>
      <c r="K11" s="399">
        <f>+'B) Reajuste Tarifas y Ocupación'!F13</f>
        <v>230900</v>
      </c>
      <c r="L11" s="400">
        <f>+'B) Reajuste Tarifas y Ocupación'!G13</f>
        <v>344400</v>
      </c>
      <c r="M11" s="401">
        <f t="shared" si="0"/>
        <v>17800</v>
      </c>
      <c r="N11" s="402">
        <f t="shared" si="0"/>
        <v>44500</v>
      </c>
      <c r="O11" s="402">
        <f t="shared" si="0"/>
        <v>52300</v>
      </c>
      <c r="P11" s="402">
        <f t="shared" si="0"/>
        <v>30100</v>
      </c>
      <c r="Q11" s="403">
        <f t="shared" si="0"/>
        <v>44800</v>
      </c>
      <c r="R11" s="404">
        <f>+'B) Reajuste Tarifas y Ocupación'!H13</f>
        <v>0.13</v>
      </c>
      <c r="S11" s="405">
        <f>+'B) Reajuste Tarifas y Ocupación'!I13</f>
        <v>0.13</v>
      </c>
      <c r="T11" s="405">
        <f>+'B) Reajuste Tarifas y Ocupación'!J13</f>
        <v>0.13</v>
      </c>
      <c r="U11" s="405">
        <f>+'B) Reajuste Tarifas y Ocupación'!K13</f>
        <v>0.13</v>
      </c>
      <c r="V11" s="406">
        <f>+'B) Reajuste Tarifas y Ocupación'!L13</f>
        <v>0.13</v>
      </c>
    </row>
    <row r="12" spans="1:245" x14ac:dyDescent="0.2">
      <c r="A12" s="1290" t="str">
        <f>+'B) Reajuste Tarifas y Ocupación'!A14</f>
        <v>Jardín Infantil Los Delfines</v>
      </c>
      <c r="B12" s="384" t="str">
        <f>+'B) Reajuste Tarifas y Ocupación'!B14</f>
        <v>Media jornada</v>
      </c>
      <c r="C12" s="385">
        <f>+'B) Reajuste Tarifas y Ocupación'!M14</f>
        <v>94700</v>
      </c>
      <c r="D12" s="386">
        <f>+'B) Reajuste Tarifas y Ocupación'!N14</f>
        <v>127900</v>
      </c>
      <c r="E12" s="386">
        <f>+'B) Reajuste Tarifas y Ocupación'!O14</f>
        <v>132600</v>
      </c>
      <c r="F12" s="386">
        <f>+'B) Reajuste Tarifas y Ocupación'!P14</f>
        <v>126900</v>
      </c>
      <c r="G12" s="387">
        <f>+'B) Reajuste Tarifas y Ocupación'!Q14</f>
        <v>186700</v>
      </c>
      <c r="H12" s="388">
        <f>+'B) Reajuste Tarifas y Ocupación'!C14</f>
        <v>83800</v>
      </c>
      <c r="I12" s="389">
        <f>+'B) Reajuste Tarifas y Ocupación'!D14</f>
        <v>100500</v>
      </c>
      <c r="J12" s="389">
        <f>+'B) Reajuste Tarifas y Ocupación'!E14</f>
        <v>100500</v>
      </c>
      <c r="K12" s="389">
        <f>+'B) Reajuste Tarifas y Ocupación'!F14</f>
        <v>112300</v>
      </c>
      <c r="L12" s="390">
        <f>+'B) Reajuste Tarifas y Ocupación'!G14</f>
        <v>165200</v>
      </c>
      <c r="M12" s="79">
        <f t="shared" si="0"/>
        <v>10900</v>
      </c>
      <c r="N12" s="80">
        <f t="shared" si="0"/>
        <v>27400</v>
      </c>
      <c r="O12" s="80">
        <f t="shared" si="0"/>
        <v>32100</v>
      </c>
      <c r="P12" s="80">
        <f t="shared" si="0"/>
        <v>14600</v>
      </c>
      <c r="Q12" s="81">
        <f t="shared" si="0"/>
        <v>21500</v>
      </c>
      <c r="R12" s="391">
        <f>+'B) Reajuste Tarifas y Ocupación'!H14</f>
        <v>0.13</v>
      </c>
      <c r="S12" s="392">
        <f>+'B) Reajuste Tarifas y Ocupación'!I14</f>
        <v>0.13</v>
      </c>
      <c r="T12" s="392">
        <f>+'B) Reajuste Tarifas y Ocupación'!J14</f>
        <v>0.13</v>
      </c>
      <c r="U12" s="392">
        <f>+'B) Reajuste Tarifas y Ocupación'!K14</f>
        <v>0.13</v>
      </c>
      <c r="V12" s="393">
        <f>+'B) Reajuste Tarifas y Ocupación'!L14</f>
        <v>0.13</v>
      </c>
    </row>
    <row r="13" spans="1:245" ht="13.5" thickBot="1" x14ac:dyDescent="0.25">
      <c r="A13" s="1290"/>
      <c r="B13" s="407" t="str">
        <f>+'B) Reajuste Tarifas y Ocupación'!B15</f>
        <v>Jornada completa</v>
      </c>
      <c r="C13" s="395">
        <f>+'B) Reajuste Tarifas y Ocupación'!M15</f>
        <v>154600</v>
      </c>
      <c r="D13" s="396">
        <f>+'B) Reajuste Tarifas y Ocupación'!N15</f>
        <v>208700</v>
      </c>
      <c r="E13" s="396">
        <f>+'B) Reajuste Tarifas y Ocupación'!O15</f>
        <v>216500</v>
      </c>
      <c r="F13" s="396">
        <f>+'B) Reajuste Tarifas y Ocupación'!P15</f>
        <v>261000</v>
      </c>
      <c r="G13" s="397">
        <f>+'B) Reajuste Tarifas y Ocupación'!Q15</f>
        <v>389200</v>
      </c>
      <c r="H13" s="408">
        <f>+'B) Reajuste Tarifas y Ocupación'!C15</f>
        <v>136800</v>
      </c>
      <c r="I13" s="409">
        <f>+'B) Reajuste Tarifas y Ocupación'!D15</f>
        <v>164200</v>
      </c>
      <c r="J13" s="409">
        <f>+'B) Reajuste Tarifas y Ocupación'!E15</f>
        <v>164200</v>
      </c>
      <c r="K13" s="409">
        <f>+'B) Reajuste Tarifas y Ocupación'!F15</f>
        <v>230900</v>
      </c>
      <c r="L13" s="410">
        <f>+'B) Reajuste Tarifas y Ocupación'!G15</f>
        <v>344400</v>
      </c>
      <c r="M13" s="401">
        <f t="shared" si="0"/>
        <v>17800</v>
      </c>
      <c r="N13" s="402">
        <f t="shared" si="0"/>
        <v>44500</v>
      </c>
      <c r="O13" s="402">
        <f t="shared" si="0"/>
        <v>52300</v>
      </c>
      <c r="P13" s="402">
        <f t="shared" si="0"/>
        <v>30100</v>
      </c>
      <c r="Q13" s="403">
        <f t="shared" si="0"/>
        <v>44800</v>
      </c>
      <c r="R13" s="404">
        <f>+'B) Reajuste Tarifas y Ocupación'!H15</f>
        <v>0.13</v>
      </c>
      <c r="S13" s="405">
        <f>+'B) Reajuste Tarifas y Ocupación'!I15</f>
        <v>0.13</v>
      </c>
      <c r="T13" s="405">
        <f>+'B) Reajuste Tarifas y Ocupación'!J15</f>
        <v>0.13</v>
      </c>
      <c r="U13" s="405">
        <f>+'B) Reajuste Tarifas y Ocupación'!K15</f>
        <v>0.13</v>
      </c>
      <c r="V13" s="406">
        <f>+'B) Reajuste Tarifas y Ocupación'!L15</f>
        <v>0.13</v>
      </c>
    </row>
    <row r="14" spans="1:245" ht="23.25" customHeight="1" thickBot="1" x14ac:dyDescent="0.25">
      <c r="A14" s="411" t="str">
        <f>+'B) Reajuste Tarifas y Ocupación'!A16</f>
        <v>Jardín Infantil Pecesitos de Colores</v>
      </c>
      <c r="B14" s="412" t="str">
        <f>+'B) Reajuste Tarifas y Ocupación'!B16</f>
        <v>Media jornada</v>
      </c>
      <c r="C14" s="395">
        <f>+'B) Reajuste Tarifas y Ocupación'!M16</f>
        <v>38100</v>
      </c>
      <c r="D14" s="396">
        <f>+'B) Reajuste Tarifas y Ocupación'!N16</f>
        <v>51500</v>
      </c>
      <c r="E14" s="396">
        <f>+'B) Reajuste Tarifas y Ocupación'!O16</f>
        <v>53400</v>
      </c>
      <c r="F14" s="396">
        <f>+'B) Reajuste Tarifas y Ocupación'!P16</f>
        <v>47800</v>
      </c>
      <c r="G14" s="397">
        <f>+'B) Reajuste Tarifas y Ocupación'!Q16</f>
        <v>57200</v>
      </c>
      <c r="H14" s="408">
        <f>+'B) Reajuste Tarifas y Ocupación'!C16</f>
        <v>33700</v>
      </c>
      <c r="I14" s="409">
        <f>+'B) Reajuste Tarifas y Ocupación'!D16</f>
        <v>40400</v>
      </c>
      <c r="J14" s="409">
        <f>+'B) Reajuste Tarifas y Ocupación'!E16</f>
        <v>40400</v>
      </c>
      <c r="K14" s="409">
        <f>+'B) Reajuste Tarifas y Ocupación'!F16</f>
        <v>42300</v>
      </c>
      <c r="L14" s="410">
        <f>+'B) Reajuste Tarifas y Ocupación'!G16</f>
        <v>50600</v>
      </c>
      <c r="M14" s="401">
        <f t="shared" ref="M14" si="1">C14-H14</f>
        <v>4400</v>
      </c>
      <c r="N14" s="402">
        <f t="shared" ref="N14" si="2">D14-I14</f>
        <v>11100</v>
      </c>
      <c r="O14" s="402">
        <f t="shared" ref="O14" si="3">E14-J14</f>
        <v>13000</v>
      </c>
      <c r="P14" s="402">
        <f t="shared" ref="P14" si="4">F14-K14</f>
        <v>5500</v>
      </c>
      <c r="Q14" s="403">
        <f t="shared" ref="Q14" si="5">G14-L14</f>
        <v>6600</v>
      </c>
      <c r="R14" s="404">
        <f>+'B) Reajuste Tarifas y Ocupación'!H16</f>
        <v>0.13</v>
      </c>
      <c r="S14" s="405">
        <f>+'B) Reajuste Tarifas y Ocupación'!I16</f>
        <v>0.13</v>
      </c>
      <c r="T14" s="405">
        <f>+'B) Reajuste Tarifas y Ocupación'!J16</f>
        <v>0.13</v>
      </c>
      <c r="U14" s="405">
        <f>+'B) Reajuste Tarifas y Ocupación'!K16</f>
        <v>0.13</v>
      </c>
      <c r="V14" s="406">
        <f>+'B) Reajuste Tarifas y Ocupación'!L16</f>
        <v>0.13</v>
      </c>
    </row>
    <row r="15" spans="1:245" ht="13.5" thickBot="1" x14ac:dyDescent="0.25">
      <c r="A15" s="1290" t="str">
        <f>+'B) Reajuste Tarifas y Ocupación'!A17</f>
        <v>Jardín Infantil Caracolito de Mar</v>
      </c>
      <c r="B15" s="384" t="str">
        <f>+'B) Reajuste Tarifas y Ocupación'!B17</f>
        <v>Media jornada</v>
      </c>
      <c r="C15" s="1295"/>
      <c r="D15" s="1295"/>
      <c r="E15" s="1295"/>
      <c r="F15" s="1295"/>
      <c r="G15" s="1295"/>
      <c r="H15" s="1296"/>
      <c r="I15" s="1296"/>
      <c r="J15" s="1296"/>
      <c r="K15" s="1296"/>
      <c r="L15" s="1296"/>
      <c r="M15" s="1297"/>
      <c r="N15" s="1297"/>
      <c r="O15" s="1297"/>
      <c r="P15" s="1297"/>
      <c r="Q15" s="1297"/>
      <c r="R15" s="1298"/>
      <c r="S15" s="1298"/>
      <c r="T15" s="1298"/>
      <c r="U15" s="1298"/>
      <c r="V15" s="1298"/>
    </row>
    <row r="16" spans="1:245" x14ac:dyDescent="0.2">
      <c r="A16" s="1290"/>
      <c r="B16" s="394" t="str">
        <f>+'B) Reajuste Tarifas y Ocupación'!B18</f>
        <v>Jornada completa</v>
      </c>
      <c r="C16" s="1295"/>
      <c r="D16" s="1295"/>
      <c r="E16" s="1295"/>
      <c r="F16" s="1295"/>
      <c r="G16" s="1295"/>
      <c r="H16" s="1296"/>
      <c r="I16" s="1296"/>
      <c r="J16" s="1296"/>
      <c r="K16" s="1296"/>
      <c r="L16" s="1296"/>
      <c r="M16" s="1297"/>
      <c r="N16" s="1297"/>
      <c r="O16" s="1297"/>
      <c r="P16" s="1297"/>
      <c r="Q16" s="1297"/>
      <c r="R16" s="1298"/>
      <c r="S16" s="1298"/>
      <c r="T16" s="1298"/>
      <c r="U16" s="1298"/>
      <c r="V16" s="1298"/>
    </row>
    <row r="17" spans="1:22" x14ac:dyDescent="0.2">
      <c r="A17" s="1290" t="str">
        <f>+'B) Reajuste Tarifas y Ocupación'!A22</f>
        <v>Sala Cuna Caracolito de Mar</v>
      </c>
      <c r="B17" s="384" t="str">
        <f>+'B) Reajuste Tarifas y Ocupación'!B22</f>
        <v>Diurna</v>
      </c>
      <c r="C17" s="385">
        <f>+'B) Reajuste Tarifas y Ocupación'!M22</f>
        <v>347400</v>
      </c>
      <c r="D17" s="386">
        <f>+'B) Reajuste Tarifas y Ocupación'!N22</f>
        <v>469000</v>
      </c>
      <c r="E17" s="386">
        <f>+'B) Reajuste Tarifas y Ocupación'!O22</f>
        <v>486400</v>
      </c>
      <c r="F17" s="386">
        <f>+'B) Reajuste Tarifas y Ocupación'!P22</f>
        <v>434200</v>
      </c>
      <c r="G17" s="387">
        <f>+'B) Reajuste Tarifas y Ocupación'!Q22</f>
        <v>521100</v>
      </c>
      <c r="H17" s="388">
        <f>+'B) Reajuste Tarifas y Ocupación'!C22</f>
        <v>327700</v>
      </c>
      <c r="I17" s="389">
        <f>+'B) Reajuste Tarifas y Ocupación'!D22</f>
        <v>393300</v>
      </c>
      <c r="J17" s="389">
        <f>+'B) Reajuste Tarifas y Ocupación'!E22</f>
        <v>393300</v>
      </c>
      <c r="K17" s="389">
        <f>+'B) Reajuste Tarifas y Ocupación'!F22</f>
        <v>409600</v>
      </c>
      <c r="L17" s="390">
        <f>+'B) Reajuste Tarifas y Ocupación'!G22</f>
        <v>491600</v>
      </c>
      <c r="M17" s="79">
        <f>C17-H17</f>
        <v>19700</v>
      </c>
      <c r="N17" s="80">
        <f>D17-I17</f>
        <v>75700</v>
      </c>
      <c r="O17" s="80">
        <f>E17-J17</f>
        <v>93100</v>
      </c>
      <c r="P17" s="80">
        <f>F17-K17</f>
        <v>24600</v>
      </c>
      <c r="Q17" s="82">
        <f>G17-L17</f>
        <v>29500</v>
      </c>
      <c r="R17" s="391">
        <f>+'B) Reajuste Tarifas y Ocupación'!H22</f>
        <v>0.06</v>
      </c>
      <c r="S17" s="413">
        <f>+'B) Reajuste Tarifas y Ocupación'!I22</f>
        <v>0.06</v>
      </c>
      <c r="T17" s="413">
        <f>+'B) Reajuste Tarifas y Ocupación'!J22</f>
        <v>0.06</v>
      </c>
      <c r="U17" s="413">
        <f>+'B) Reajuste Tarifas y Ocupación'!K22</f>
        <v>0.06</v>
      </c>
      <c r="V17" s="414">
        <f>+'B) Reajuste Tarifas y Ocupación'!L22</f>
        <v>0.06</v>
      </c>
    </row>
    <row r="18" spans="1:22" x14ac:dyDescent="0.2">
      <c r="A18" s="1290"/>
      <c r="B18" s="394" t="str">
        <f>+'B) Reajuste Tarifas y Ocupación'!B23</f>
        <v>Nocturna</v>
      </c>
      <c r="C18" s="1291"/>
      <c r="D18" s="1291"/>
      <c r="E18" s="1291"/>
      <c r="F18" s="1291"/>
      <c r="G18" s="1291"/>
      <c r="H18" s="1292"/>
      <c r="I18" s="1292"/>
      <c r="J18" s="1292"/>
      <c r="K18" s="1292"/>
      <c r="L18" s="1292"/>
      <c r="M18" s="1293"/>
      <c r="N18" s="1293"/>
      <c r="O18" s="1293"/>
      <c r="P18" s="1293"/>
      <c r="Q18" s="1293"/>
      <c r="R18" s="1294"/>
      <c r="S18" s="1294"/>
      <c r="T18" s="1294"/>
      <c r="U18" s="1294"/>
      <c r="V18" s="1294"/>
    </row>
    <row r="19" spans="1:22" x14ac:dyDescent="0.2">
      <c r="A19" s="1290"/>
      <c r="B19" s="394" t="str">
        <f>+'B) Reajuste Tarifas y Ocupación'!B24</f>
        <v>Media Jornada</v>
      </c>
      <c r="C19" s="395">
        <f>+'B) Reajuste Tarifas y Ocupación'!M24</f>
        <v>208600</v>
      </c>
      <c r="D19" s="396">
        <f>+'B) Reajuste Tarifas y Ocupación'!N24</f>
        <v>281500</v>
      </c>
      <c r="E19" s="396">
        <f>+'B) Reajuste Tarifas y Ocupación'!O24</f>
        <v>292000</v>
      </c>
      <c r="F19" s="396">
        <f>+'B) Reajuste Tarifas y Ocupación'!P24</f>
        <v>312700</v>
      </c>
      <c r="G19" s="397">
        <f>+'B) Reajuste Tarifas y Ocupación'!Q24</f>
        <v>416900</v>
      </c>
      <c r="H19" s="415">
        <f>+'B) Reajuste Tarifas y Ocupación'!C24</f>
        <v>196700</v>
      </c>
      <c r="I19" s="416">
        <f>+'B) Reajuste Tarifas y Ocupación'!D24</f>
        <v>236000</v>
      </c>
      <c r="J19" s="416">
        <f>+'B) Reajuste Tarifas y Ocupación'!E24</f>
        <v>236000</v>
      </c>
      <c r="K19" s="416">
        <f>+'B) Reajuste Tarifas y Ocupación'!F24</f>
        <v>295000</v>
      </c>
      <c r="L19" s="417">
        <f>+'B) Reajuste Tarifas y Ocupación'!G24</f>
        <v>393300</v>
      </c>
      <c r="M19" s="401">
        <f t="shared" ref="M19:Q20" si="6">C19-H19</f>
        <v>11900</v>
      </c>
      <c r="N19" s="402">
        <f t="shared" si="6"/>
        <v>45500</v>
      </c>
      <c r="O19" s="402">
        <f t="shared" si="6"/>
        <v>56000</v>
      </c>
      <c r="P19" s="402">
        <f t="shared" si="6"/>
        <v>17700</v>
      </c>
      <c r="Q19" s="418">
        <f t="shared" si="6"/>
        <v>23600</v>
      </c>
      <c r="R19" s="419">
        <f>+'B) Reajuste Tarifas y Ocupación'!H24</f>
        <v>0.06</v>
      </c>
      <c r="S19" s="420">
        <f>+'B) Reajuste Tarifas y Ocupación'!I24</f>
        <v>0.06</v>
      </c>
      <c r="T19" s="420">
        <f>+'B) Reajuste Tarifas y Ocupación'!J24</f>
        <v>0.06</v>
      </c>
      <c r="U19" s="420">
        <f>+'B) Reajuste Tarifas y Ocupación'!K24</f>
        <v>0.06</v>
      </c>
      <c r="V19" s="421">
        <f>+'B) Reajuste Tarifas y Ocupación'!L24</f>
        <v>0.06</v>
      </c>
    </row>
    <row r="20" spans="1:22" x14ac:dyDescent="0.2">
      <c r="A20" s="1285" t="str">
        <f>+'B) Reajuste Tarifas y Ocupación'!A25</f>
        <v>Sala Cuna Mar Azul</v>
      </c>
      <c r="B20" s="384" t="str">
        <f>+'B) Reajuste Tarifas y Ocupación'!B25</f>
        <v>Diurna</v>
      </c>
      <c r="C20" s="422">
        <f>+'B) Reajuste Tarifas y Ocupación'!M25</f>
        <v>347400</v>
      </c>
      <c r="D20" s="423">
        <f>+'B) Reajuste Tarifas y Ocupación'!N25</f>
        <v>469000</v>
      </c>
      <c r="E20" s="423">
        <f>+'B) Reajuste Tarifas y Ocupación'!O25</f>
        <v>486400</v>
      </c>
      <c r="F20" s="423">
        <f>+'B) Reajuste Tarifas y Ocupación'!P25</f>
        <v>434200</v>
      </c>
      <c r="G20" s="424">
        <f>+'B) Reajuste Tarifas y Ocupación'!Q25</f>
        <v>521100</v>
      </c>
      <c r="H20" s="388">
        <f>+'B) Reajuste Tarifas y Ocupación'!C25</f>
        <v>327700</v>
      </c>
      <c r="I20" s="389">
        <f>+'B) Reajuste Tarifas y Ocupación'!D25</f>
        <v>393300</v>
      </c>
      <c r="J20" s="389">
        <f>+'B) Reajuste Tarifas y Ocupación'!E25</f>
        <v>393300</v>
      </c>
      <c r="K20" s="389">
        <f>+'B) Reajuste Tarifas y Ocupación'!F25</f>
        <v>409600</v>
      </c>
      <c r="L20" s="390">
        <f>+'B) Reajuste Tarifas y Ocupación'!G25</f>
        <v>491600</v>
      </c>
      <c r="M20" s="79">
        <f t="shared" si="6"/>
        <v>19700</v>
      </c>
      <c r="N20" s="80">
        <f t="shared" si="6"/>
        <v>75700</v>
      </c>
      <c r="O20" s="80">
        <f t="shared" si="6"/>
        <v>93100</v>
      </c>
      <c r="P20" s="80">
        <f t="shared" si="6"/>
        <v>24600</v>
      </c>
      <c r="Q20" s="82">
        <f t="shared" si="6"/>
        <v>29500</v>
      </c>
      <c r="R20" s="391">
        <f>+'B) Reajuste Tarifas y Ocupación'!H25</f>
        <v>0.06</v>
      </c>
      <c r="S20" s="413">
        <f>+'B) Reajuste Tarifas y Ocupación'!I25</f>
        <v>0.06</v>
      </c>
      <c r="T20" s="413">
        <f>+'B) Reajuste Tarifas y Ocupación'!J25</f>
        <v>0.06</v>
      </c>
      <c r="U20" s="413">
        <f>+'B) Reajuste Tarifas y Ocupación'!K25</f>
        <v>0.06</v>
      </c>
      <c r="V20" s="414">
        <f>+'B) Reajuste Tarifas y Ocupación'!L25</f>
        <v>0.06</v>
      </c>
    </row>
    <row r="21" spans="1:22" x14ac:dyDescent="0.2">
      <c r="A21" s="1285"/>
      <c r="B21" s="394" t="str">
        <f>+'B) Reajuste Tarifas y Ocupación'!B26</f>
        <v>Nocturna</v>
      </c>
      <c r="C21" s="425">
        <f>+'B) Reajuste Tarifas y Ocupación'!M26</f>
        <v>280200</v>
      </c>
      <c r="D21" s="1286"/>
      <c r="E21" s="1286"/>
      <c r="F21" s="1286"/>
      <c r="G21" s="1286"/>
      <c r="H21" s="426">
        <f>+'B) Reajuste Tarifas y Ocupación'!C26</f>
        <v>264300</v>
      </c>
      <c r="I21" s="1287"/>
      <c r="J21" s="1287"/>
      <c r="K21" s="1287"/>
      <c r="L21" s="1287"/>
      <c r="M21" s="100">
        <f>C21-H21</f>
        <v>15900</v>
      </c>
      <c r="N21" s="1288"/>
      <c r="O21" s="1288"/>
      <c r="P21" s="1288"/>
      <c r="Q21" s="1288"/>
      <c r="R21" s="427">
        <f>+'B) Reajuste Tarifas y Ocupación'!H26</f>
        <v>0.06</v>
      </c>
      <c r="S21" s="1289"/>
      <c r="T21" s="1289"/>
      <c r="U21" s="1289"/>
      <c r="V21" s="1289"/>
    </row>
    <row r="22" spans="1:22" x14ac:dyDescent="0.2">
      <c r="A22" s="1285"/>
      <c r="B22" s="428" t="str">
        <f>+'B) Reajuste Tarifas y Ocupación'!B27</f>
        <v>Media Jornada</v>
      </c>
      <c r="C22" s="395">
        <f>+'B) Reajuste Tarifas y Ocupación'!M27</f>
        <v>208600</v>
      </c>
      <c r="D22" s="396">
        <f>+'B) Reajuste Tarifas y Ocupación'!N27</f>
        <v>281500</v>
      </c>
      <c r="E22" s="396">
        <f>+'B) Reajuste Tarifas y Ocupación'!O27</f>
        <v>292000</v>
      </c>
      <c r="F22" s="396">
        <f>+'B) Reajuste Tarifas y Ocupación'!P27</f>
        <v>312700</v>
      </c>
      <c r="G22" s="397">
        <f>+'B) Reajuste Tarifas y Ocupación'!Q27</f>
        <v>416900</v>
      </c>
      <c r="H22" s="415">
        <f>+'B) Reajuste Tarifas y Ocupación'!C27</f>
        <v>196700</v>
      </c>
      <c r="I22" s="416">
        <f>+'B) Reajuste Tarifas y Ocupación'!D27</f>
        <v>236000</v>
      </c>
      <c r="J22" s="416">
        <f>+'B) Reajuste Tarifas y Ocupación'!E27</f>
        <v>236000</v>
      </c>
      <c r="K22" s="416">
        <f>+'B) Reajuste Tarifas y Ocupación'!F27</f>
        <v>295000</v>
      </c>
      <c r="L22" s="417">
        <f>+'B) Reajuste Tarifas y Ocupación'!G27</f>
        <v>393300</v>
      </c>
      <c r="M22" s="401">
        <f>C22-H22</f>
        <v>11900</v>
      </c>
      <c r="N22" s="402">
        <f>D22-I22</f>
        <v>45500</v>
      </c>
      <c r="O22" s="402">
        <f>E22-J22</f>
        <v>56000</v>
      </c>
      <c r="P22" s="402">
        <f>F22-K22</f>
        <v>17700</v>
      </c>
      <c r="Q22" s="418">
        <f>G22-L22</f>
        <v>23600</v>
      </c>
      <c r="R22" s="419">
        <f>+'B) Reajuste Tarifas y Ocupación'!H27</f>
        <v>0.06</v>
      </c>
      <c r="S22" s="420">
        <f>+'B) Reajuste Tarifas y Ocupación'!I27</f>
        <v>0.06</v>
      </c>
      <c r="T22" s="420">
        <f>+'B) Reajuste Tarifas y Ocupación'!J27</f>
        <v>0.06</v>
      </c>
      <c r="U22" s="420">
        <f>+'B) Reajuste Tarifas y Ocupación'!K27</f>
        <v>0.06</v>
      </c>
      <c r="V22" s="421">
        <f>+'B) Reajuste Tarifas y Ocupación'!L27</f>
        <v>0.06</v>
      </c>
    </row>
  </sheetData>
  <sheetProtection algorithmName="SHA-512" hashValue="NBPySlzvNPpysu75uzCoRSkgANySH6pnumOnaKGCYAmBZbedK/9QmNd5uLZqpsB7aueoCddwkTcv7dm0zPztUg==" saltValue="4cpXMbNx0BcmSE94MWVKew==" spinCount="100000" sheet="1" objects="1" scenarios="1"/>
  <mergeCells count="25">
    <mergeCell ref="M8:Q8"/>
    <mergeCell ref="R8:V8"/>
    <mergeCell ref="A10:A11"/>
    <mergeCell ref="A12:A13"/>
    <mergeCell ref="G4:H4"/>
    <mergeCell ref="A6:D6"/>
    <mergeCell ref="A8:A9"/>
    <mergeCell ref="B8:B9"/>
    <mergeCell ref="C8:G8"/>
    <mergeCell ref="H8:L8"/>
    <mergeCell ref="A15:A16"/>
    <mergeCell ref="C15:G16"/>
    <mergeCell ref="H15:L16"/>
    <mergeCell ref="M15:Q16"/>
    <mergeCell ref="R15:V16"/>
    <mergeCell ref="A17:A19"/>
    <mergeCell ref="C18:G18"/>
    <mergeCell ref="H18:L18"/>
    <mergeCell ref="M18:Q18"/>
    <mergeCell ref="R18:V18"/>
    <mergeCell ref="A20:A22"/>
    <mergeCell ref="D21:G21"/>
    <mergeCell ref="I21:L21"/>
    <mergeCell ref="N21:Q21"/>
    <mergeCell ref="S21:V21"/>
  </mergeCells>
  <conditionalFormatting sqref="M17:Q17 M15 M19:Q20 M18 M22:Q22 M21:N21 M10:Q14">
    <cfRule type="cellIs" dxfId="0" priority="2" operator="lessThan">
      <formula>0</formula>
    </cfRule>
  </conditionalFormatting>
  <pageMargins left="0.75" right="0.75" top="1" bottom="0.64583333333333304" header="0" footer="0.51180555555555496"/>
  <pageSetup firstPageNumber="0" fitToHeight="14" orientation="landscape" horizontalDpi="300" verticalDpi="300"/>
  <headerFooter>
    <oddHeader>&amp;LSEPT - 2004&amp;CDIRECTIVA D.B.S.A.
ORDINARIA&amp;R02-BS0307/02
Pag &amp;P de &amp;N/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C000"/>
  </sheetPr>
  <dimension ref="A1:AMK147"/>
  <sheetViews>
    <sheetView showGridLines="0" zoomScale="86" zoomScaleNormal="86" workbookViewId="0">
      <selection activeCell="O31" sqref="O31"/>
    </sheetView>
  </sheetViews>
  <sheetFormatPr baseColWidth="10" defaultColWidth="9.140625" defaultRowHeight="12.75" x14ac:dyDescent="0.2"/>
  <cols>
    <col min="1" max="1" width="7.42578125" style="429"/>
    <col min="2" max="2" width="38.42578125" style="429"/>
    <col min="3" max="3" width="29" style="429"/>
    <col min="4" max="4" width="25" style="429"/>
    <col min="5" max="5" width="25.85546875" style="429"/>
    <col min="6" max="6" width="32.5703125" style="429"/>
    <col min="7" max="10" width="15.42578125" style="429"/>
    <col min="11" max="11" width="19.5703125" style="429"/>
    <col min="12" max="12" width="27.5703125" style="429"/>
    <col min="13" max="13" width="16.42578125" style="429"/>
    <col min="14" max="14" width="17.42578125" style="429"/>
    <col min="15" max="15" width="15.42578125" style="429"/>
    <col min="16" max="16" width="18.140625" style="429"/>
    <col min="17" max="17" width="17.42578125" style="429"/>
    <col min="18" max="18" width="18.42578125" style="430"/>
    <col min="19" max="19" width="16.85546875" style="429"/>
    <col min="20" max="20" width="16.42578125" style="429"/>
    <col min="21" max="21" width="15.42578125" style="429"/>
    <col min="22" max="22" width="16.42578125" style="429"/>
    <col min="23" max="23" width="14.85546875" style="429"/>
    <col min="24" max="24" width="15.42578125" style="429"/>
    <col min="25" max="25" width="14.42578125" style="429"/>
    <col min="26" max="26" width="17.42578125" style="429"/>
    <col min="27" max="27" width="18" style="429"/>
    <col min="28" max="28" width="15.5703125" style="429"/>
    <col min="29" max="29" width="20.42578125" style="429"/>
    <col min="30" max="30" width="17.85546875" style="429"/>
    <col min="31" max="31" width="12.42578125" style="429"/>
    <col min="32" max="1025" width="11.5703125" style="429"/>
    <col min="1026" max="16384" width="9.140625" style="579"/>
  </cols>
  <sheetData>
    <row r="1" spans="1:259" s="21" customFormat="1" x14ac:dyDescent="0.2">
      <c r="C1" s="22"/>
      <c r="D1" s="22"/>
      <c r="E1" s="4" t="s">
        <v>234</v>
      </c>
      <c r="F1" s="4"/>
      <c r="G1" s="4"/>
      <c r="H1" s="628"/>
      <c r="I1" s="4"/>
      <c r="J1" s="4"/>
      <c r="K1" s="22"/>
      <c r="IM1" s="19"/>
      <c r="IN1" s="19"/>
    </row>
    <row r="2" spans="1:259" x14ac:dyDescent="0.2">
      <c r="A2" s="21"/>
      <c r="B2" s="21"/>
      <c r="E2" s="4" t="s">
        <v>235</v>
      </c>
      <c r="F2" s="4"/>
      <c r="G2" s="4"/>
      <c r="H2" s="628"/>
      <c r="I2" s="4"/>
      <c r="J2" s="4"/>
      <c r="IM2" s="19"/>
      <c r="IN2" s="19"/>
    </row>
    <row r="3" spans="1:259" x14ac:dyDescent="0.2">
      <c r="A3" s="21"/>
      <c r="B3" s="25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ID3" s="19"/>
      <c r="IE3" s="19"/>
      <c r="IF3" s="19"/>
      <c r="IG3" s="19"/>
      <c r="IH3" s="19"/>
      <c r="II3" s="19"/>
    </row>
    <row r="4" spans="1:259" ht="18.75" customHeight="1" x14ac:dyDescent="0.2">
      <c r="A4" s="21"/>
      <c r="B4" s="25"/>
      <c r="D4" s="565" t="s">
        <v>27</v>
      </c>
      <c r="E4" s="615" t="str">
        <f>+'B) Reajuste Tarifas y Ocupación'!F5</f>
        <v>BIENVALP</v>
      </c>
      <c r="F4" s="431"/>
      <c r="G4" s="432"/>
      <c r="H4" s="432"/>
      <c r="I4" s="432"/>
      <c r="J4" s="432"/>
      <c r="N4" s="26"/>
      <c r="ID4" s="19"/>
      <c r="IE4" s="19"/>
      <c r="IF4" s="19"/>
      <c r="IG4" s="19"/>
      <c r="IH4" s="19"/>
      <c r="II4" s="19"/>
    </row>
    <row r="5" spans="1:259" x14ac:dyDescent="0.2">
      <c r="A5" s="21"/>
      <c r="B5" s="25"/>
      <c r="D5" s="569"/>
      <c r="E5" s="4"/>
      <c r="F5" s="4"/>
      <c r="G5" s="4"/>
      <c r="H5" s="628"/>
      <c r="I5" s="4"/>
      <c r="J5" s="4"/>
      <c r="N5" s="26"/>
      <c r="ID5" s="19"/>
      <c r="IE5" s="19"/>
      <c r="IF5" s="19"/>
      <c r="IG5" s="19"/>
      <c r="IH5" s="19"/>
      <c r="II5" s="19"/>
    </row>
    <row r="6" spans="1:259" x14ac:dyDescent="0.2">
      <c r="A6" s="21"/>
      <c r="B6" s="25"/>
      <c r="D6" s="569"/>
      <c r="E6" s="4"/>
      <c r="F6" s="4"/>
      <c r="G6" s="4"/>
      <c r="H6" s="628"/>
      <c r="I6" s="4"/>
      <c r="J6" s="4"/>
      <c r="N6" s="26"/>
      <c r="ID6" s="19"/>
      <c r="IE6" s="19"/>
      <c r="IF6" s="19"/>
      <c r="IG6" s="19"/>
      <c r="IH6" s="19"/>
      <c r="II6" s="19"/>
    </row>
    <row r="7" spans="1:259" s="21" customFormat="1" ht="15.75" x14ac:dyDescent="0.2">
      <c r="B7" s="1211" t="s">
        <v>20</v>
      </c>
      <c r="C7" s="1211"/>
      <c r="D7" s="1211"/>
      <c r="E7" s="1211"/>
      <c r="F7" s="567"/>
      <c r="G7" s="567"/>
      <c r="H7" s="765"/>
      <c r="I7" s="567"/>
      <c r="J7" s="567"/>
      <c r="K7" s="433" t="s">
        <v>168</v>
      </c>
      <c r="L7" s="434">
        <v>0.13</v>
      </c>
      <c r="N7" s="26"/>
      <c r="ID7" s="19"/>
      <c r="IE7" s="19"/>
      <c r="IF7" s="19"/>
      <c r="IG7" s="19"/>
      <c r="IH7" s="19"/>
      <c r="II7" s="19"/>
    </row>
    <row r="9" spans="1:259" ht="15" customHeight="1" x14ac:dyDescent="0.2">
      <c r="B9" s="1198" t="s">
        <v>29</v>
      </c>
      <c r="C9" s="1331" t="s">
        <v>170</v>
      </c>
      <c r="D9" s="1331" t="s">
        <v>171</v>
      </c>
      <c r="E9" s="1199" t="s">
        <v>172</v>
      </c>
      <c r="F9" s="1329" t="s">
        <v>151</v>
      </c>
      <c r="G9" s="1199" t="s">
        <v>236</v>
      </c>
      <c r="H9" s="1199" t="s">
        <v>339</v>
      </c>
      <c r="I9" s="1199" t="s">
        <v>178</v>
      </c>
      <c r="J9" s="1199" t="s">
        <v>179</v>
      </c>
      <c r="K9" s="1313" t="s">
        <v>340</v>
      </c>
      <c r="L9" s="1310" t="s">
        <v>344</v>
      </c>
      <c r="O9" s="435"/>
      <c r="P9" s="435"/>
      <c r="Q9" s="435"/>
      <c r="R9" s="435"/>
      <c r="S9" s="435"/>
      <c r="T9" s="435"/>
    </row>
    <row r="10" spans="1:259" ht="36.75" customHeight="1" thickBot="1" x14ac:dyDescent="0.25">
      <c r="B10" s="1198"/>
      <c r="C10" s="1331"/>
      <c r="D10" s="1331"/>
      <c r="E10" s="1199"/>
      <c r="F10" s="1329"/>
      <c r="G10" s="1199"/>
      <c r="H10" s="1199"/>
      <c r="I10" s="1199"/>
      <c r="J10" s="1199"/>
      <c r="K10" s="1313"/>
      <c r="L10" s="1310"/>
      <c r="M10" s="145"/>
      <c r="N10" s="436"/>
      <c r="O10" s="436"/>
      <c r="P10" s="437"/>
      <c r="Q10" s="437"/>
      <c r="R10" s="437"/>
      <c r="S10" s="145"/>
      <c r="T10" s="1311"/>
      <c r="U10" s="1311"/>
      <c r="V10" s="1311"/>
      <c r="W10" s="1311"/>
      <c r="X10" s="145"/>
    </row>
    <row r="11" spans="1:259" s="3" customFormat="1" ht="13.5" thickBot="1" x14ac:dyDescent="0.25">
      <c r="B11" s="1304" t="str">
        <f>+'B) Reajuste Tarifas y Ocupación'!A12</f>
        <v>Jardín Infantil Lobito Marino</v>
      </c>
      <c r="C11" s="360" t="s">
        <v>449</v>
      </c>
      <c r="D11" s="360" t="s">
        <v>453</v>
      </c>
      <c r="E11" s="360" t="s">
        <v>240</v>
      </c>
      <c r="F11" s="360" t="s">
        <v>62</v>
      </c>
      <c r="G11" s="362">
        <f>642029*12</f>
        <v>7704348</v>
      </c>
      <c r="H11" s="444">
        <f t="shared" ref="H11:H33" si="0">+G11*(1+$L$7)</f>
        <v>8705913.2399999984</v>
      </c>
      <c r="I11" s="362">
        <f>101037+171709</f>
        <v>272746</v>
      </c>
      <c r="J11" s="362">
        <f>74515*2</f>
        <v>149030</v>
      </c>
      <c r="K11" s="455">
        <f t="shared" ref="K11:K62" si="1">SUM(H11:J11)</f>
        <v>9127689.2399999984</v>
      </c>
      <c r="L11" s="1327">
        <f>SUM(K11:K33)</f>
        <v>146329312.90000001</v>
      </c>
      <c r="M11" s="145"/>
      <c r="N11" s="439"/>
      <c r="O11" s="439"/>
      <c r="P11" s="440"/>
      <c r="Q11" s="440"/>
      <c r="R11" s="440"/>
      <c r="S11" s="441"/>
      <c r="T11" s="442"/>
      <c r="U11" s="442"/>
      <c r="V11" s="442"/>
      <c r="W11" s="442"/>
      <c r="X11" s="443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  <c r="BD11" s="19"/>
      <c r="BE11" s="19"/>
      <c r="BF11" s="19"/>
      <c r="BG11" s="19"/>
      <c r="BH11" s="19"/>
      <c r="BI11" s="19"/>
      <c r="BJ11" s="19"/>
      <c r="BK11" s="19"/>
      <c r="BL11" s="19"/>
      <c r="BM11" s="19"/>
      <c r="BN11" s="19"/>
      <c r="BO11" s="19"/>
      <c r="BP11" s="19"/>
      <c r="BQ11" s="19"/>
      <c r="BR11" s="19"/>
      <c r="BS11" s="19"/>
      <c r="BT11" s="19"/>
      <c r="BU11" s="19"/>
      <c r="BV11" s="19"/>
      <c r="BW11" s="19"/>
      <c r="BX11" s="19"/>
      <c r="BY11" s="19"/>
      <c r="BZ11" s="19"/>
      <c r="CA11" s="19"/>
      <c r="CB11" s="19"/>
      <c r="CC11" s="19"/>
      <c r="CD11" s="19"/>
      <c r="CE11" s="19"/>
      <c r="CF11" s="19"/>
      <c r="CG11" s="19"/>
      <c r="CH11" s="19"/>
      <c r="CI11" s="19"/>
      <c r="CJ11" s="19"/>
      <c r="CK11" s="19"/>
      <c r="CL11" s="19"/>
      <c r="CM11" s="19"/>
      <c r="CN11" s="19"/>
      <c r="CO11" s="19"/>
      <c r="CP11" s="19"/>
      <c r="CQ11" s="19"/>
      <c r="CR11" s="19"/>
      <c r="CS11" s="19"/>
      <c r="CT11" s="19"/>
      <c r="CU11" s="19"/>
      <c r="CV11" s="19"/>
      <c r="CW11" s="19"/>
      <c r="CX11" s="19"/>
      <c r="CY11" s="19"/>
      <c r="CZ11" s="19"/>
      <c r="DA11" s="19"/>
      <c r="DB11" s="19"/>
      <c r="DC11" s="19"/>
      <c r="DD11" s="19"/>
      <c r="DE11" s="19"/>
      <c r="DF11" s="19"/>
      <c r="DG11" s="19"/>
      <c r="DH11" s="19"/>
      <c r="DI11" s="19"/>
      <c r="DJ11" s="19"/>
      <c r="DK11" s="19"/>
      <c r="DL11" s="19"/>
      <c r="DM11" s="19"/>
      <c r="DN11" s="19"/>
      <c r="DO11" s="19"/>
      <c r="DP11" s="19"/>
      <c r="DQ11" s="19"/>
      <c r="DR11" s="19"/>
      <c r="DS11" s="19"/>
      <c r="DT11" s="19"/>
      <c r="DU11" s="19"/>
      <c r="DV11" s="19"/>
      <c r="DW11" s="19"/>
      <c r="DX11" s="19"/>
      <c r="DY11" s="19"/>
      <c r="DZ11" s="19"/>
      <c r="EA11" s="19"/>
      <c r="EB11" s="19"/>
      <c r="EC11" s="19"/>
      <c r="ED11" s="19"/>
      <c r="EE11" s="19"/>
      <c r="EF11" s="19"/>
      <c r="EG11" s="19"/>
      <c r="EH11" s="19"/>
      <c r="EI11" s="19"/>
      <c r="EJ11" s="19"/>
      <c r="EK11" s="19"/>
      <c r="EL11" s="19"/>
      <c r="EM11" s="19"/>
      <c r="EN11" s="19"/>
      <c r="EO11" s="19"/>
      <c r="EP11" s="19"/>
      <c r="EQ11" s="19"/>
      <c r="ER11" s="19"/>
      <c r="ES11" s="19"/>
      <c r="ET11" s="19"/>
      <c r="EU11" s="19"/>
      <c r="EV11" s="19"/>
      <c r="EW11" s="19"/>
      <c r="EX11" s="19"/>
      <c r="EY11" s="19"/>
      <c r="EZ11" s="19"/>
      <c r="FA11" s="19"/>
      <c r="FB11" s="19"/>
      <c r="FC11" s="19"/>
      <c r="FD11" s="19"/>
      <c r="FE11" s="19"/>
      <c r="FF11" s="19"/>
      <c r="FG11" s="19"/>
      <c r="FH11" s="19"/>
      <c r="FI11" s="19"/>
      <c r="FJ11" s="19"/>
      <c r="FK11" s="19"/>
      <c r="FL11" s="19"/>
      <c r="FM11" s="19"/>
      <c r="FN11" s="19"/>
      <c r="FO11" s="19"/>
      <c r="FP11" s="19"/>
      <c r="FQ11" s="19"/>
      <c r="FR11" s="19"/>
      <c r="FS11" s="19"/>
      <c r="FT11" s="19"/>
      <c r="FU11" s="19"/>
      <c r="FV11" s="19"/>
      <c r="FW11" s="19"/>
      <c r="FX11" s="19"/>
      <c r="FY11" s="19"/>
      <c r="FZ11" s="19"/>
      <c r="GA11" s="19"/>
      <c r="GB11" s="19"/>
      <c r="GC11" s="19"/>
      <c r="GD11" s="19"/>
      <c r="GE11" s="19"/>
      <c r="GF11" s="19"/>
      <c r="GG11" s="19"/>
      <c r="GH11" s="19"/>
      <c r="GI11" s="19"/>
      <c r="GJ11" s="19"/>
      <c r="GK11" s="19"/>
      <c r="GL11" s="19"/>
      <c r="GM11" s="19"/>
      <c r="GN11" s="19"/>
      <c r="GO11" s="19"/>
      <c r="GP11" s="19"/>
      <c r="GQ11" s="19"/>
      <c r="GR11" s="19"/>
      <c r="GS11" s="19"/>
      <c r="GT11" s="19"/>
      <c r="GU11" s="19"/>
      <c r="GV11" s="19"/>
      <c r="GW11" s="19"/>
      <c r="GX11" s="19"/>
      <c r="GY11" s="19"/>
      <c r="GZ11" s="19"/>
      <c r="HA11" s="19"/>
      <c r="HB11" s="19"/>
      <c r="HC11" s="19"/>
      <c r="HD11" s="19"/>
      <c r="HE11" s="19"/>
      <c r="HF11" s="19"/>
      <c r="HG11" s="19"/>
      <c r="HH11" s="19"/>
      <c r="HI11" s="19"/>
      <c r="HJ11" s="19"/>
      <c r="HK11" s="19"/>
      <c r="HL11" s="19"/>
      <c r="HM11" s="19"/>
      <c r="HN11" s="19"/>
      <c r="HO11" s="19"/>
      <c r="HP11" s="19"/>
      <c r="HQ11" s="19"/>
      <c r="HR11" s="19"/>
      <c r="HS11" s="19"/>
      <c r="HT11" s="19"/>
      <c r="HU11" s="19"/>
      <c r="HV11" s="19"/>
      <c r="HW11" s="19"/>
      <c r="HX11" s="19"/>
      <c r="HY11" s="19"/>
      <c r="HZ11" s="19"/>
      <c r="IA11" s="19"/>
      <c r="IB11" s="19"/>
      <c r="IC11" s="19"/>
      <c r="ID11" s="19"/>
      <c r="IE11" s="19"/>
      <c r="IF11" s="19"/>
      <c r="IG11" s="19"/>
      <c r="IH11" s="19"/>
      <c r="II11" s="19"/>
      <c r="IJ11" s="19"/>
      <c r="IK11" s="19"/>
      <c r="IL11" s="19"/>
      <c r="IM11" s="19"/>
      <c r="IN11" s="19"/>
      <c r="IO11" s="19"/>
      <c r="IP11" s="19"/>
      <c r="IQ11" s="19"/>
      <c r="IR11" s="19"/>
      <c r="IS11" s="19"/>
      <c r="IT11" s="19"/>
      <c r="IU11" s="19"/>
      <c r="IV11" s="19"/>
      <c r="IW11" s="19"/>
      <c r="IX11" s="19"/>
      <c r="IY11" s="19"/>
    </row>
    <row r="12" spans="1:259" ht="13.5" thickBot="1" x14ac:dyDescent="0.25">
      <c r="A12" s="3"/>
      <c r="B12" s="1304"/>
      <c r="C12" s="360" t="s">
        <v>454</v>
      </c>
      <c r="D12" s="360" t="s">
        <v>412</v>
      </c>
      <c r="E12" s="360" t="s">
        <v>240</v>
      </c>
      <c r="F12" s="360" t="s">
        <v>62</v>
      </c>
      <c r="G12" s="362">
        <f>776921*12</f>
        <v>9323052</v>
      </c>
      <c r="H12" s="444">
        <f t="shared" si="0"/>
        <v>10535048.76</v>
      </c>
      <c r="I12" s="362">
        <f t="shared" ref="I12:I26" si="2">101037+171709</f>
        <v>272746</v>
      </c>
      <c r="J12" s="362">
        <f t="shared" ref="J12:J21" si="3">74515*2</f>
        <v>149030</v>
      </c>
      <c r="K12" s="455">
        <f t="shared" si="1"/>
        <v>10956824.76</v>
      </c>
      <c r="L12" s="1327"/>
      <c r="M12" s="145"/>
      <c r="N12" s="439"/>
      <c r="O12" s="439"/>
      <c r="P12" s="437"/>
      <c r="Q12" s="437"/>
      <c r="R12" s="437"/>
      <c r="S12" s="441"/>
      <c r="T12" s="442"/>
      <c r="U12" s="442"/>
      <c r="V12" s="442"/>
      <c r="W12" s="442"/>
      <c r="X12" s="443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19"/>
      <c r="BN12" s="19"/>
      <c r="BO12" s="19"/>
      <c r="BP12" s="19"/>
      <c r="BQ12" s="19"/>
      <c r="BR12" s="19"/>
      <c r="BS12" s="19"/>
      <c r="BT12" s="19"/>
      <c r="BU12" s="19"/>
      <c r="BV12" s="19"/>
      <c r="BW12" s="19"/>
      <c r="BX12" s="19"/>
      <c r="BY12" s="19"/>
      <c r="BZ12" s="19"/>
      <c r="CA12" s="19"/>
      <c r="CB12" s="19"/>
      <c r="CC12" s="19"/>
      <c r="CD12" s="19"/>
      <c r="CE12" s="19"/>
      <c r="CF12" s="19"/>
      <c r="CG12" s="19"/>
      <c r="CH12" s="19"/>
      <c r="CI12" s="19"/>
      <c r="CJ12" s="19"/>
      <c r="CK12" s="19"/>
      <c r="CL12" s="19"/>
      <c r="CM12" s="19"/>
      <c r="CN12" s="19"/>
      <c r="CO12" s="19"/>
      <c r="CP12" s="19"/>
      <c r="CQ12" s="19"/>
      <c r="CR12" s="19"/>
      <c r="CS12" s="19"/>
      <c r="CT12" s="19"/>
      <c r="CU12" s="19"/>
      <c r="CV12" s="19"/>
      <c r="CW12" s="19"/>
      <c r="CX12" s="19"/>
      <c r="CY12" s="19"/>
      <c r="CZ12" s="19"/>
      <c r="DA12" s="19"/>
      <c r="DB12" s="19"/>
      <c r="DC12" s="19"/>
      <c r="DD12" s="19"/>
      <c r="DE12" s="19"/>
      <c r="DF12" s="19"/>
      <c r="DG12" s="19"/>
      <c r="DH12" s="19"/>
      <c r="DI12" s="19"/>
      <c r="DJ12" s="19"/>
      <c r="DK12" s="19"/>
      <c r="DL12" s="19"/>
      <c r="DM12" s="19"/>
      <c r="DN12" s="19"/>
      <c r="DO12" s="19"/>
      <c r="DP12" s="19"/>
      <c r="DQ12" s="19"/>
      <c r="DR12" s="19"/>
      <c r="DS12" s="19"/>
      <c r="DT12" s="19"/>
      <c r="DU12" s="19"/>
      <c r="DV12" s="19"/>
      <c r="DW12" s="19"/>
      <c r="DX12" s="19"/>
      <c r="DY12" s="19"/>
      <c r="DZ12" s="19"/>
      <c r="EA12" s="19"/>
      <c r="EB12" s="19"/>
      <c r="EC12" s="19"/>
      <c r="ED12" s="19"/>
      <c r="EE12" s="19"/>
      <c r="EF12" s="19"/>
      <c r="EG12" s="19"/>
      <c r="EH12" s="19"/>
      <c r="EI12" s="19"/>
      <c r="EJ12" s="19"/>
      <c r="EK12" s="19"/>
      <c r="EL12" s="19"/>
      <c r="EM12" s="19"/>
      <c r="EN12" s="19"/>
      <c r="EO12" s="19"/>
      <c r="EP12" s="19"/>
      <c r="EQ12" s="19"/>
      <c r="ER12" s="19"/>
      <c r="ES12" s="19"/>
      <c r="ET12" s="19"/>
      <c r="EU12" s="19"/>
      <c r="EV12" s="19"/>
      <c r="EW12" s="19"/>
      <c r="EX12" s="19"/>
      <c r="EY12" s="19"/>
      <c r="EZ12" s="19"/>
      <c r="FA12" s="19"/>
      <c r="FB12" s="19"/>
      <c r="FC12" s="19"/>
      <c r="FD12" s="19"/>
      <c r="FE12" s="19"/>
      <c r="FF12" s="19"/>
      <c r="FG12" s="19"/>
      <c r="FH12" s="19"/>
      <c r="FI12" s="19"/>
      <c r="FJ12" s="19"/>
      <c r="FK12" s="19"/>
      <c r="FL12" s="19"/>
      <c r="FM12" s="19"/>
      <c r="FN12" s="19"/>
      <c r="FO12" s="19"/>
      <c r="FP12" s="19"/>
      <c r="FQ12" s="19"/>
      <c r="FR12" s="19"/>
      <c r="FS12" s="19"/>
      <c r="FT12" s="19"/>
      <c r="FU12" s="19"/>
      <c r="FV12" s="19"/>
      <c r="FW12" s="19"/>
      <c r="FX12" s="19"/>
      <c r="FY12" s="19"/>
      <c r="FZ12" s="19"/>
      <c r="GA12" s="19"/>
      <c r="GB12" s="19"/>
      <c r="GC12" s="19"/>
      <c r="GD12" s="19"/>
      <c r="GE12" s="19"/>
      <c r="GF12" s="19"/>
      <c r="GG12" s="19"/>
      <c r="GH12" s="19"/>
      <c r="GI12" s="19"/>
      <c r="GJ12" s="19"/>
      <c r="GK12" s="19"/>
      <c r="GL12" s="19"/>
      <c r="GM12" s="19"/>
      <c r="GN12" s="19"/>
      <c r="GO12" s="19"/>
      <c r="GP12" s="19"/>
      <c r="GQ12" s="19"/>
      <c r="GR12" s="19"/>
      <c r="GS12" s="19"/>
      <c r="GT12" s="19"/>
      <c r="GU12" s="19"/>
      <c r="GV12" s="19"/>
      <c r="GW12" s="19"/>
      <c r="GX12" s="19"/>
      <c r="GY12" s="19"/>
      <c r="GZ12" s="19"/>
      <c r="HA12" s="19"/>
      <c r="HB12" s="19"/>
      <c r="HC12" s="19"/>
      <c r="HD12" s="19"/>
      <c r="HE12" s="19"/>
      <c r="HF12" s="19"/>
      <c r="HG12" s="19"/>
      <c r="HH12" s="19"/>
      <c r="HI12" s="19"/>
      <c r="HJ12" s="19"/>
      <c r="HK12" s="19"/>
      <c r="HL12" s="19"/>
      <c r="HM12" s="19"/>
      <c r="HN12" s="19"/>
      <c r="HO12" s="19"/>
      <c r="HP12" s="19"/>
      <c r="HQ12" s="19"/>
      <c r="HR12" s="19"/>
      <c r="HS12" s="19"/>
      <c r="HT12" s="19"/>
      <c r="HU12" s="19"/>
      <c r="HV12" s="19"/>
      <c r="HW12" s="19"/>
      <c r="HX12" s="19"/>
      <c r="HY12" s="19"/>
      <c r="HZ12" s="19"/>
      <c r="IA12" s="19"/>
      <c r="IB12" s="19"/>
      <c r="IC12" s="19"/>
      <c r="ID12" s="19"/>
      <c r="IE12" s="19"/>
      <c r="IF12" s="19"/>
      <c r="IG12" s="19"/>
      <c r="IH12" s="19"/>
      <c r="II12" s="19"/>
      <c r="IJ12" s="19"/>
      <c r="IK12" s="19"/>
      <c r="IL12" s="19"/>
      <c r="IM12" s="19"/>
      <c r="IN12" s="19"/>
      <c r="IO12" s="19"/>
      <c r="IP12" s="19"/>
      <c r="IQ12" s="19"/>
      <c r="IR12" s="19"/>
      <c r="IS12" s="19"/>
      <c r="IT12" s="19"/>
      <c r="IU12" s="19"/>
      <c r="IV12" s="19"/>
      <c r="IW12" s="19"/>
      <c r="IX12" s="19"/>
      <c r="IY12" s="19"/>
    </row>
    <row r="13" spans="1:259" ht="13.5" thickBot="1" x14ac:dyDescent="0.25">
      <c r="A13" s="3"/>
      <c r="B13" s="1304"/>
      <c r="C13" s="360" t="s">
        <v>455</v>
      </c>
      <c r="D13" s="360" t="s">
        <v>456</v>
      </c>
      <c r="E13" s="360" t="s">
        <v>240</v>
      </c>
      <c r="F13" s="360" t="s">
        <v>62</v>
      </c>
      <c r="G13" s="362">
        <f>656606*12</f>
        <v>7879272</v>
      </c>
      <c r="H13" s="444">
        <f t="shared" si="0"/>
        <v>8903577.3599999994</v>
      </c>
      <c r="I13" s="362">
        <f t="shared" si="2"/>
        <v>272746</v>
      </c>
      <c r="J13" s="362">
        <f t="shared" si="3"/>
        <v>149030</v>
      </c>
      <c r="K13" s="455">
        <f t="shared" si="1"/>
        <v>9325353.3599999994</v>
      </c>
      <c r="L13" s="1327"/>
      <c r="M13" s="145"/>
      <c r="N13" s="439"/>
      <c r="O13" s="439"/>
      <c r="P13" s="437"/>
      <c r="Q13" s="437"/>
      <c r="R13" s="437"/>
      <c r="S13" s="441"/>
      <c r="T13" s="442"/>
      <c r="U13" s="442"/>
      <c r="V13" s="442"/>
      <c r="W13" s="442"/>
      <c r="X13" s="443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  <c r="AQ13" s="19"/>
      <c r="AR13" s="19"/>
      <c r="AS13" s="19"/>
      <c r="AT13" s="19"/>
      <c r="AU13" s="19"/>
      <c r="AV13" s="19"/>
      <c r="AW13" s="19"/>
      <c r="AX13" s="19"/>
      <c r="AY13" s="19"/>
      <c r="AZ13" s="19"/>
      <c r="BA13" s="19"/>
      <c r="BB13" s="19"/>
      <c r="BC13" s="19"/>
      <c r="BD13" s="19"/>
      <c r="BE13" s="19"/>
      <c r="BF13" s="19"/>
      <c r="BG13" s="19"/>
      <c r="BH13" s="19"/>
      <c r="BI13" s="19"/>
      <c r="BJ13" s="19"/>
      <c r="BK13" s="19"/>
      <c r="BL13" s="19"/>
      <c r="BM13" s="19"/>
      <c r="BN13" s="19"/>
      <c r="BO13" s="19"/>
      <c r="BP13" s="19"/>
      <c r="BQ13" s="19"/>
      <c r="BR13" s="19"/>
      <c r="BS13" s="19"/>
      <c r="BT13" s="19"/>
      <c r="BU13" s="19"/>
      <c r="BV13" s="19"/>
      <c r="BW13" s="19"/>
      <c r="BX13" s="19"/>
      <c r="BY13" s="19"/>
      <c r="BZ13" s="19"/>
      <c r="CA13" s="19"/>
      <c r="CB13" s="19"/>
      <c r="CC13" s="19"/>
      <c r="CD13" s="19"/>
      <c r="CE13" s="19"/>
      <c r="CF13" s="19"/>
      <c r="CG13" s="19"/>
      <c r="CH13" s="19"/>
      <c r="CI13" s="19"/>
      <c r="CJ13" s="19"/>
      <c r="CK13" s="19"/>
      <c r="CL13" s="19"/>
      <c r="CM13" s="19"/>
      <c r="CN13" s="19"/>
      <c r="CO13" s="19"/>
      <c r="CP13" s="19"/>
      <c r="CQ13" s="19"/>
      <c r="CR13" s="19"/>
      <c r="CS13" s="19"/>
      <c r="CT13" s="19"/>
      <c r="CU13" s="19"/>
      <c r="CV13" s="19"/>
      <c r="CW13" s="19"/>
      <c r="CX13" s="19"/>
      <c r="CY13" s="19"/>
      <c r="CZ13" s="19"/>
      <c r="DA13" s="19"/>
      <c r="DB13" s="19"/>
      <c r="DC13" s="19"/>
      <c r="DD13" s="19"/>
      <c r="DE13" s="19"/>
      <c r="DF13" s="19"/>
      <c r="DG13" s="19"/>
      <c r="DH13" s="19"/>
      <c r="DI13" s="19"/>
      <c r="DJ13" s="19"/>
      <c r="DK13" s="19"/>
      <c r="DL13" s="19"/>
      <c r="DM13" s="19"/>
      <c r="DN13" s="19"/>
      <c r="DO13" s="19"/>
      <c r="DP13" s="19"/>
      <c r="DQ13" s="19"/>
      <c r="DR13" s="19"/>
      <c r="DS13" s="19"/>
      <c r="DT13" s="19"/>
      <c r="DU13" s="19"/>
      <c r="DV13" s="19"/>
      <c r="DW13" s="19"/>
      <c r="DX13" s="19"/>
      <c r="DY13" s="19"/>
      <c r="DZ13" s="19"/>
      <c r="EA13" s="19"/>
      <c r="EB13" s="19"/>
      <c r="EC13" s="19"/>
      <c r="ED13" s="19"/>
      <c r="EE13" s="19"/>
      <c r="EF13" s="19"/>
      <c r="EG13" s="19"/>
      <c r="EH13" s="19"/>
      <c r="EI13" s="19"/>
      <c r="EJ13" s="19"/>
      <c r="EK13" s="19"/>
      <c r="EL13" s="19"/>
      <c r="EM13" s="19"/>
      <c r="EN13" s="19"/>
      <c r="EO13" s="19"/>
      <c r="EP13" s="19"/>
      <c r="EQ13" s="19"/>
      <c r="ER13" s="19"/>
      <c r="ES13" s="19"/>
      <c r="ET13" s="19"/>
      <c r="EU13" s="19"/>
      <c r="EV13" s="19"/>
      <c r="EW13" s="19"/>
      <c r="EX13" s="19"/>
      <c r="EY13" s="19"/>
      <c r="EZ13" s="19"/>
      <c r="FA13" s="19"/>
      <c r="FB13" s="19"/>
      <c r="FC13" s="19"/>
      <c r="FD13" s="19"/>
      <c r="FE13" s="19"/>
      <c r="FF13" s="19"/>
      <c r="FG13" s="19"/>
      <c r="FH13" s="19"/>
      <c r="FI13" s="19"/>
      <c r="FJ13" s="19"/>
      <c r="FK13" s="19"/>
      <c r="FL13" s="19"/>
      <c r="FM13" s="19"/>
      <c r="FN13" s="19"/>
      <c r="FO13" s="19"/>
      <c r="FP13" s="19"/>
      <c r="FQ13" s="19"/>
      <c r="FR13" s="19"/>
      <c r="FS13" s="19"/>
      <c r="FT13" s="19"/>
      <c r="FU13" s="19"/>
      <c r="FV13" s="19"/>
      <c r="FW13" s="19"/>
      <c r="FX13" s="19"/>
      <c r="FY13" s="19"/>
      <c r="FZ13" s="19"/>
      <c r="GA13" s="19"/>
      <c r="GB13" s="19"/>
      <c r="GC13" s="19"/>
      <c r="GD13" s="19"/>
      <c r="GE13" s="19"/>
      <c r="GF13" s="19"/>
      <c r="GG13" s="19"/>
      <c r="GH13" s="19"/>
      <c r="GI13" s="19"/>
      <c r="GJ13" s="19"/>
      <c r="GK13" s="19"/>
      <c r="GL13" s="19"/>
      <c r="GM13" s="19"/>
      <c r="GN13" s="19"/>
      <c r="GO13" s="19"/>
      <c r="GP13" s="19"/>
      <c r="GQ13" s="19"/>
      <c r="GR13" s="19"/>
      <c r="GS13" s="19"/>
      <c r="GT13" s="19"/>
      <c r="GU13" s="19"/>
      <c r="GV13" s="19"/>
      <c r="GW13" s="19"/>
      <c r="GX13" s="19"/>
      <c r="GY13" s="19"/>
      <c r="GZ13" s="19"/>
      <c r="HA13" s="19"/>
      <c r="HB13" s="19"/>
      <c r="HC13" s="19"/>
      <c r="HD13" s="19"/>
      <c r="HE13" s="19"/>
      <c r="HF13" s="19"/>
      <c r="HG13" s="19"/>
      <c r="HH13" s="19"/>
      <c r="HI13" s="19"/>
      <c r="HJ13" s="19"/>
      <c r="HK13" s="19"/>
      <c r="HL13" s="19"/>
      <c r="HM13" s="19"/>
      <c r="HN13" s="19"/>
      <c r="HO13" s="19"/>
      <c r="HP13" s="19"/>
      <c r="HQ13" s="19"/>
      <c r="HR13" s="19"/>
      <c r="HS13" s="19"/>
      <c r="HT13" s="19"/>
      <c r="HU13" s="19"/>
      <c r="HV13" s="19"/>
      <c r="HW13" s="19"/>
      <c r="HX13" s="19"/>
      <c r="HY13" s="19"/>
      <c r="HZ13" s="19"/>
      <c r="IA13" s="19"/>
      <c r="IB13" s="19"/>
      <c r="IC13" s="19"/>
      <c r="ID13" s="19"/>
      <c r="IE13" s="19"/>
      <c r="IF13" s="19"/>
      <c r="IG13" s="19"/>
      <c r="IH13" s="19"/>
      <c r="II13" s="19"/>
      <c r="IJ13" s="19"/>
      <c r="IK13" s="19"/>
      <c r="IL13" s="19"/>
      <c r="IM13" s="19"/>
      <c r="IN13" s="19"/>
      <c r="IO13" s="19"/>
      <c r="IP13" s="19"/>
      <c r="IQ13" s="19"/>
      <c r="IR13" s="19"/>
      <c r="IS13" s="19"/>
      <c r="IT13" s="19"/>
      <c r="IU13" s="19"/>
      <c r="IV13" s="19"/>
      <c r="IW13" s="19"/>
      <c r="IX13" s="19"/>
      <c r="IY13" s="19"/>
    </row>
    <row r="14" spans="1:259" ht="13.5" thickBot="1" x14ac:dyDescent="0.25">
      <c r="A14" s="3"/>
      <c r="B14" s="1304"/>
      <c r="C14" s="360" t="s">
        <v>458</v>
      </c>
      <c r="D14" s="360" t="s">
        <v>457</v>
      </c>
      <c r="E14" s="360" t="s">
        <v>240</v>
      </c>
      <c r="F14" s="360" t="s">
        <v>62</v>
      </c>
      <c r="G14" s="362">
        <f>776921*12</f>
        <v>9323052</v>
      </c>
      <c r="H14" s="444">
        <f t="shared" si="0"/>
        <v>10535048.76</v>
      </c>
      <c r="I14" s="362">
        <f t="shared" si="2"/>
        <v>272746</v>
      </c>
      <c r="J14" s="362">
        <f t="shared" si="3"/>
        <v>149030</v>
      </c>
      <c r="K14" s="455">
        <f t="shared" si="1"/>
        <v>10956824.76</v>
      </c>
      <c r="L14" s="1327"/>
      <c r="M14" s="145"/>
      <c r="N14" s="439"/>
      <c r="O14" s="439"/>
      <c r="P14" s="437"/>
      <c r="Q14" s="437"/>
      <c r="R14" s="437"/>
      <c r="S14" s="441"/>
      <c r="T14" s="442"/>
      <c r="U14" s="442"/>
      <c r="V14" s="442"/>
      <c r="W14" s="442"/>
      <c r="X14" s="443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/>
      <c r="AR14" s="19"/>
      <c r="AS14" s="19"/>
      <c r="AT14" s="19"/>
      <c r="AU14" s="19"/>
      <c r="AV14" s="19"/>
      <c r="AW14" s="19"/>
      <c r="AX14" s="19"/>
      <c r="AY14" s="19"/>
      <c r="AZ14" s="19"/>
      <c r="BA14" s="19"/>
      <c r="BB14" s="19"/>
      <c r="BC14" s="19"/>
      <c r="BD14" s="19"/>
      <c r="BE14" s="19"/>
      <c r="BF14" s="19"/>
      <c r="BG14" s="19"/>
      <c r="BH14" s="19"/>
      <c r="BI14" s="19"/>
      <c r="BJ14" s="19"/>
      <c r="BK14" s="19"/>
      <c r="BL14" s="19"/>
      <c r="BM14" s="19"/>
      <c r="BN14" s="19"/>
      <c r="BO14" s="19"/>
      <c r="BP14" s="19"/>
      <c r="BQ14" s="19"/>
      <c r="BR14" s="19"/>
      <c r="BS14" s="19"/>
      <c r="BT14" s="19"/>
      <c r="BU14" s="19"/>
      <c r="BV14" s="19"/>
      <c r="BW14" s="19"/>
      <c r="BX14" s="19"/>
      <c r="BY14" s="19"/>
      <c r="BZ14" s="19"/>
      <c r="CA14" s="19"/>
      <c r="CB14" s="19"/>
      <c r="CC14" s="19"/>
      <c r="CD14" s="19"/>
      <c r="CE14" s="19"/>
      <c r="CF14" s="19"/>
      <c r="CG14" s="19"/>
      <c r="CH14" s="19"/>
      <c r="CI14" s="19"/>
      <c r="CJ14" s="19"/>
      <c r="CK14" s="19"/>
      <c r="CL14" s="19"/>
      <c r="CM14" s="19"/>
      <c r="CN14" s="19"/>
      <c r="CO14" s="19"/>
      <c r="CP14" s="19"/>
      <c r="CQ14" s="19"/>
      <c r="CR14" s="19"/>
      <c r="CS14" s="19"/>
      <c r="CT14" s="19"/>
      <c r="CU14" s="19"/>
      <c r="CV14" s="19"/>
      <c r="CW14" s="19"/>
      <c r="CX14" s="19"/>
      <c r="CY14" s="19"/>
      <c r="CZ14" s="19"/>
      <c r="DA14" s="19"/>
      <c r="DB14" s="19"/>
      <c r="DC14" s="19"/>
      <c r="DD14" s="19"/>
      <c r="DE14" s="19"/>
      <c r="DF14" s="19"/>
      <c r="DG14" s="19"/>
      <c r="DH14" s="19"/>
      <c r="DI14" s="19"/>
      <c r="DJ14" s="19"/>
      <c r="DK14" s="19"/>
      <c r="DL14" s="19"/>
      <c r="DM14" s="19"/>
      <c r="DN14" s="19"/>
      <c r="DO14" s="19"/>
      <c r="DP14" s="19"/>
      <c r="DQ14" s="19"/>
      <c r="DR14" s="19"/>
      <c r="DS14" s="19"/>
      <c r="DT14" s="19"/>
      <c r="DU14" s="19"/>
      <c r="DV14" s="19"/>
      <c r="DW14" s="19"/>
      <c r="DX14" s="19"/>
      <c r="DY14" s="19"/>
      <c r="DZ14" s="19"/>
      <c r="EA14" s="19"/>
      <c r="EB14" s="19"/>
      <c r="EC14" s="19"/>
      <c r="ED14" s="19"/>
      <c r="EE14" s="19"/>
      <c r="EF14" s="19"/>
      <c r="EG14" s="19"/>
      <c r="EH14" s="19"/>
      <c r="EI14" s="19"/>
      <c r="EJ14" s="19"/>
      <c r="EK14" s="19"/>
      <c r="EL14" s="19"/>
      <c r="EM14" s="19"/>
      <c r="EN14" s="19"/>
      <c r="EO14" s="19"/>
      <c r="EP14" s="19"/>
      <c r="EQ14" s="19"/>
      <c r="ER14" s="19"/>
      <c r="ES14" s="19"/>
      <c r="ET14" s="19"/>
      <c r="EU14" s="19"/>
      <c r="EV14" s="19"/>
      <c r="EW14" s="19"/>
      <c r="EX14" s="19"/>
      <c r="EY14" s="19"/>
      <c r="EZ14" s="19"/>
      <c r="FA14" s="19"/>
      <c r="FB14" s="19"/>
      <c r="FC14" s="19"/>
      <c r="FD14" s="19"/>
      <c r="FE14" s="19"/>
      <c r="FF14" s="19"/>
      <c r="FG14" s="19"/>
      <c r="FH14" s="19"/>
      <c r="FI14" s="19"/>
      <c r="FJ14" s="19"/>
      <c r="FK14" s="19"/>
      <c r="FL14" s="19"/>
      <c r="FM14" s="19"/>
      <c r="FN14" s="19"/>
      <c r="FO14" s="19"/>
      <c r="FP14" s="19"/>
      <c r="FQ14" s="19"/>
      <c r="FR14" s="19"/>
      <c r="FS14" s="19"/>
      <c r="FT14" s="19"/>
      <c r="FU14" s="19"/>
      <c r="FV14" s="19"/>
      <c r="FW14" s="19"/>
      <c r="FX14" s="19"/>
      <c r="FY14" s="19"/>
      <c r="FZ14" s="19"/>
      <c r="GA14" s="19"/>
      <c r="GB14" s="19"/>
      <c r="GC14" s="19"/>
      <c r="GD14" s="19"/>
      <c r="GE14" s="19"/>
      <c r="GF14" s="19"/>
      <c r="GG14" s="19"/>
      <c r="GH14" s="19"/>
      <c r="GI14" s="19"/>
      <c r="GJ14" s="19"/>
      <c r="GK14" s="19"/>
      <c r="GL14" s="19"/>
      <c r="GM14" s="19"/>
      <c r="GN14" s="19"/>
      <c r="GO14" s="19"/>
      <c r="GP14" s="19"/>
      <c r="GQ14" s="19"/>
      <c r="GR14" s="19"/>
      <c r="GS14" s="19"/>
      <c r="GT14" s="19"/>
      <c r="GU14" s="19"/>
      <c r="GV14" s="19"/>
      <c r="GW14" s="19"/>
      <c r="GX14" s="19"/>
      <c r="GY14" s="19"/>
      <c r="GZ14" s="19"/>
      <c r="HA14" s="19"/>
      <c r="HB14" s="19"/>
      <c r="HC14" s="19"/>
      <c r="HD14" s="19"/>
      <c r="HE14" s="19"/>
      <c r="HF14" s="19"/>
      <c r="HG14" s="19"/>
      <c r="HH14" s="19"/>
      <c r="HI14" s="19"/>
      <c r="HJ14" s="19"/>
      <c r="HK14" s="19"/>
      <c r="HL14" s="19"/>
      <c r="HM14" s="19"/>
      <c r="HN14" s="19"/>
      <c r="HO14" s="19"/>
      <c r="HP14" s="19"/>
      <c r="HQ14" s="19"/>
      <c r="HR14" s="19"/>
      <c r="HS14" s="19"/>
      <c r="HT14" s="19"/>
      <c r="HU14" s="19"/>
      <c r="HV14" s="19"/>
      <c r="HW14" s="19"/>
      <c r="HX14" s="19"/>
      <c r="HY14" s="19"/>
      <c r="HZ14" s="19"/>
      <c r="IA14" s="19"/>
      <c r="IB14" s="19"/>
      <c r="IC14" s="19"/>
      <c r="ID14" s="19"/>
      <c r="IE14" s="19"/>
      <c r="IF14" s="19"/>
      <c r="IG14" s="19"/>
      <c r="IH14" s="19"/>
      <c r="II14" s="19"/>
      <c r="IJ14" s="19"/>
      <c r="IK14" s="19"/>
      <c r="IL14" s="19"/>
      <c r="IM14" s="19"/>
      <c r="IN14" s="19"/>
      <c r="IO14" s="19"/>
      <c r="IP14" s="19"/>
      <c r="IQ14" s="19"/>
      <c r="IR14" s="19"/>
      <c r="IS14" s="19"/>
      <c r="IT14" s="19"/>
      <c r="IU14" s="19"/>
      <c r="IV14" s="19"/>
      <c r="IW14" s="19"/>
      <c r="IX14" s="19"/>
      <c r="IY14" s="19"/>
    </row>
    <row r="15" spans="1:259" ht="13.5" thickBot="1" x14ac:dyDescent="0.25">
      <c r="A15" s="3"/>
      <c r="B15" s="1304"/>
      <c r="C15" s="360" t="s">
        <v>413</v>
      </c>
      <c r="D15" s="360" t="s">
        <v>414</v>
      </c>
      <c r="E15" s="360" t="s">
        <v>240</v>
      </c>
      <c r="F15" s="360" t="s">
        <v>62</v>
      </c>
      <c r="G15" s="362">
        <f>656606*12</f>
        <v>7879272</v>
      </c>
      <c r="H15" s="444">
        <f t="shared" si="0"/>
        <v>8903577.3599999994</v>
      </c>
      <c r="I15" s="362">
        <f t="shared" si="2"/>
        <v>272746</v>
      </c>
      <c r="J15" s="362">
        <f t="shared" si="3"/>
        <v>149030</v>
      </c>
      <c r="K15" s="455">
        <f t="shared" si="1"/>
        <v>9325353.3599999994</v>
      </c>
      <c r="L15" s="1327"/>
      <c r="M15" s="145"/>
      <c r="N15" s="439"/>
      <c r="O15" s="439"/>
      <c r="P15" s="437"/>
      <c r="Q15" s="437"/>
      <c r="R15" s="437"/>
      <c r="S15" s="441"/>
      <c r="T15" s="442"/>
      <c r="U15" s="442"/>
      <c r="V15" s="442"/>
      <c r="W15" s="442"/>
      <c r="X15" s="443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9"/>
      <c r="AS15" s="19"/>
      <c r="AT15" s="19"/>
      <c r="AU15" s="19"/>
      <c r="AV15" s="19"/>
      <c r="AW15" s="19"/>
      <c r="AX15" s="19"/>
      <c r="AY15" s="19"/>
      <c r="AZ15" s="19"/>
      <c r="BA15" s="19"/>
      <c r="BB15" s="19"/>
      <c r="BC15" s="19"/>
      <c r="BD15" s="19"/>
      <c r="BE15" s="19"/>
      <c r="BF15" s="19"/>
      <c r="BG15" s="19"/>
      <c r="BH15" s="19"/>
      <c r="BI15" s="19"/>
      <c r="BJ15" s="19"/>
      <c r="BK15" s="19"/>
      <c r="BL15" s="19"/>
      <c r="BM15" s="19"/>
      <c r="BN15" s="19"/>
      <c r="BO15" s="19"/>
      <c r="BP15" s="19"/>
      <c r="BQ15" s="19"/>
      <c r="BR15" s="19"/>
      <c r="BS15" s="19"/>
      <c r="BT15" s="19"/>
      <c r="BU15" s="19"/>
      <c r="BV15" s="19"/>
      <c r="BW15" s="19"/>
      <c r="BX15" s="19"/>
      <c r="BY15" s="19"/>
      <c r="BZ15" s="19"/>
      <c r="CA15" s="19"/>
      <c r="CB15" s="19"/>
      <c r="CC15" s="19"/>
      <c r="CD15" s="19"/>
      <c r="CE15" s="19"/>
      <c r="CF15" s="19"/>
      <c r="CG15" s="19"/>
      <c r="CH15" s="19"/>
      <c r="CI15" s="19"/>
      <c r="CJ15" s="19"/>
      <c r="CK15" s="19"/>
      <c r="CL15" s="19"/>
      <c r="CM15" s="19"/>
      <c r="CN15" s="19"/>
      <c r="CO15" s="19"/>
      <c r="CP15" s="19"/>
      <c r="CQ15" s="19"/>
      <c r="CR15" s="19"/>
      <c r="CS15" s="19"/>
      <c r="CT15" s="19"/>
      <c r="CU15" s="19"/>
      <c r="CV15" s="19"/>
      <c r="CW15" s="19"/>
      <c r="CX15" s="19"/>
      <c r="CY15" s="19"/>
      <c r="CZ15" s="19"/>
      <c r="DA15" s="19"/>
      <c r="DB15" s="19"/>
      <c r="DC15" s="19"/>
      <c r="DD15" s="19"/>
      <c r="DE15" s="19"/>
      <c r="DF15" s="19"/>
      <c r="DG15" s="19"/>
      <c r="DH15" s="19"/>
      <c r="DI15" s="19"/>
      <c r="DJ15" s="19"/>
      <c r="DK15" s="19"/>
      <c r="DL15" s="19"/>
      <c r="DM15" s="19"/>
      <c r="DN15" s="19"/>
      <c r="DO15" s="19"/>
      <c r="DP15" s="19"/>
      <c r="DQ15" s="19"/>
      <c r="DR15" s="19"/>
      <c r="DS15" s="19"/>
      <c r="DT15" s="19"/>
      <c r="DU15" s="19"/>
      <c r="DV15" s="19"/>
      <c r="DW15" s="19"/>
      <c r="DX15" s="19"/>
      <c r="DY15" s="19"/>
      <c r="DZ15" s="19"/>
      <c r="EA15" s="19"/>
      <c r="EB15" s="19"/>
      <c r="EC15" s="19"/>
      <c r="ED15" s="19"/>
      <c r="EE15" s="19"/>
      <c r="EF15" s="19"/>
      <c r="EG15" s="19"/>
      <c r="EH15" s="19"/>
      <c r="EI15" s="19"/>
      <c r="EJ15" s="19"/>
      <c r="EK15" s="19"/>
      <c r="EL15" s="19"/>
      <c r="EM15" s="19"/>
      <c r="EN15" s="19"/>
      <c r="EO15" s="19"/>
      <c r="EP15" s="19"/>
      <c r="EQ15" s="19"/>
      <c r="ER15" s="19"/>
      <c r="ES15" s="19"/>
      <c r="ET15" s="19"/>
      <c r="EU15" s="19"/>
      <c r="EV15" s="19"/>
      <c r="EW15" s="19"/>
      <c r="EX15" s="19"/>
      <c r="EY15" s="19"/>
      <c r="EZ15" s="19"/>
      <c r="FA15" s="19"/>
      <c r="FB15" s="19"/>
      <c r="FC15" s="19"/>
      <c r="FD15" s="19"/>
      <c r="FE15" s="19"/>
      <c r="FF15" s="19"/>
      <c r="FG15" s="19"/>
      <c r="FH15" s="19"/>
      <c r="FI15" s="19"/>
      <c r="FJ15" s="19"/>
      <c r="FK15" s="19"/>
      <c r="FL15" s="19"/>
      <c r="FM15" s="19"/>
      <c r="FN15" s="19"/>
      <c r="FO15" s="19"/>
      <c r="FP15" s="19"/>
      <c r="FQ15" s="19"/>
      <c r="FR15" s="19"/>
      <c r="FS15" s="19"/>
      <c r="FT15" s="19"/>
      <c r="FU15" s="19"/>
      <c r="FV15" s="19"/>
      <c r="FW15" s="19"/>
      <c r="FX15" s="19"/>
      <c r="FY15" s="19"/>
      <c r="FZ15" s="19"/>
      <c r="GA15" s="19"/>
      <c r="GB15" s="19"/>
      <c r="GC15" s="19"/>
      <c r="GD15" s="19"/>
      <c r="GE15" s="19"/>
      <c r="GF15" s="19"/>
      <c r="GG15" s="19"/>
      <c r="GH15" s="19"/>
      <c r="GI15" s="19"/>
      <c r="GJ15" s="19"/>
      <c r="GK15" s="19"/>
      <c r="GL15" s="19"/>
      <c r="GM15" s="19"/>
      <c r="GN15" s="19"/>
      <c r="GO15" s="19"/>
      <c r="GP15" s="19"/>
      <c r="GQ15" s="19"/>
      <c r="GR15" s="19"/>
      <c r="GS15" s="19"/>
      <c r="GT15" s="19"/>
      <c r="GU15" s="19"/>
      <c r="GV15" s="19"/>
      <c r="GW15" s="19"/>
      <c r="GX15" s="19"/>
      <c r="GY15" s="19"/>
      <c r="GZ15" s="19"/>
      <c r="HA15" s="19"/>
      <c r="HB15" s="19"/>
      <c r="HC15" s="19"/>
      <c r="HD15" s="19"/>
      <c r="HE15" s="19"/>
      <c r="HF15" s="19"/>
      <c r="HG15" s="19"/>
      <c r="HH15" s="19"/>
      <c r="HI15" s="19"/>
      <c r="HJ15" s="19"/>
      <c r="HK15" s="19"/>
      <c r="HL15" s="19"/>
      <c r="HM15" s="19"/>
      <c r="HN15" s="19"/>
      <c r="HO15" s="19"/>
      <c r="HP15" s="19"/>
      <c r="HQ15" s="19"/>
      <c r="HR15" s="19"/>
      <c r="HS15" s="19"/>
      <c r="HT15" s="19"/>
      <c r="HU15" s="19"/>
      <c r="HV15" s="19"/>
      <c r="HW15" s="19"/>
      <c r="HX15" s="19"/>
      <c r="HY15" s="19"/>
      <c r="HZ15" s="19"/>
      <c r="IA15" s="19"/>
      <c r="IB15" s="19"/>
      <c r="IC15" s="19"/>
      <c r="ID15" s="19"/>
      <c r="IE15" s="19"/>
      <c r="IF15" s="19"/>
      <c r="IG15" s="19"/>
      <c r="IH15" s="19"/>
      <c r="II15" s="19"/>
      <c r="IJ15" s="19"/>
      <c r="IK15" s="19"/>
      <c r="IL15" s="19"/>
      <c r="IM15" s="19"/>
      <c r="IN15" s="19"/>
      <c r="IO15" s="19"/>
      <c r="IP15" s="19"/>
      <c r="IQ15" s="19"/>
      <c r="IR15" s="19"/>
      <c r="IS15" s="19"/>
      <c r="IT15" s="19"/>
      <c r="IU15" s="19"/>
      <c r="IV15" s="19"/>
      <c r="IW15" s="19"/>
      <c r="IX15" s="19"/>
      <c r="IY15" s="19"/>
    </row>
    <row r="16" spans="1:259" ht="13.5" thickBot="1" x14ac:dyDescent="0.25">
      <c r="A16" s="3"/>
      <c r="B16" s="1304"/>
      <c r="C16" s="360" t="s">
        <v>459</v>
      </c>
      <c r="D16" s="360" t="s">
        <v>460</v>
      </c>
      <c r="E16" s="360" t="s">
        <v>240</v>
      </c>
      <c r="F16" s="360" t="s">
        <v>62</v>
      </c>
      <c r="G16" s="362">
        <f>629311*12</f>
        <v>7551732</v>
      </c>
      <c r="H16" s="444">
        <f t="shared" si="0"/>
        <v>8533457.1599999983</v>
      </c>
      <c r="I16" s="362">
        <f t="shared" si="2"/>
        <v>272746</v>
      </c>
      <c r="J16" s="362">
        <f t="shared" si="3"/>
        <v>149030</v>
      </c>
      <c r="K16" s="455">
        <f t="shared" si="1"/>
        <v>8955233.1599999983</v>
      </c>
      <c r="L16" s="1327"/>
      <c r="M16" s="145"/>
      <c r="N16" s="439"/>
      <c r="O16" s="439"/>
      <c r="P16" s="437"/>
      <c r="Q16" s="437"/>
      <c r="R16" s="437"/>
      <c r="S16" s="441"/>
      <c r="T16" s="442"/>
      <c r="U16" s="442"/>
      <c r="V16" s="442"/>
      <c r="W16" s="442"/>
      <c r="X16" s="443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9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  <c r="BF16" s="19"/>
      <c r="BG16" s="19"/>
      <c r="BH16" s="19"/>
      <c r="BI16" s="19"/>
      <c r="BJ16" s="19"/>
      <c r="BK16" s="19"/>
      <c r="BL16" s="19"/>
      <c r="BM16" s="19"/>
      <c r="BN16" s="19"/>
      <c r="BO16" s="19"/>
      <c r="BP16" s="19"/>
      <c r="BQ16" s="19"/>
      <c r="BR16" s="19"/>
      <c r="BS16" s="19"/>
      <c r="BT16" s="19"/>
      <c r="BU16" s="19"/>
      <c r="BV16" s="19"/>
      <c r="BW16" s="19"/>
      <c r="BX16" s="19"/>
      <c r="BY16" s="19"/>
      <c r="BZ16" s="19"/>
      <c r="CA16" s="19"/>
      <c r="CB16" s="19"/>
      <c r="CC16" s="19"/>
      <c r="CD16" s="19"/>
      <c r="CE16" s="19"/>
      <c r="CF16" s="19"/>
      <c r="CG16" s="19"/>
      <c r="CH16" s="19"/>
      <c r="CI16" s="19"/>
      <c r="CJ16" s="19"/>
      <c r="CK16" s="19"/>
      <c r="CL16" s="19"/>
      <c r="CM16" s="19"/>
      <c r="CN16" s="19"/>
      <c r="CO16" s="19"/>
      <c r="CP16" s="19"/>
      <c r="CQ16" s="19"/>
      <c r="CR16" s="19"/>
      <c r="CS16" s="19"/>
      <c r="CT16" s="19"/>
      <c r="CU16" s="19"/>
      <c r="CV16" s="19"/>
      <c r="CW16" s="19"/>
      <c r="CX16" s="19"/>
      <c r="CY16" s="19"/>
      <c r="CZ16" s="19"/>
      <c r="DA16" s="19"/>
      <c r="DB16" s="19"/>
      <c r="DC16" s="19"/>
      <c r="DD16" s="19"/>
      <c r="DE16" s="19"/>
      <c r="DF16" s="19"/>
      <c r="DG16" s="19"/>
      <c r="DH16" s="19"/>
      <c r="DI16" s="19"/>
      <c r="DJ16" s="19"/>
      <c r="DK16" s="19"/>
      <c r="DL16" s="19"/>
      <c r="DM16" s="19"/>
      <c r="DN16" s="19"/>
      <c r="DO16" s="19"/>
      <c r="DP16" s="19"/>
      <c r="DQ16" s="19"/>
      <c r="DR16" s="19"/>
      <c r="DS16" s="19"/>
      <c r="DT16" s="19"/>
      <c r="DU16" s="19"/>
      <c r="DV16" s="19"/>
      <c r="DW16" s="19"/>
      <c r="DX16" s="19"/>
      <c r="DY16" s="19"/>
      <c r="DZ16" s="19"/>
      <c r="EA16" s="19"/>
      <c r="EB16" s="19"/>
      <c r="EC16" s="19"/>
      <c r="ED16" s="19"/>
      <c r="EE16" s="19"/>
      <c r="EF16" s="19"/>
      <c r="EG16" s="19"/>
      <c r="EH16" s="19"/>
      <c r="EI16" s="19"/>
      <c r="EJ16" s="19"/>
      <c r="EK16" s="19"/>
      <c r="EL16" s="19"/>
      <c r="EM16" s="19"/>
      <c r="EN16" s="19"/>
      <c r="EO16" s="19"/>
      <c r="EP16" s="19"/>
      <c r="EQ16" s="19"/>
      <c r="ER16" s="19"/>
      <c r="ES16" s="19"/>
      <c r="ET16" s="19"/>
      <c r="EU16" s="19"/>
      <c r="EV16" s="19"/>
      <c r="EW16" s="19"/>
      <c r="EX16" s="19"/>
      <c r="EY16" s="19"/>
      <c r="EZ16" s="19"/>
      <c r="FA16" s="19"/>
      <c r="FB16" s="19"/>
      <c r="FC16" s="19"/>
      <c r="FD16" s="19"/>
      <c r="FE16" s="19"/>
      <c r="FF16" s="19"/>
      <c r="FG16" s="19"/>
      <c r="FH16" s="19"/>
      <c r="FI16" s="19"/>
      <c r="FJ16" s="19"/>
      <c r="FK16" s="19"/>
      <c r="FL16" s="19"/>
      <c r="FM16" s="19"/>
      <c r="FN16" s="19"/>
      <c r="FO16" s="19"/>
      <c r="FP16" s="19"/>
      <c r="FQ16" s="19"/>
      <c r="FR16" s="19"/>
      <c r="FS16" s="19"/>
      <c r="FT16" s="19"/>
      <c r="FU16" s="19"/>
      <c r="FV16" s="19"/>
      <c r="FW16" s="19"/>
      <c r="FX16" s="19"/>
      <c r="FY16" s="19"/>
      <c r="FZ16" s="19"/>
      <c r="GA16" s="19"/>
      <c r="GB16" s="19"/>
      <c r="GC16" s="19"/>
      <c r="GD16" s="19"/>
      <c r="GE16" s="19"/>
      <c r="GF16" s="19"/>
      <c r="GG16" s="19"/>
      <c r="GH16" s="19"/>
      <c r="GI16" s="19"/>
      <c r="GJ16" s="19"/>
      <c r="GK16" s="19"/>
      <c r="GL16" s="19"/>
      <c r="GM16" s="19"/>
      <c r="GN16" s="19"/>
      <c r="GO16" s="19"/>
      <c r="GP16" s="19"/>
      <c r="GQ16" s="19"/>
      <c r="GR16" s="19"/>
      <c r="GS16" s="19"/>
      <c r="GT16" s="19"/>
      <c r="GU16" s="19"/>
      <c r="GV16" s="19"/>
      <c r="GW16" s="19"/>
      <c r="GX16" s="19"/>
      <c r="GY16" s="19"/>
      <c r="GZ16" s="19"/>
      <c r="HA16" s="19"/>
      <c r="HB16" s="19"/>
      <c r="HC16" s="19"/>
      <c r="HD16" s="19"/>
      <c r="HE16" s="19"/>
      <c r="HF16" s="19"/>
      <c r="HG16" s="19"/>
      <c r="HH16" s="19"/>
      <c r="HI16" s="19"/>
      <c r="HJ16" s="19"/>
      <c r="HK16" s="19"/>
      <c r="HL16" s="19"/>
      <c r="HM16" s="19"/>
      <c r="HN16" s="19"/>
      <c r="HO16" s="19"/>
      <c r="HP16" s="19"/>
      <c r="HQ16" s="19"/>
      <c r="HR16" s="19"/>
      <c r="HS16" s="19"/>
      <c r="HT16" s="19"/>
      <c r="HU16" s="19"/>
      <c r="HV16" s="19"/>
      <c r="HW16" s="19"/>
      <c r="HX16" s="19"/>
      <c r="HY16" s="19"/>
      <c r="HZ16" s="19"/>
      <c r="IA16" s="19"/>
      <c r="IB16" s="19"/>
      <c r="IC16" s="19"/>
      <c r="ID16" s="19"/>
      <c r="IE16" s="19"/>
      <c r="IF16" s="19"/>
      <c r="IG16" s="19"/>
      <c r="IH16" s="19"/>
      <c r="II16" s="19"/>
      <c r="IJ16" s="19"/>
      <c r="IK16" s="19"/>
      <c r="IL16" s="19"/>
      <c r="IM16" s="19"/>
      <c r="IN16" s="19"/>
      <c r="IO16" s="19"/>
      <c r="IP16" s="19"/>
      <c r="IQ16" s="19"/>
      <c r="IR16" s="19"/>
      <c r="IS16" s="19"/>
      <c r="IT16" s="19"/>
      <c r="IU16" s="19"/>
      <c r="IV16" s="19"/>
      <c r="IW16" s="19"/>
      <c r="IX16" s="19"/>
      <c r="IY16" s="19"/>
    </row>
    <row r="17" spans="1:259" ht="13.5" thickBot="1" x14ac:dyDescent="0.25">
      <c r="A17" s="3"/>
      <c r="B17" s="1304"/>
      <c r="C17" s="360" t="s">
        <v>461</v>
      </c>
      <c r="D17" s="360" t="s">
        <v>462</v>
      </c>
      <c r="E17" s="360" t="s">
        <v>240</v>
      </c>
      <c r="F17" s="360" t="s">
        <v>62</v>
      </c>
      <c r="G17" s="1062">
        <f>582520*10</f>
        <v>5825200</v>
      </c>
      <c r="H17" s="1063">
        <f t="shared" si="0"/>
        <v>6582475.9999999991</v>
      </c>
      <c r="I17" s="1062">
        <f t="shared" si="2"/>
        <v>272746</v>
      </c>
      <c r="J17" s="1062">
        <f t="shared" si="3"/>
        <v>149030</v>
      </c>
      <c r="K17" s="455">
        <f t="shared" si="1"/>
        <v>7004251.9999999991</v>
      </c>
      <c r="L17" s="1327"/>
      <c r="M17" s="145"/>
      <c r="N17" s="439"/>
      <c r="O17" s="439"/>
      <c r="P17" s="437"/>
      <c r="Q17" s="437"/>
      <c r="R17" s="437"/>
      <c r="S17" s="441"/>
      <c r="T17" s="442"/>
      <c r="U17" s="442"/>
      <c r="V17" s="442"/>
      <c r="W17" s="442"/>
      <c r="X17" s="443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  <c r="AV17" s="19"/>
      <c r="AW17" s="19"/>
      <c r="AX17" s="19"/>
      <c r="AY17" s="19"/>
      <c r="AZ17" s="19"/>
      <c r="BA17" s="19"/>
      <c r="BB17" s="19"/>
      <c r="BC17" s="19"/>
      <c r="BD17" s="19"/>
      <c r="BE17" s="19"/>
      <c r="BF17" s="19"/>
      <c r="BG17" s="19"/>
      <c r="BH17" s="19"/>
      <c r="BI17" s="19"/>
      <c r="BJ17" s="19"/>
      <c r="BK17" s="19"/>
      <c r="BL17" s="19"/>
      <c r="BM17" s="19"/>
      <c r="BN17" s="19"/>
      <c r="BO17" s="19"/>
      <c r="BP17" s="19"/>
      <c r="BQ17" s="19"/>
      <c r="BR17" s="19"/>
      <c r="BS17" s="19"/>
      <c r="BT17" s="19"/>
      <c r="BU17" s="19"/>
      <c r="BV17" s="19"/>
      <c r="BW17" s="19"/>
      <c r="BX17" s="19"/>
      <c r="BY17" s="19"/>
      <c r="BZ17" s="19"/>
      <c r="CA17" s="19"/>
      <c r="CB17" s="19"/>
      <c r="CC17" s="19"/>
      <c r="CD17" s="19"/>
      <c r="CE17" s="19"/>
      <c r="CF17" s="19"/>
      <c r="CG17" s="19"/>
      <c r="CH17" s="19"/>
      <c r="CI17" s="19"/>
      <c r="CJ17" s="19"/>
      <c r="CK17" s="19"/>
      <c r="CL17" s="19"/>
      <c r="CM17" s="19"/>
      <c r="CN17" s="19"/>
      <c r="CO17" s="19"/>
      <c r="CP17" s="19"/>
      <c r="CQ17" s="19"/>
      <c r="CR17" s="19"/>
      <c r="CS17" s="19"/>
      <c r="CT17" s="19"/>
      <c r="CU17" s="19"/>
      <c r="CV17" s="19"/>
      <c r="CW17" s="19"/>
      <c r="CX17" s="19"/>
      <c r="CY17" s="19"/>
      <c r="CZ17" s="19"/>
      <c r="DA17" s="19"/>
      <c r="DB17" s="19"/>
      <c r="DC17" s="19"/>
      <c r="DD17" s="19"/>
      <c r="DE17" s="19"/>
      <c r="DF17" s="19"/>
      <c r="DG17" s="19"/>
      <c r="DH17" s="19"/>
      <c r="DI17" s="19"/>
      <c r="DJ17" s="19"/>
      <c r="DK17" s="19"/>
      <c r="DL17" s="19"/>
      <c r="DM17" s="19"/>
      <c r="DN17" s="19"/>
      <c r="DO17" s="19"/>
      <c r="DP17" s="19"/>
      <c r="DQ17" s="19"/>
      <c r="DR17" s="19"/>
      <c r="DS17" s="19"/>
      <c r="DT17" s="19"/>
      <c r="DU17" s="19"/>
      <c r="DV17" s="19"/>
      <c r="DW17" s="19"/>
      <c r="DX17" s="19"/>
      <c r="DY17" s="19"/>
      <c r="DZ17" s="19"/>
      <c r="EA17" s="19"/>
      <c r="EB17" s="19"/>
      <c r="EC17" s="19"/>
      <c r="ED17" s="19"/>
      <c r="EE17" s="19"/>
      <c r="EF17" s="19"/>
      <c r="EG17" s="19"/>
      <c r="EH17" s="19"/>
      <c r="EI17" s="19"/>
      <c r="EJ17" s="19"/>
      <c r="EK17" s="19"/>
      <c r="EL17" s="19"/>
      <c r="EM17" s="19"/>
      <c r="EN17" s="19"/>
      <c r="EO17" s="19"/>
      <c r="EP17" s="19"/>
      <c r="EQ17" s="19"/>
      <c r="ER17" s="19"/>
      <c r="ES17" s="19"/>
      <c r="ET17" s="19"/>
      <c r="EU17" s="19"/>
      <c r="EV17" s="19"/>
      <c r="EW17" s="19"/>
      <c r="EX17" s="19"/>
      <c r="EY17" s="19"/>
      <c r="EZ17" s="19"/>
      <c r="FA17" s="19"/>
      <c r="FB17" s="19"/>
      <c r="FC17" s="19"/>
      <c r="FD17" s="19"/>
      <c r="FE17" s="19"/>
      <c r="FF17" s="19"/>
      <c r="FG17" s="19"/>
      <c r="FH17" s="19"/>
      <c r="FI17" s="19"/>
      <c r="FJ17" s="19"/>
      <c r="FK17" s="19"/>
      <c r="FL17" s="19"/>
      <c r="FM17" s="19"/>
      <c r="FN17" s="19"/>
      <c r="FO17" s="19"/>
      <c r="FP17" s="19"/>
      <c r="FQ17" s="19"/>
      <c r="FR17" s="19"/>
      <c r="FS17" s="19"/>
      <c r="FT17" s="19"/>
      <c r="FU17" s="19"/>
      <c r="FV17" s="19"/>
      <c r="FW17" s="19"/>
      <c r="FX17" s="19"/>
      <c r="FY17" s="19"/>
      <c r="FZ17" s="19"/>
      <c r="GA17" s="19"/>
      <c r="GB17" s="19"/>
      <c r="GC17" s="19"/>
      <c r="GD17" s="19"/>
      <c r="GE17" s="19"/>
      <c r="GF17" s="19"/>
      <c r="GG17" s="19"/>
      <c r="GH17" s="19"/>
      <c r="GI17" s="19"/>
      <c r="GJ17" s="19"/>
      <c r="GK17" s="19"/>
      <c r="GL17" s="19"/>
      <c r="GM17" s="19"/>
      <c r="GN17" s="19"/>
      <c r="GO17" s="19"/>
      <c r="GP17" s="19"/>
      <c r="GQ17" s="19"/>
      <c r="GR17" s="19"/>
      <c r="GS17" s="19"/>
      <c r="GT17" s="19"/>
      <c r="GU17" s="19"/>
      <c r="GV17" s="19"/>
      <c r="GW17" s="19"/>
      <c r="GX17" s="19"/>
      <c r="GY17" s="19"/>
      <c r="GZ17" s="19"/>
      <c r="HA17" s="19"/>
      <c r="HB17" s="19"/>
      <c r="HC17" s="19"/>
      <c r="HD17" s="19"/>
      <c r="HE17" s="19"/>
      <c r="HF17" s="19"/>
      <c r="HG17" s="19"/>
      <c r="HH17" s="19"/>
      <c r="HI17" s="19"/>
      <c r="HJ17" s="19"/>
      <c r="HK17" s="19"/>
      <c r="HL17" s="19"/>
      <c r="HM17" s="19"/>
      <c r="HN17" s="19"/>
      <c r="HO17" s="19"/>
      <c r="HP17" s="19"/>
      <c r="HQ17" s="19"/>
      <c r="HR17" s="19"/>
      <c r="HS17" s="19"/>
      <c r="HT17" s="19"/>
      <c r="HU17" s="19"/>
      <c r="HV17" s="19"/>
      <c r="HW17" s="19"/>
      <c r="HX17" s="19"/>
      <c r="HY17" s="19"/>
      <c r="HZ17" s="19"/>
      <c r="IA17" s="19"/>
      <c r="IB17" s="19"/>
      <c r="IC17" s="19"/>
      <c r="ID17" s="19"/>
      <c r="IE17" s="19"/>
      <c r="IF17" s="19"/>
      <c r="IG17" s="19"/>
      <c r="IH17" s="19"/>
      <c r="II17" s="19"/>
      <c r="IJ17" s="19"/>
      <c r="IK17" s="19"/>
      <c r="IL17" s="19"/>
      <c r="IM17" s="19"/>
      <c r="IN17" s="19"/>
      <c r="IO17" s="19"/>
      <c r="IP17" s="19"/>
      <c r="IQ17" s="19"/>
      <c r="IR17" s="19"/>
      <c r="IS17" s="19"/>
      <c r="IT17" s="19"/>
      <c r="IU17" s="19"/>
      <c r="IV17" s="19"/>
      <c r="IW17" s="19"/>
      <c r="IX17" s="19"/>
      <c r="IY17" s="19"/>
    </row>
    <row r="18" spans="1:259" ht="13.5" thickBot="1" x14ac:dyDescent="0.25">
      <c r="A18" s="3"/>
      <c r="B18" s="1304"/>
      <c r="C18" s="360" t="s">
        <v>463</v>
      </c>
      <c r="D18" s="360" t="s">
        <v>464</v>
      </c>
      <c r="E18" s="360" t="s">
        <v>240</v>
      </c>
      <c r="F18" s="360" t="s">
        <v>62</v>
      </c>
      <c r="G18" s="362">
        <f>585743*12</f>
        <v>7028916</v>
      </c>
      <c r="H18" s="444">
        <f t="shared" si="0"/>
        <v>7942675.0799999991</v>
      </c>
      <c r="I18" s="362">
        <f t="shared" si="2"/>
        <v>272746</v>
      </c>
      <c r="J18" s="362">
        <f t="shared" si="3"/>
        <v>149030</v>
      </c>
      <c r="K18" s="455">
        <f t="shared" si="1"/>
        <v>8364451.0799999991</v>
      </c>
      <c r="L18" s="1327"/>
      <c r="M18" s="145"/>
      <c r="N18" s="439"/>
      <c r="O18" s="439"/>
      <c r="P18" s="437"/>
      <c r="Q18" s="437"/>
      <c r="R18" s="437"/>
      <c r="S18" s="441"/>
      <c r="T18" s="442"/>
      <c r="U18" s="442"/>
      <c r="V18" s="442"/>
      <c r="W18" s="442"/>
      <c r="X18" s="443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9"/>
      <c r="AS18" s="19"/>
      <c r="AT18" s="19"/>
      <c r="AU18" s="19"/>
      <c r="AV18" s="19"/>
      <c r="AW18" s="19"/>
      <c r="AX18" s="19"/>
      <c r="AY18" s="19"/>
      <c r="AZ18" s="19"/>
      <c r="BA18" s="19"/>
      <c r="BB18" s="19"/>
      <c r="BC18" s="19"/>
      <c r="BD18" s="19"/>
      <c r="BE18" s="19"/>
      <c r="BF18" s="19"/>
      <c r="BG18" s="19"/>
      <c r="BH18" s="19"/>
      <c r="BI18" s="19"/>
      <c r="BJ18" s="19"/>
      <c r="BK18" s="19"/>
      <c r="BL18" s="19"/>
      <c r="BM18" s="19"/>
      <c r="BN18" s="19"/>
      <c r="BO18" s="19"/>
      <c r="BP18" s="19"/>
      <c r="BQ18" s="19"/>
      <c r="BR18" s="19"/>
      <c r="BS18" s="19"/>
      <c r="BT18" s="19"/>
      <c r="BU18" s="19"/>
      <c r="BV18" s="19"/>
      <c r="BW18" s="19"/>
      <c r="BX18" s="19"/>
      <c r="BY18" s="19"/>
      <c r="BZ18" s="19"/>
      <c r="CA18" s="19"/>
      <c r="CB18" s="19"/>
      <c r="CC18" s="19"/>
      <c r="CD18" s="19"/>
      <c r="CE18" s="19"/>
      <c r="CF18" s="19"/>
      <c r="CG18" s="19"/>
      <c r="CH18" s="19"/>
      <c r="CI18" s="19"/>
      <c r="CJ18" s="19"/>
      <c r="CK18" s="19"/>
      <c r="CL18" s="19"/>
      <c r="CM18" s="19"/>
      <c r="CN18" s="19"/>
      <c r="CO18" s="19"/>
      <c r="CP18" s="19"/>
      <c r="CQ18" s="19"/>
      <c r="CR18" s="19"/>
      <c r="CS18" s="19"/>
      <c r="CT18" s="19"/>
      <c r="CU18" s="19"/>
      <c r="CV18" s="19"/>
      <c r="CW18" s="19"/>
      <c r="CX18" s="19"/>
      <c r="CY18" s="19"/>
      <c r="CZ18" s="19"/>
      <c r="DA18" s="19"/>
      <c r="DB18" s="19"/>
      <c r="DC18" s="19"/>
      <c r="DD18" s="19"/>
      <c r="DE18" s="19"/>
      <c r="DF18" s="19"/>
      <c r="DG18" s="19"/>
      <c r="DH18" s="19"/>
      <c r="DI18" s="19"/>
      <c r="DJ18" s="19"/>
      <c r="DK18" s="19"/>
      <c r="DL18" s="19"/>
      <c r="DM18" s="19"/>
      <c r="DN18" s="19"/>
      <c r="DO18" s="19"/>
      <c r="DP18" s="19"/>
      <c r="DQ18" s="19"/>
      <c r="DR18" s="19"/>
      <c r="DS18" s="19"/>
      <c r="DT18" s="19"/>
      <c r="DU18" s="19"/>
      <c r="DV18" s="19"/>
      <c r="DW18" s="19"/>
      <c r="DX18" s="19"/>
      <c r="DY18" s="19"/>
      <c r="DZ18" s="19"/>
      <c r="EA18" s="19"/>
      <c r="EB18" s="19"/>
      <c r="EC18" s="19"/>
      <c r="ED18" s="19"/>
      <c r="EE18" s="19"/>
      <c r="EF18" s="19"/>
      <c r="EG18" s="19"/>
      <c r="EH18" s="19"/>
      <c r="EI18" s="19"/>
      <c r="EJ18" s="19"/>
      <c r="EK18" s="19"/>
      <c r="EL18" s="19"/>
      <c r="EM18" s="19"/>
      <c r="EN18" s="19"/>
      <c r="EO18" s="19"/>
      <c r="EP18" s="19"/>
      <c r="EQ18" s="19"/>
      <c r="ER18" s="19"/>
      <c r="ES18" s="19"/>
      <c r="ET18" s="19"/>
      <c r="EU18" s="19"/>
      <c r="EV18" s="19"/>
      <c r="EW18" s="19"/>
      <c r="EX18" s="19"/>
      <c r="EY18" s="19"/>
      <c r="EZ18" s="19"/>
      <c r="FA18" s="19"/>
      <c r="FB18" s="19"/>
      <c r="FC18" s="19"/>
      <c r="FD18" s="19"/>
      <c r="FE18" s="19"/>
      <c r="FF18" s="19"/>
      <c r="FG18" s="19"/>
      <c r="FH18" s="19"/>
      <c r="FI18" s="19"/>
      <c r="FJ18" s="19"/>
      <c r="FK18" s="19"/>
      <c r="FL18" s="19"/>
      <c r="FM18" s="19"/>
      <c r="FN18" s="19"/>
      <c r="FO18" s="19"/>
      <c r="FP18" s="19"/>
      <c r="FQ18" s="19"/>
      <c r="FR18" s="19"/>
      <c r="FS18" s="19"/>
      <c r="FT18" s="19"/>
      <c r="FU18" s="19"/>
      <c r="FV18" s="19"/>
      <c r="FW18" s="19"/>
      <c r="FX18" s="19"/>
      <c r="FY18" s="19"/>
      <c r="FZ18" s="19"/>
      <c r="GA18" s="19"/>
      <c r="GB18" s="19"/>
      <c r="GC18" s="19"/>
      <c r="GD18" s="19"/>
      <c r="GE18" s="19"/>
      <c r="GF18" s="19"/>
      <c r="GG18" s="19"/>
      <c r="GH18" s="19"/>
      <c r="GI18" s="19"/>
      <c r="GJ18" s="19"/>
      <c r="GK18" s="19"/>
      <c r="GL18" s="19"/>
      <c r="GM18" s="19"/>
      <c r="GN18" s="19"/>
      <c r="GO18" s="19"/>
      <c r="GP18" s="19"/>
      <c r="GQ18" s="19"/>
      <c r="GR18" s="19"/>
      <c r="GS18" s="19"/>
      <c r="GT18" s="19"/>
      <c r="GU18" s="19"/>
      <c r="GV18" s="19"/>
      <c r="GW18" s="19"/>
      <c r="GX18" s="19"/>
      <c r="GY18" s="19"/>
      <c r="GZ18" s="19"/>
      <c r="HA18" s="19"/>
      <c r="HB18" s="19"/>
      <c r="HC18" s="19"/>
      <c r="HD18" s="19"/>
      <c r="HE18" s="19"/>
      <c r="HF18" s="19"/>
      <c r="HG18" s="19"/>
      <c r="HH18" s="19"/>
      <c r="HI18" s="19"/>
      <c r="HJ18" s="19"/>
      <c r="HK18" s="19"/>
      <c r="HL18" s="19"/>
      <c r="HM18" s="19"/>
      <c r="HN18" s="19"/>
      <c r="HO18" s="19"/>
      <c r="HP18" s="19"/>
      <c r="HQ18" s="19"/>
      <c r="HR18" s="19"/>
      <c r="HS18" s="19"/>
      <c r="HT18" s="19"/>
      <c r="HU18" s="19"/>
      <c r="HV18" s="19"/>
      <c r="HW18" s="19"/>
      <c r="HX18" s="19"/>
      <c r="HY18" s="19"/>
      <c r="HZ18" s="19"/>
      <c r="IA18" s="19"/>
      <c r="IB18" s="19"/>
      <c r="IC18" s="19"/>
      <c r="ID18" s="19"/>
      <c r="IE18" s="19"/>
      <c r="IF18" s="19"/>
      <c r="IG18" s="19"/>
      <c r="IH18" s="19"/>
      <c r="II18" s="19"/>
      <c r="IJ18" s="19"/>
      <c r="IK18" s="19"/>
      <c r="IL18" s="19"/>
      <c r="IM18" s="19"/>
      <c r="IN18" s="19"/>
      <c r="IO18" s="19"/>
      <c r="IP18" s="19"/>
      <c r="IQ18" s="19"/>
      <c r="IR18" s="19"/>
      <c r="IS18" s="19"/>
      <c r="IT18" s="19"/>
      <c r="IU18" s="19"/>
      <c r="IV18" s="19"/>
      <c r="IW18" s="19"/>
      <c r="IX18" s="19"/>
      <c r="IY18" s="19"/>
    </row>
    <row r="19" spans="1:259" ht="13.5" thickBot="1" x14ac:dyDescent="0.25">
      <c r="A19" s="3"/>
      <c r="B19" s="1304"/>
      <c r="C19" s="360" t="s">
        <v>465</v>
      </c>
      <c r="D19" s="360" t="s">
        <v>466</v>
      </c>
      <c r="E19" s="360" t="s">
        <v>240</v>
      </c>
      <c r="F19" s="360" t="s">
        <v>62</v>
      </c>
      <c r="G19" s="362">
        <f>585721*12</f>
        <v>7028652</v>
      </c>
      <c r="H19" s="444">
        <f t="shared" si="0"/>
        <v>7942376.7599999988</v>
      </c>
      <c r="I19" s="362">
        <f t="shared" si="2"/>
        <v>272746</v>
      </c>
      <c r="J19" s="362">
        <f t="shared" si="3"/>
        <v>149030</v>
      </c>
      <c r="K19" s="455">
        <f t="shared" si="1"/>
        <v>8364152.7599999988</v>
      </c>
      <c r="L19" s="1327"/>
      <c r="M19" s="145"/>
      <c r="N19" s="439"/>
      <c r="O19" s="439"/>
      <c r="P19" s="437"/>
      <c r="Q19" s="437"/>
      <c r="R19" s="437"/>
      <c r="S19" s="441"/>
      <c r="T19" s="442"/>
      <c r="U19" s="442"/>
      <c r="V19" s="442"/>
      <c r="W19" s="442"/>
      <c r="X19" s="443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O19" s="19"/>
      <c r="AP19" s="19"/>
      <c r="AQ19" s="19"/>
      <c r="AR19" s="19"/>
      <c r="AS19" s="19"/>
      <c r="AT19" s="19"/>
      <c r="AU19" s="19"/>
      <c r="AV19" s="19"/>
      <c r="AW19" s="19"/>
      <c r="AX19" s="19"/>
      <c r="AY19" s="19"/>
      <c r="AZ19" s="19"/>
      <c r="BA19" s="19"/>
      <c r="BB19" s="19"/>
      <c r="BC19" s="19"/>
      <c r="BD19" s="19"/>
      <c r="BE19" s="19"/>
      <c r="BF19" s="19"/>
      <c r="BG19" s="19"/>
      <c r="BH19" s="19"/>
      <c r="BI19" s="19"/>
      <c r="BJ19" s="19"/>
      <c r="BK19" s="19"/>
      <c r="BL19" s="19"/>
      <c r="BM19" s="19"/>
      <c r="BN19" s="19"/>
      <c r="BO19" s="19"/>
      <c r="BP19" s="19"/>
      <c r="BQ19" s="19"/>
      <c r="BR19" s="19"/>
      <c r="BS19" s="19"/>
      <c r="BT19" s="19"/>
      <c r="BU19" s="19"/>
      <c r="BV19" s="19"/>
      <c r="BW19" s="19"/>
      <c r="BX19" s="19"/>
      <c r="BY19" s="19"/>
      <c r="BZ19" s="19"/>
      <c r="CA19" s="19"/>
      <c r="CB19" s="19"/>
      <c r="CC19" s="19"/>
      <c r="CD19" s="19"/>
      <c r="CE19" s="19"/>
      <c r="CF19" s="19"/>
      <c r="CG19" s="19"/>
      <c r="CH19" s="19"/>
      <c r="CI19" s="19"/>
      <c r="CJ19" s="19"/>
      <c r="CK19" s="19"/>
      <c r="CL19" s="19"/>
      <c r="CM19" s="19"/>
      <c r="CN19" s="19"/>
      <c r="CO19" s="19"/>
      <c r="CP19" s="19"/>
      <c r="CQ19" s="19"/>
      <c r="CR19" s="19"/>
      <c r="CS19" s="19"/>
      <c r="CT19" s="19"/>
      <c r="CU19" s="19"/>
      <c r="CV19" s="19"/>
      <c r="CW19" s="19"/>
      <c r="CX19" s="19"/>
      <c r="CY19" s="19"/>
      <c r="CZ19" s="19"/>
      <c r="DA19" s="19"/>
      <c r="DB19" s="19"/>
      <c r="DC19" s="19"/>
      <c r="DD19" s="19"/>
      <c r="DE19" s="19"/>
      <c r="DF19" s="19"/>
      <c r="DG19" s="19"/>
      <c r="DH19" s="19"/>
      <c r="DI19" s="19"/>
      <c r="DJ19" s="19"/>
      <c r="DK19" s="19"/>
      <c r="DL19" s="19"/>
      <c r="DM19" s="19"/>
      <c r="DN19" s="19"/>
      <c r="DO19" s="19"/>
      <c r="DP19" s="19"/>
      <c r="DQ19" s="19"/>
      <c r="DR19" s="19"/>
      <c r="DS19" s="19"/>
      <c r="DT19" s="19"/>
      <c r="DU19" s="19"/>
      <c r="DV19" s="19"/>
      <c r="DW19" s="19"/>
      <c r="DX19" s="19"/>
      <c r="DY19" s="19"/>
      <c r="DZ19" s="19"/>
      <c r="EA19" s="19"/>
      <c r="EB19" s="19"/>
      <c r="EC19" s="19"/>
      <c r="ED19" s="19"/>
      <c r="EE19" s="19"/>
      <c r="EF19" s="19"/>
      <c r="EG19" s="19"/>
      <c r="EH19" s="19"/>
      <c r="EI19" s="19"/>
      <c r="EJ19" s="19"/>
      <c r="EK19" s="19"/>
      <c r="EL19" s="19"/>
      <c r="EM19" s="19"/>
      <c r="EN19" s="19"/>
      <c r="EO19" s="19"/>
      <c r="EP19" s="19"/>
      <c r="EQ19" s="19"/>
      <c r="ER19" s="19"/>
      <c r="ES19" s="19"/>
      <c r="ET19" s="19"/>
      <c r="EU19" s="19"/>
      <c r="EV19" s="19"/>
      <c r="EW19" s="19"/>
      <c r="EX19" s="19"/>
      <c r="EY19" s="19"/>
      <c r="EZ19" s="19"/>
      <c r="FA19" s="19"/>
      <c r="FB19" s="19"/>
      <c r="FC19" s="19"/>
      <c r="FD19" s="19"/>
      <c r="FE19" s="19"/>
      <c r="FF19" s="19"/>
      <c r="FG19" s="19"/>
      <c r="FH19" s="19"/>
      <c r="FI19" s="19"/>
      <c r="FJ19" s="19"/>
      <c r="FK19" s="19"/>
      <c r="FL19" s="19"/>
      <c r="FM19" s="19"/>
      <c r="FN19" s="19"/>
      <c r="FO19" s="19"/>
      <c r="FP19" s="19"/>
      <c r="FQ19" s="19"/>
      <c r="FR19" s="19"/>
      <c r="FS19" s="19"/>
      <c r="FT19" s="19"/>
      <c r="FU19" s="19"/>
      <c r="FV19" s="19"/>
      <c r="FW19" s="19"/>
      <c r="FX19" s="19"/>
      <c r="FY19" s="19"/>
      <c r="FZ19" s="19"/>
      <c r="GA19" s="19"/>
      <c r="GB19" s="19"/>
      <c r="GC19" s="19"/>
      <c r="GD19" s="19"/>
      <c r="GE19" s="19"/>
      <c r="GF19" s="19"/>
      <c r="GG19" s="19"/>
      <c r="GH19" s="19"/>
      <c r="GI19" s="19"/>
      <c r="GJ19" s="19"/>
      <c r="GK19" s="19"/>
      <c r="GL19" s="19"/>
      <c r="GM19" s="19"/>
      <c r="GN19" s="19"/>
      <c r="GO19" s="19"/>
      <c r="GP19" s="19"/>
      <c r="GQ19" s="19"/>
      <c r="GR19" s="19"/>
      <c r="GS19" s="19"/>
      <c r="GT19" s="19"/>
      <c r="GU19" s="19"/>
      <c r="GV19" s="19"/>
      <c r="GW19" s="19"/>
      <c r="GX19" s="19"/>
      <c r="GY19" s="19"/>
      <c r="GZ19" s="19"/>
      <c r="HA19" s="19"/>
      <c r="HB19" s="19"/>
      <c r="HC19" s="19"/>
      <c r="HD19" s="19"/>
      <c r="HE19" s="19"/>
      <c r="HF19" s="19"/>
      <c r="HG19" s="19"/>
      <c r="HH19" s="19"/>
      <c r="HI19" s="19"/>
      <c r="HJ19" s="19"/>
      <c r="HK19" s="19"/>
      <c r="HL19" s="19"/>
      <c r="HM19" s="19"/>
      <c r="HN19" s="19"/>
      <c r="HO19" s="19"/>
      <c r="HP19" s="19"/>
      <c r="HQ19" s="19"/>
      <c r="HR19" s="19"/>
      <c r="HS19" s="19"/>
      <c r="HT19" s="19"/>
      <c r="HU19" s="19"/>
      <c r="HV19" s="19"/>
      <c r="HW19" s="19"/>
      <c r="HX19" s="19"/>
      <c r="HY19" s="19"/>
      <c r="HZ19" s="19"/>
      <c r="IA19" s="19"/>
      <c r="IB19" s="19"/>
      <c r="IC19" s="19"/>
      <c r="ID19" s="19"/>
      <c r="IE19" s="19"/>
      <c r="IF19" s="19"/>
      <c r="IG19" s="19"/>
      <c r="IH19" s="19"/>
      <c r="II19" s="19"/>
      <c r="IJ19" s="19"/>
      <c r="IK19" s="19"/>
      <c r="IL19" s="19"/>
      <c r="IM19" s="19"/>
      <c r="IN19" s="19"/>
      <c r="IO19" s="19"/>
      <c r="IP19" s="19"/>
      <c r="IQ19" s="19"/>
      <c r="IR19" s="19"/>
      <c r="IS19" s="19"/>
      <c r="IT19" s="19"/>
      <c r="IU19" s="19"/>
      <c r="IV19" s="19"/>
      <c r="IW19" s="19"/>
      <c r="IX19" s="19"/>
      <c r="IY19" s="19"/>
    </row>
    <row r="20" spans="1:259" ht="13.5" thickBot="1" x14ac:dyDescent="0.25">
      <c r="A20" s="3"/>
      <c r="B20" s="1304"/>
      <c r="C20" s="360" t="s">
        <v>356</v>
      </c>
      <c r="D20" s="360" t="s">
        <v>467</v>
      </c>
      <c r="E20" s="360" t="s">
        <v>240</v>
      </c>
      <c r="F20" s="360" t="s">
        <v>62</v>
      </c>
      <c r="G20" s="362">
        <f>585721*12</f>
        <v>7028652</v>
      </c>
      <c r="H20" s="444">
        <f t="shared" si="0"/>
        <v>7942376.7599999988</v>
      </c>
      <c r="I20" s="362">
        <f t="shared" si="2"/>
        <v>272746</v>
      </c>
      <c r="J20" s="362">
        <f t="shared" si="3"/>
        <v>149030</v>
      </c>
      <c r="K20" s="455">
        <f t="shared" si="1"/>
        <v>8364152.7599999988</v>
      </c>
      <c r="L20" s="1327"/>
      <c r="M20" s="145"/>
      <c r="N20" s="439"/>
      <c r="O20" s="439"/>
      <c r="P20" s="437"/>
      <c r="Q20" s="437"/>
      <c r="R20" s="437"/>
      <c r="S20" s="441"/>
      <c r="T20" s="442"/>
      <c r="U20" s="442"/>
      <c r="V20" s="442"/>
      <c r="W20" s="442"/>
      <c r="X20" s="443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  <c r="AP20" s="19"/>
      <c r="AQ20" s="19"/>
      <c r="AR20" s="19"/>
      <c r="AS20" s="19"/>
      <c r="AT20" s="19"/>
      <c r="AU20" s="19"/>
      <c r="AV20" s="19"/>
      <c r="AW20" s="19"/>
      <c r="AX20" s="19"/>
      <c r="AY20" s="19"/>
      <c r="AZ20" s="19"/>
      <c r="BA20" s="19"/>
      <c r="BB20" s="19"/>
      <c r="BC20" s="19"/>
      <c r="BD20" s="19"/>
      <c r="BE20" s="19"/>
      <c r="BF20" s="19"/>
      <c r="BG20" s="19"/>
      <c r="BH20" s="19"/>
      <c r="BI20" s="19"/>
      <c r="BJ20" s="19"/>
      <c r="BK20" s="19"/>
      <c r="BL20" s="19"/>
      <c r="BM20" s="19"/>
      <c r="BN20" s="19"/>
      <c r="BO20" s="19"/>
      <c r="BP20" s="19"/>
      <c r="BQ20" s="19"/>
      <c r="BR20" s="19"/>
      <c r="BS20" s="19"/>
      <c r="BT20" s="19"/>
      <c r="BU20" s="19"/>
      <c r="BV20" s="19"/>
      <c r="BW20" s="19"/>
      <c r="BX20" s="19"/>
      <c r="BY20" s="19"/>
      <c r="BZ20" s="19"/>
      <c r="CA20" s="19"/>
      <c r="CB20" s="19"/>
      <c r="CC20" s="19"/>
      <c r="CD20" s="19"/>
      <c r="CE20" s="19"/>
      <c r="CF20" s="19"/>
      <c r="CG20" s="19"/>
      <c r="CH20" s="19"/>
      <c r="CI20" s="19"/>
      <c r="CJ20" s="19"/>
      <c r="CK20" s="19"/>
      <c r="CL20" s="19"/>
      <c r="CM20" s="19"/>
      <c r="CN20" s="19"/>
      <c r="CO20" s="19"/>
      <c r="CP20" s="19"/>
      <c r="CQ20" s="19"/>
      <c r="CR20" s="19"/>
      <c r="CS20" s="19"/>
      <c r="CT20" s="19"/>
      <c r="CU20" s="19"/>
      <c r="CV20" s="19"/>
      <c r="CW20" s="19"/>
      <c r="CX20" s="19"/>
      <c r="CY20" s="19"/>
      <c r="CZ20" s="19"/>
      <c r="DA20" s="19"/>
      <c r="DB20" s="19"/>
      <c r="DC20" s="19"/>
      <c r="DD20" s="19"/>
      <c r="DE20" s="19"/>
      <c r="DF20" s="19"/>
      <c r="DG20" s="19"/>
      <c r="DH20" s="19"/>
      <c r="DI20" s="19"/>
      <c r="DJ20" s="19"/>
      <c r="DK20" s="19"/>
      <c r="DL20" s="19"/>
      <c r="DM20" s="19"/>
      <c r="DN20" s="19"/>
      <c r="DO20" s="19"/>
      <c r="DP20" s="19"/>
      <c r="DQ20" s="19"/>
      <c r="DR20" s="19"/>
      <c r="DS20" s="19"/>
      <c r="DT20" s="19"/>
      <c r="DU20" s="19"/>
      <c r="DV20" s="19"/>
      <c r="DW20" s="19"/>
      <c r="DX20" s="19"/>
      <c r="DY20" s="19"/>
      <c r="DZ20" s="19"/>
      <c r="EA20" s="19"/>
      <c r="EB20" s="19"/>
      <c r="EC20" s="19"/>
      <c r="ED20" s="19"/>
      <c r="EE20" s="19"/>
      <c r="EF20" s="19"/>
      <c r="EG20" s="19"/>
      <c r="EH20" s="19"/>
      <c r="EI20" s="19"/>
      <c r="EJ20" s="19"/>
      <c r="EK20" s="19"/>
      <c r="EL20" s="19"/>
      <c r="EM20" s="19"/>
      <c r="EN20" s="19"/>
      <c r="EO20" s="19"/>
      <c r="EP20" s="19"/>
      <c r="EQ20" s="19"/>
      <c r="ER20" s="19"/>
      <c r="ES20" s="19"/>
      <c r="ET20" s="19"/>
      <c r="EU20" s="19"/>
      <c r="EV20" s="19"/>
      <c r="EW20" s="19"/>
      <c r="EX20" s="19"/>
      <c r="EY20" s="19"/>
      <c r="EZ20" s="19"/>
      <c r="FA20" s="19"/>
      <c r="FB20" s="19"/>
      <c r="FC20" s="19"/>
      <c r="FD20" s="19"/>
      <c r="FE20" s="19"/>
      <c r="FF20" s="19"/>
      <c r="FG20" s="19"/>
      <c r="FH20" s="19"/>
      <c r="FI20" s="19"/>
      <c r="FJ20" s="19"/>
      <c r="FK20" s="19"/>
      <c r="FL20" s="19"/>
      <c r="FM20" s="19"/>
      <c r="FN20" s="19"/>
      <c r="FO20" s="19"/>
      <c r="FP20" s="19"/>
      <c r="FQ20" s="19"/>
      <c r="FR20" s="19"/>
      <c r="FS20" s="19"/>
      <c r="FT20" s="19"/>
      <c r="FU20" s="19"/>
      <c r="FV20" s="19"/>
      <c r="FW20" s="19"/>
      <c r="FX20" s="19"/>
      <c r="FY20" s="19"/>
      <c r="FZ20" s="19"/>
      <c r="GA20" s="19"/>
      <c r="GB20" s="19"/>
      <c r="GC20" s="19"/>
      <c r="GD20" s="19"/>
      <c r="GE20" s="19"/>
      <c r="GF20" s="19"/>
      <c r="GG20" s="19"/>
      <c r="GH20" s="19"/>
      <c r="GI20" s="19"/>
      <c r="GJ20" s="19"/>
      <c r="GK20" s="19"/>
      <c r="GL20" s="19"/>
      <c r="GM20" s="19"/>
      <c r="GN20" s="19"/>
      <c r="GO20" s="19"/>
      <c r="GP20" s="19"/>
      <c r="GQ20" s="19"/>
      <c r="GR20" s="19"/>
      <c r="GS20" s="19"/>
      <c r="GT20" s="19"/>
      <c r="GU20" s="19"/>
      <c r="GV20" s="19"/>
      <c r="GW20" s="19"/>
      <c r="GX20" s="19"/>
      <c r="GY20" s="19"/>
      <c r="GZ20" s="19"/>
      <c r="HA20" s="19"/>
      <c r="HB20" s="19"/>
      <c r="HC20" s="19"/>
      <c r="HD20" s="19"/>
      <c r="HE20" s="19"/>
      <c r="HF20" s="19"/>
      <c r="HG20" s="19"/>
      <c r="HH20" s="19"/>
      <c r="HI20" s="19"/>
      <c r="HJ20" s="19"/>
      <c r="HK20" s="19"/>
      <c r="HL20" s="19"/>
      <c r="HM20" s="19"/>
      <c r="HN20" s="19"/>
      <c r="HO20" s="19"/>
      <c r="HP20" s="19"/>
      <c r="HQ20" s="19"/>
      <c r="HR20" s="19"/>
      <c r="HS20" s="19"/>
      <c r="HT20" s="19"/>
      <c r="HU20" s="19"/>
      <c r="HV20" s="19"/>
      <c r="HW20" s="19"/>
      <c r="HX20" s="19"/>
      <c r="HY20" s="19"/>
      <c r="HZ20" s="19"/>
      <c r="IA20" s="19"/>
      <c r="IB20" s="19"/>
      <c r="IC20" s="19"/>
      <c r="ID20" s="19"/>
      <c r="IE20" s="19"/>
      <c r="IF20" s="19"/>
      <c r="IG20" s="19"/>
      <c r="IH20" s="19"/>
      <c r="II20" s="19"/>
      <c r="IJ20" s="19"/>
      <c r="IK20" s="19"/>
      <c r="IL20" s="19"/>
      <c r="IM20" s="19"/>
      <c r="IN20" s="19"/>
      <c r="IO20" s="19"/>
      <c r="IP20" s="19"/>
      <c r="IQ20" s="19"/>
      <c r="IR20" s="19"/>
      <c r="IS20" s="19"/>
      <c r="IT20" s="19"/>
      <c r="IU20" s="19"/>
      <c r="IV20" s="19"/>
      <c r="IW20" s="19"/>
      <c r="IX20" s="19"/>
      <c r="IY20" s="19"/>
    </row>
    <row r="21" spans="1:259" ht="15" customHeight="1" thickBot="1" x14ac:dyDescent="0.25">
      <c r="A21" s="3"/>
      <c r="B21" s="1304"/>
      <c r="C21" s="360" t="s">
        <v>468</v>
      </c>
      <c r="D21" s="360" t="s">
        <v>469</v>
      </c>
      <c r="E21" s="360" t="s">
        <v>240</v>
      </c>
      <c r="F21" s="360" t="s">
        <v>62</v>
      </c>
      <c r="G21" s="362">
        <f>585721*12</f>
        <v>7028652</v>
      </c>
      <c r="H21" s="444">
        <f t="shared" ref="H21" si="4">+G21*(1+$L$7)</f>
        <v>7942376.7599999988</v>
      </c>
      <c r="I21" s="362">
        <f t="shared" si="2"/>
        <v>272746</v>
      </c>
      <c r="J21" s="362">
        <f t="shared" si="3"/>
        <v>149030</v>
      </c>
      <c r="K21" s="455">
        <f t="shared" ref="K21" si="5">SUM(H21:J21)</f>
        <v>8364152.7599999988</v>
      </c>
      <c r="L21" s="1327"/>
      <c r="M21" s="1066"/>
      <c r="N21" s="563"/>
      <c r="O21" s="563"/>
      <c r="P21" s="1330"/>
      <c r="Q21" s="1330"/>
      <c r="R21" s="1330"/>
      <c r="S21" s="1330"/>
      <c r="T21" s="442"/>
      <c r="U21" s="442"/>
      <c r="V21" s="442"/>
      <c r="W21" s="442"/>
      <c r="X21" s="443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19"/>
      <c r="BK21" s="19"/>
      <c r="BL21" s="19"/>
      <c r="BM21" s="19"/>
      <c r="BN21" s="19"/>
      <c r="BO21" s="19"/>
      <c r="BP21" s="19"/>
      <c r="BQ21" s="19"/>
      <c r="BR21" s="19"/>
      <c r="BS21" s="19"/>
      <c r="BT21" s="19"/>
      <c r="BU21" s="19"/>
      <c r="BV21" s="19"/>
      <c r="BW21" s="19"/>
      <c r="BX21" s="19"/>
      <c r="BY21" s="19"/>
      <c r="BZ21" s="19"/>
      <c r="CA21" s="19"/>
      <c r="CB21" s="19"/>
      <c r="CC21" s="19"/>
      <c r="CD21" s="19"/>
      <c r="CE21" s="19"/>
      <c r="CF21" s="19"/>
      <c r="CG21" s="19"/>
      <c r="CH21" s="19"/>
      <c r="CI21" s="19"/>
      <c r="CJ21" s="19"/>
      <c r="CK21" s="19"/>
      <c r="CL21" s="19"/>
      <c r="CM21" s="19"/>
      <c r="CN21" s="19"/>
      <c r="CO21" s="19"/>
      <c r="CP21" s="19"/>
      <c r="CQ21" s="19"/>
      <c r="CR21" s="19"/>
      <c r="CS21" s="19"/>
      <c r="CT21" s="19"/>
      <c r="CU21" s="19"/>
      <c r="CV21" s="19"/>
      <c r="CW21" s="19"/>
      <c r="CX21" s="19"/>
      <c r="CY21" s="19"/>
      <c r="CZ21" s="19"/>
      <c r="DA21" s="19"/>
      <c r="DB21" s="19"/>
      <c r="DC21" s="19"/>
      <c r="DD21" s="19"/>
      <c r="DE21" s="19"/>
      <c r="DF21" s="19"/>
      <c r="DG21" s="19"/>
      <c r="DH21" s="19"/>
      <c r="DI21" s="19"/>
      <c r="DJ21" s="19"/>
      <c r="DK21" s="19"/>
      <c r="DL21" s="19"/>
      <c r="DM21" s="19"/>
      <c r="DN21" s="19"/>
      <c r="DO21" s="19"/>
      <c r="DP21" s="19"/>
      <c r="DQ21" s="19"/>
      <c r="DR21" s="19"/>
      <c r="DS21" s="19"/>
      <c r="DT21" s="19"/>
      <c r="DU21" s="19"/>
      <c r="DV21" s="19"/>
      <c r="DW21" s="19"/>
      <c r="DX21" s="19"/>
      <c r="DY21" s="19"/>
      <c r="DZ21" s="19"/>
      <c r="EA21" s="19"/>
      <c r="EB21" s="19"/>
      <c r="EC21" s="19"/>
      <c r="ED21" s="19"/>
      <c r="EE21" s="19"/>
      <c r="EF21" s="19"/>
      <c r="EG21" s="19"/>
      <c r="EH21" s="19"/>
      <c r="EI21" s="19"/>
      <c r="EJ21" s="19"/>
      <c r="EK21" s="19"/>
      <c r="EL21" s="19"/>
      <c r="EM21" s="19"/>
      <c r="EN21" s="19"/>
      <c r="EO21" s="19"/>
      <c r="EP21" s="19"/>
      <c r="EQ21" s="19"/>
      <c r="ER21" s="19"/>
      <c r="ES21" s="19"/>
      <c r="ET21" s="19"/>
      <c r="EU21" s="19"/>
      <c r="EV21" s="19"/>
      <c r="EW21" s="19"/>
      <c r="EX21" s="19"/>
      <c r="EY21" s="19"/>
      <c r="EZ21" s="19"/>
      <c r="FA21" s="19"/>
      <c r="FB21" s="19"/>
      <c r="FC21" s="19"/>
      <c r="FD21" s="19"/>
      <c r="FE21" s="19"/>
      <c r="FF21" s="19"/>
      <c r="FG21" s="19"/>
      <c r="FH21" s="19"/>
      <c r="FI21" s="19"/>
      <c r="FJ21" s="19"/>
      <c r="FK21" s="19"/>
      <c r="FL21" s="19"/>
      <c r="FM21" s="19"/>
      <c r="FN21" s="19"/>
      <c r="FO21" s="19"/>
      <c r="FP21" s="19"/>
      <c r="FQ21" s="19"/>
      <c r="FR21" s="19"/>
      <c r="FS21" s="19"/>
      <c r="FT21" s="19"/>
      <c r="FU21" s="19"/>
      <c r="FV21" s="19"/>
      <c r="FW21" s="19"/>
      <c r="FX21" s="19"/>
      <c r="FY21" s="19"/>
      <c r="FZ21" s="19"/>
      <c r="GA21" s="19"/>
      <c r="GB21" s="19"/>
      <c r="GC21" s="19"/>
      <c r="GD21" s="19"/>
      <c r="GE21" s="19"/>
      <c r="GF21" s="19"/>
      <c r="GG21" s="19"/>
      <c r="GH21" s="19"/>
      <c r="GI21" s="19"/>
      <c r="GJ21" s="19"/>
      <c r="GK21" s="19"/>
      <c r="GL21" s="19"/>
      <c r="GM21" s="19"/>
      <c r="GN21" s="19"/>
      <c r="GO21" s="19"/>
      <c r="GP21" s="19"/>
      <c r="GQ21" s="19"/>
      <c r="GR21" s="19"/>
      <c r="GS21" s="19"/>
      <c r="GT21" s="19"/>
      <c r="GU21" s="19"/>
      <c r="GV21" s="19"/>
      <c r="GW21" s="19"/>
      <c r="GX21" s="19"/>
      <c r="GY21" s="19"/>
      <c r="GZ21" s="19"/>
      <c r="HA21" s="19"/>
      <c r="HB21" s="19"/>
      <c r="HC21" s="19"/>
      <c r="HD21" s="19"/>
      <c r="HE21" s="19"/>
      <c r="HF21" s="19"/>
      <c r="HG21" s="19"/>
      <c r="HH21" s="19"/>
      <c r="HI21" s="19"/>
      <c r="HJ21" s="19"/>
      <c r="HK21" s="19"/>
      <c r="HL21" s="19"/>
      <c r="HM21" s="19"/>
      <c r="HN21" s="19"/>
      <c r="HO21" s="19"/>
      <c r="HP21" s="19"/>
      <c r="HQ21" s="19"/>
      <c r="HR21" s="19"/>
      <c r="HS21" s="19"/>
      <c r="HT21" s="19"/>
      <c r="HU21" s="19"/>
      <c r="HV21" s="19"/>
      <c r="HW21" s="19"/>
      <c r="HX21" s="19"/>
      <c r="HY21" s="19"/>
      <c r="HZ21" s="19"/>
      <c r="IA21" s="19"/>
      <c r="IB21" s="19"/>
      <c r="IC21" s="19"/>
      <c r="ID21" s="19"/>
      <c r="IE21" s="19"/>
      <c r="IF21" s="19"/>
      <c r="IG21" s="19"/>
      <c r="IH21" s="19"/>
      <c r="II21" s="19"/>
      <c r="IJ21" s="19"/>
      <c r="IK21" s="19"/>
      <c r="IL21" s="19"/>
      <c r="IM21" s="19"/>
      <c r="IN21" s="19"/>
      <c r="IO21" s="19"/>
      <c r="IP21" s="19"/>
      <c r="IQ21" s="19"/>
      <c r="IR21" s="19"/>
      <c r="IS21" s="19"/>
      <c r="IT21" s="19"/>
      <c r="IU21" s="19"/>
      <c r="IV21" s="19"/>
      <c r="IW21" s="19"/>
      <c r="IX21" s="19"/>
      <c r="IY21" s="19"/>
    </row>
    <row r="22" spans="1:259" ht="13.5" thickBot="1" x14ac:dyDescent="0.25">
      <c r="A22" s="3"/>
      <c r="B22" s="1304"/>
      <c r="C22" s="360" t="s">
        <v>470</v>
      </c>
      <c r="D22" s="360" t="s">
        <v>471</v>
      </c>
      <c r="E22" s="360" t="s">
        <v>238</v>
      </c>
      <c r="F22" s="360" t="s">
        <v>62</v>
      </c>
      <c r="G22" s="362">
        <f>485977*12</f>
        <v>5831724</v>
      </c>
      <c r="H22" s="444">
        <f t="shared" si="0"/>
        <v>6589848.1199999992</v>
      </c>
      <c r="I22" s="362">
        <f t="shared" si="2"/>
        <v>272746</v>
      </c>
      <c r="J22" s="362">
        <f>73174*2</f>
        <v>146348</v>
      </c>
      <c r="K22" s="455">
        <f t="shared" si="1"/>
        <v>7008942.1199999992</v>
      </c>
      <c r="L22" s="1327"/>
      <c r="M22" s="562"/>
      <c r="N22" s="563"/>
      <c r="O22" s="563"/>
      <c r="P22" s="577"/>
      <c r="Q22" s="577"/>
      <c r="R22" s="577"/>
      <c r="S22" s="564"/>
      <c r="T22" s="442"/>
      <c r="U22" s="442"/>
      <c r="V22" s="442"/>
      <c r="W22" s="442"/>
      <c r="X22" s="443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9"/>
      <c r="AS22" s="19"/>
      <c r="AT22" s="19"/>
      <c r="AU22" s="19"/>
      <c r="AV22" s="19"/>
      <c r="AW22" s="19"/>
      <c r="AX22" s="19"/>
      <c r="AY22" s="19"/>
      <c r="AZ22" s="19"/>
      <c r="BA22" s="19"/>
      <c r="BB22" s="19"/>
      <c r="BC22" s="19"/>
      <c r="BD22" s="19"/>
      <c r="BE22" s="19"/>
      <c r="BF22" s="19"/>
      <c r="BG22" s="19"/>
      <c r="BH22" s="19"/>
      <c r="BI22" s="19"/>
      <c r="BJ22" s="19"/>
      <c r="BK22" s="19"/>
      <c r="BL22" s="19"/>
      <c r="BM22" s="19"/>
      <c r="BN22" s="19"/>
      <c r="BO22" s="19"/>
      <c r="BP22" s="19"/>
      <c r="BQ22" s="19"/>
      <c r="BR22" s="19"/>
      <c r="BS22" s="19"/>
      <c r="BT22" s="19"/>
      <c r="BU22" s="19"/>
      <c r="BV22" s="19"/>
      <c r="BW22" s="19"/>
      <c r="BX22" s="19"/>
      <c r="BY22" s="19"/>
      <c r="BZ22" s="19"/>
      <c r="CA22" s="19"/>
      <c r="CB22" s="19"/>
      <c r="CC22" s="19"/>
      <c r="CD22" s="19"/>
      <c r="CE22" s="19"/>
      <c r="CF22" s="19"/>
      <c r="CG22" s="19"/>
      <c r="CH22" s="19"/>
      <c r="CI22" s="19"/>
      <c r="CJ22" s="19"/>
      <c r="CK22" s="19"/>
      <c r="CL22" s="19"/>
      <c r="CM22" s="19"/>
      <c r="CN22" s="19"/>
      <c r="CO22" s="19"/>
      <c r="CP22" s="19"/>
      <c r="CQ22" s="19"/>
      <c r="CR22" s="19"/>
      <c r="CS22" s="19"/>
      <c r="CT22" s="19"/>
      <c r="CU22" s="19"/>
      <c r="CV22" s="19"/>
      <c r="CW22" s="19"/>
      <c r="CX22" s="19"/>
      <c r="CY22" s="19"/>
      <c r="CZ22" s="19"/>
      <c r="DA22" s="19"/>
      <c r="DB22" s="19"/>
      <c r="DC22" s="19"/>
      <c r="DD22" s="19"/>
      <c r="DE22" s="19"/>
      <c r="DF22" s="19"/>
      <c r="DG22" s="19"/>
      <c r="DH22" s="19"/>
      <c r="DI22" s="19"/>
      <c r="DJ22" s="19"/>
      <c r="DK22" s="19"/>
      <c r="DL22" s="19"/>
      <c r="DM22" s="19"/>
      <c r="DN22" s="19"/>
      <c r="DO22" s="19"/>
      <c r="DP22" s="19"/>
      <c r="DQ22" s="19"/>
      <c r="DR22" s="19"/>
      <c r="DS22" s="19"/>
      <c r="DT22" s="19"/>
      <c r="DU22" s="19"/>
      <c r="DV22" s="19"/>
      <c r="DW22" s="19"/>
      <c r="DX22" s="19"/>
      <c r="DY22" s="19"/>
      <c r="DZ22" s="19"/>
      <c r="EA22" s="19"/>
      <c r="EB22" s="19"/>
      <c r="EC22" s="19"/>
      <c r="ED22" s="19"/>
      <c r="EE22" s="19"/>
      <c r="EF22" s="19"/>
      <c r="EG22" s="19"/>
      <c r="EH22" s="19"/>
      <c r="EI22" s="19"/>
      <c r="EJ22" s="19"/>
      <c r="EK22" s="19"/>
      <c r="EL22" s="19"/>
      <c r="EM22" s="19"/>
      <c r="EN22" s="19"/>
      <c r="EO22" s="19"/>
      <c r="EP22" s="19"/>
      <c r="EQ22" s="19"/>
      <c r="ER22" s="19"/>
      <c r="ES22" s="19"/>
      <c r="ET22" s="19"/>
      <c r="EU22" s="19"/>
      <c r="EV22" s="19"/>
      <c r="EW22" s="19"/>
      <c r="EX22" s="19"/>
      <c r="EY22" s="19"/>
      <c r="EZ22" s="19"/>
      <c r="FA22" s="19"/>
      <c r="FB22" s="19"/>
      <c r="FC22" s="19"/>
      <c r="FD22" s="19"/>
      <c r="FE22" s="19"/>
      <c r="FF22" s="19"/>
      <c r="FG22" s="19"/>
      <c r="FH22" s="19"/>
      <c r="FI22" s="19"/>
      <c r="FJ22" s="19"/>
      <c r="FK22" s="19"/>
      <c r="FL22" s="19"/>
      <c r="FM22" s="19"/>
      <c r="FN22" s="19"/>
      <c r="FO22" s="19"/>
      <c r="FP22" s="19"/>
      <c r="FQ22" s="19"/>
      <c r="FR22" s="19"/>
      <c r="FS22" s="19"/>
      <c r="FT22" s="19"/>
      <c r="FU22" s="19"/>
      <c r="FV22" s="19"/>
      <c r="FW22" s="19"/>
      <c r="FX22" s="19"/>
      <c r="FY22" s="19"/>
      <c r="FZ22" s="19"/>
      <c r="GA22" s="19"/>
      <c r="GB22" s="19"/>
      <c r="GC22" s="19"/>
      <c r="GD22" s="19"/>
      <c r="GE22" s="19"/>
      <c r="GF22" s="19"/>
      <c r="GG22" s="19"/>
      <c r="GH22" s="19"/>
      <c r="GI22" s="19"/>
      <c r="GJ22" s="19"/>
      <c r="GK22" s="19"/>
      <c r="GL22" s="19"/>
      <c r="GM22" s="19"/>
      <c r="GN22" s="19"/>
      <c r="GO22" s="19"/>
      <c r="GP22" s="19"/>
      <c r="GQ22" s="19"/>
      <c r="GR22" s="19"/>
      <c r="GS22" s="19"/>
      <c r="GT22" s="19"/>
      <c r="GU22" s="19"/>
      <c r="GV22" s="19"/>
      <c r="GW22" s="19"/>
      <c r="GX22" s="19"/>
      <c r="GY22" s="19"/>
      <c r="GZ22" s="19"/>
      <c r="HA22" s="19"/>
      <c r="HB22" s="19"/>
      <c r="HC22" s="19"/>
      <c r="HD22" s="19"/>
      <c r="HE22" s="19"/>
      <c r="HF22" s="19"/>
      <c r="HG22" s="19"/>
      <c r="HH22" s="19"/>
      <c r="HI22" s="19"/>
      <c r="HJ22" s="19"/>
      <c r="HK22" s="19"/>
      <c r="HL22" s="19"/>
      <c r="HM22" s="19"/>
      <c r="HN22" s="19"/>
      <c r="HO22" s="19"/>
      <c r="HP22" s="19"/>
      <c r="HQ22" s="19"/>
      <c r="HR22" s="19"/>
      <c r="HS22" s="19"/>
      <c r="HT22" s="19"/>
      <c r="HU22" s="19"/>
      <c r="HV22" s="19"/>
      <c r="HW22" s="19"/>
      <c r="HX22" s="19"/>
      <c r="HY22" s="19"/>
      <c r="HZ22" s="19"/>
      <c r="IA22" s="19"/>
      <c r="IB22" s="19"/>
      <c r="IC22" s="19"/>
      <c r="ID22" s="19"/>
      <c r="IE22" s="19"/>
      <c r="IF22" s="19"/>
      <c r="IG22" s="19"/>
      <c r="IH22" s="19"/>
      <c r="II22" s="19"/>
      <c r="IJ22" s="19"/>
      <c r="IK22" s="19"/>
      <c r="IL22" s="19"/>
      <c r="IM22" s="19"/>
      <c r="IN22" s="19"/>
      <c r="IO22" s="19"/>
      <c r="IP22" s="19"/>
      <c r="IQ22" s="19"/>
      <c r="IR22" s="19"/>
      <c r="IS22" s="19"/>
      <c r="IT22" s="19"/>
      <c r="IU22" s="19"/>
      <c r="IV22" s="19"/>
      <c r="IW22" s="19"/>
      <c r="IX22" s="19"/>
      <c r="IY22" s="19"/>
    </row>
    <row r="23" spans="1:259" ht="13.5" thickBot="1" x14ac:dyDescent="0.25">
      <c r="A23" s="3"/>
      <c r="B23" s="1304"/>
      <c r="C23" s="360" t="s">
        <v>418</v>
      </c>
      <c r="D23" s="360"/>
      <c r="E23" s="360" t="s">
        <v>238</v>
      </c>
      <c r="F23" s="360" t="s">
        <v>62</v>
      </c>
      <c r="G23" s="362">
        <f>400000*12</f>
        <v>4800000</v>
      </c>
      <c r="H23" s="444">
        <f t="shared" si="0"/>
        <v>5423999.9999999991</v>
      </c>
      <c r="I23" s="362">
        <f t="shared" si="2"/>
        <v>272746</v>
      </c>
      <c r="J23" s="362">
        <f t="shared" ref="J23" si="6">73174*2</f>
        <v>146348</v>
      </c>
      <c r="K23" s="455">
        <f t="shared" si="1"/>
        <v>5843093.9999999991</v>
      </c>
      <c r="L23" s="1327"/>
      <c r="M23" s="562"/>
      <c r="N23" s="563"/>
      <c r="O23" s="563"/>
      <c r="P23" s="577"/>
      <c r="Q23" s="577"/>
      <c r="R23" s="577"/>
      <c r="S23" s="564"/>
      <c r="T23" s="442"/>
      <c r="U23" s="442"/>
      <c r="V23" s="442"/>
      <c r="W23" s="442"/>
      <c r="X23" s="443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  <c r="BF23" s="19"/>
      <c r="BG23" s="19"/>
      <c r="BH23" s="19"/>
      <c r="BI23" s="19"/>
      <c r="BJ23" s="19"/>
      <c r="BK23" s="19"/>
      <c r="BL23" s="19"/>
      <c r="BM23" s="19"/>
      <c r="BN23" s="19"/>
      <c r="BO23" s="19"/>
      <c r="BP23" s="19"/>
      <c r="BQ23" s="19"/>
      <c r="BR23" s="19"/>
      <c r="BS23" s="19"/>
      <c r="BT23" s="19"/>
      <c r="BU23" s="19"/>
      <c r="BV23" s="19"/>
      <c r="BW23" s="19"/>
      <c r="BX23" s="19"/>
      <c r="BY23" s="19"/>
      <c r="BZ23" s="19"/>
      <c r="CA23" s="19"/>
      <c r="CB23" s="19"/>
      <c r="CC23" s="19"/>
      <c r="CD23" s="19"/>
      <c r="CE23" s="19"/>
      <c r="CF23" s="19"/>
      <c r="CG23" s="19"/>
      <c r="CH23" s="19"/>
      <c r="CI23" s="19"/>
      <c r="CJ23" s="19"/>
      <c r="CK23" s="19"/>
      <c r="CL23" s="19"/>
      <c r="CM23" s="19"/>
      <c r="CN23" s="19"/>
      <c r="CO23" s="19"/>
      <c r="CP23" s="19"/>
      <c r="CQ23" s="19"/>
      <c r="CR23" s="19"/>
      <c r="CS23" s="19"/>
      <c r="CT23" s="19"/>
      <c r="CU23" s="19"/>
      <c r="CV23" s="19"/>
      <c r="CW23" s="19"/>
      <c r="CX23" s="19"/>
      <c r="CY23" s="19"/>
      <c r="CZ23" s="19"/>
      <c r="DA23" s="19"/>
      <c r="DB23" s="19"/>
      <c r="DC23" s="19"/>
      <c r="DD23" s="19"/>
      <c r="DE23" s="19"/>
      <c r="DF23" s="19"/>
      <c r="DG23" s="19"/>
      <c r="DH23" s="19"/>
      <c r="DI23" s="19"/>
      <c r="DJ23" s="19"/>
      <c r="DK23" s="19"/>
      <c r="DL23" s="19"/>
      <c r="DM23" s="19"/>
      <c r="DN23" s="19"/>
      <c r="DO23" s="19"/>
      <c r="DP23" s="19"/>
      <c r="DQ23" s="19"/>
      <c r="DR23" s="19"/>
      <c r="DS23" s="19"/>
      <c r="DT23" s="19"/>
      <c r="DU23" s="19"/>
      <c r="DV23" s="19"/>
      <c r="DW23" s="19"/>
      <c r="DX23" s="19"/>
      <c r="DY23" s="19"/>
      <c r="DZ23" s="19"/>
      <c r="EA23" s="19"/>
      <c r="EB23" s="19"/>
      <c r="EC23" s="19"/>
      <c r="ED23" s="19"/>
      <c r="EE23" s="19"/>
      <c r="EF23" s="19"/>
      <c r="EG23" s="19"/>
      <c r="EH23" s="19"/>
      <c r="EI23" s="19"/>
      <c r="EJ23" s="19"/>
      <c r="EK23" s="19"/>
      <c r="EL23" s="19"/>
      <c r="EM23" s="19"/>
      <c r="EN23" s="19"/>
      <c r="EO23" s="19"/>
      <c r="EP23" s="19"/>
      <c r="EQ23" s="19"/>
      <c r="ER23" s="19"/>
      <c r="ES23" s="19"/>
      <c r="ET23" s="19"/>
      <c r="EU23" s="19"/>
      <c r="EV23" s="19"/>
      <c r="EW23" s="19"/>
      <c r="EX23" s="19"/>
      <c r="EY23" s="19"/>
      <c r="EZ23" s="19"/>
      <c r="FA23" s="19"/>
      <c r="FB23" s="19"/>
      <c r="FC23" s="19"/>
      <c r="FD23" s="19"/>
      <c r="FE23" s="19"/>
      <c r="FF23" s="19"/>
      <c r="FG23" s="19"/>
      <c r="FH23" s="19"/>
      <c r="FI23" s="19"/>
      <c r="FJ23" s="19"/>
      <c r="FK23" s="19"/>
      <c r="FL23" s="19"/>
      <c r="FM23" s="19"/>
      <c r="FN23" s="19"/>
      <c r="FO23" s="19"/>
      <c r="FP23" s="19"/>
      <c r="FQ23" s="19"/>
      <c r="FR23" s="19"/>
      <c r="FS23" s="19"/>
      <c r="FT23" s="19"/>
      <c r="FU23" s="19"/>
      <c r="FV23" s="19"/>
      <c r="FW23" s="19"/>
      <c r="FX23" s="19"/>
      <c r="FY23" s="19"/>
      <c r="FZ23" s="19"/>
      <c r="GA23" s="19"/>
      <c r="GB23" s="19"/>
      <c r="GC23" s="19"/>
      <c r="GD23" s="19"/>
      <c r="GE23" s="19"/>
      <c r="GF23" s="19"/>
      <c r="GG23" s="19"/>
      <c r="GH23" s="19"/>
      <c r="GI23" s="19"/>
      <c r="GJ23" s="19"/>
      <c r="GK23" s="19"/>
      <c r="GL23" s="19"/>
      <c r="GM23" s="19"/>
      <c r="GN23" s="19"/>
      <c r="GO23" s="19"/>
      <c r="GP23" s="19"/>
      <c r="GQ23" s="19"/>
      <c r="GR23" s="19"/>
      <c r="GS23" s="19"/>
      <c r="GT23" s="19"/>
      <c r="GU23" s="19"/>
      <c r="GV23" s="19"/>
      <c r="GW23" s="19"/>
      <c r="GX23" s="19"/>
      <c r="GY23" s="19"/>
      <c r="GZ23" s="19"/>
      <c r="HA23" s="19"/>
      <c r="HB23" s="19"/>
      <c r="HC23" s="19"/>
      <c r="HD23" s="19"/>
      <c r="HE23" s="19"/>
      <c r="HF23" s="19"/>
      <c r="HG23" s="19"/>
      <c r="HH23" s="19"/>
      <c r="HI23" s="19"/>
      <c r="HJ23" s="19"/>
      <c r="HK23" s="19"/>
      <c r="HL23" s="19"/>
      <c r="HM23" s="19"/>
      <c r="HN23" s="19"/>
      <c r="HO23" s="19"/>
      <c r="HP23" s="19"/>
      <c r="HQ23" s="19"/>
      <c r="HR23" s="19"/>
      <c r="HS23" s="19"/>
      <c r="HT23" s="19"/>
      <c r="HU23" s="19"/>
      <c r="HV23" s="19"/>
      <c r="HW23" s="19"/>
      <c r="HX23" s="19"/>
      <c r="HY23" s="19"/>
      <c r="HZ23" s="19"/>
      <c r="IA23" s="19"/>
      <c r="IB23" s="19"/>
      <c r="IC23" s="19"/>
      <c r="ID23" s="19"/>
      <c r="IE23" s="19"/>
      <c r="IF23" s="19"/>
      <c r="IG23" s="19"/>
      <c r="IH23" s="19"/>
      <c r="II23" s="19"/>
      <c r="IJ23" s="19"/>
      <c r="IK23" s="19"/>
      <c r="IL23" s="19"/>
      <c r="IM23" s="19"/>
      <c r="IN23" s="19"/>
      <c r="IO23" s="19"/>
      <c r="IP23" s="19"/>
      <c r="IQ23" s="19"/>
      <c r="IR23" s="19"/>
      <c r="IS23" s="19"/>
      <c r="IT23" s="19"/>
      <c r="IU23" s="19"/>
      <c r="IV23" s="19"/>
      <c r="IW23" s="19"/>
      <c r="IX23" s="19"/>
      <c r="IY23" s="19"/>
    </row>
    <row r="24" spans="1:259" ht="13.5" thickBot="1" x14ac:dyDescent="0.25">
      <c r="A24" s="3"/>
      <c r="B24" s="1304"/>
      <c r="C24" s="446" t="s">
        <v>418</v>
      </c>
      <c r="D24" s="446"/>
      <c r="E24" s="446" t="s">
        <v>238</v>
      </c>
      <c r="F24" s="446" t="s">
        <v>62</v>
      </c>
      <c r="G24" s="1062">
        <v>0</v>
      </c>
      <c r="H24" s="1063">
        <v>0</v>
      </c>
      <c r="I24" s="1062">
        <v>0</v>
      </c>
      <c r="J24" s="1062">
        <v>0</v>
      </c>
      <c r="K24" s="1064">
        <f t="shared" si="1"/>
        <v>0</v>
      </c>
      <c r="L24" s="1327"/>
      <c r="M24" s="211"/>
      <c r="N24" s="439"/>
      <c r="O24" s="439"/>
      <c r="P24" s="437"/>
      <c r="Q24" s="437"/>
      <c r="R24" s="437"/>
      <c r="S24" s="441"/>
      <c r="T24" s="442"/>
      <c r="U24" s="442"/>
      <c r="V24" s="442"/>
      <c r="W24" s="442"/>
      <c r="X24" s="443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9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19"/>
      <c r="BE24" s="19"/>
      <c r="BF24" s="19"/>
      <c r="BG24" s="19"/>
      <c r="BH24" s="19"/>
      <c r="BI24" s="19"/>
      <c r="BJ24" s="19"/>
      <c r="BK24" s="19"/>
      <c r="BL24" s="19"/>
      <c r="BM24" s="19"/>
      <c r="BN24" s="19"/>
      <c r="BO24" s="19"/>
      <c r="BP24" s="19"/>
      <c r="BQ24" s="19"/>
      <c r="BR24" s="19"/>
      <c r="BS24" s="19"/>
      <c r="BT24" s="19"/>
      <c r="BU24" s="19"/>
      <c r="BV24" s="19"/>
      <c r="BW24" s="19"/>
      <c r="BX24" s="19"/>
      <c r="BY24" s="19"/>
      <c r="BZ24" s="19"/>
      <c r="CA24" s="19"/>
      <c r="CB24" s="19"/>
      <c r="CC24" s="19"/>
      <c r="CD24" s="19"/>
      <c r="CE24" s="19"/>
      <c r="CF24" s="19"/>
      <c r="CG24" s="19"/>
      <c r="CH24" s="19"/>
      <c r="CI24" s="19"/>
      <c r="CJ24" s="19"/>
      <c r="CK24" s="19"/>
      <c r="CL24" s="19"/>
      <c r="CM24" s="19"/>
      <c r="CN24" s="19"/>
      <c r="CO24" s="19"/>
      <c r="CP24" s="19"/>
      <c r="CQ24" s="19"/>
      <c r="CR24" s="19"/>
      <c r="CS24" s="19"/>
      <c r="CT24" s="19"/>
      <c r="CU24" s="19"/>
      <c r="CV24" s="19"/>
      <c r="CW24" s="19"/>
      <c r="CX24" s="19"/>
      <c r="CY24" s="19"/>
      <c r="CZ24" s="19"/>
      <c r="DA24" s="19"/>
      <c r="DB24" s="19"/>
      <c r="DC24" s="19"/>
      <c r="DD24" s="19"/>
      <c r="DE24" s="19"/>
      <c r="DF24" s="19"/>
      <c r="DG24" s="19"/>
      <c r="DH24" s="19"/>
      <c r="DI24" s="19"/>
      <c r="DJ24" s="19"/>
      <c r="DK24" s="19"/>
      <c r="DL24" s="19"/>
      <c r="DM24" s="19"/>
      <c r="DN24" s="19"/>
      <c r="DO24" s="19"/>
      <c r="DP24" s="19"/>
      <c r="DQ24" s="19"/>
      <c r="DR24" s="19"/>
      <c r="DS24" s="19"/>
      <c r="DT24" s="19"/>
      <c r="DU24" s="19"/>
      <c r="DV24" s="19"/>
      <c r="DW24" s="19"/>
      <c r="DX24" s="19"/>
      <c r="DY24" s="19"/>
      <c r="DZ24" s="19"/>
      <c r="EA24" s="19"/>
      <c r="EB24" s="19"/>
      <c r="EC24" s="19"/>
      <c r="ED24" s="19"/>
      <c r="EE24" s="19"/>
      <c r="EF24" s="19"/>
      <c r="EG24" s="19"/>
      <c r="EH24" s="19"/>
      <c r="EI24" s="19"/>
      <c r="EJ24" s="19"/>
      <c r="EK24" s="19"/>
      <c r="EL24" s="19"/>
      <c r="EM24" s="19"/>
      <c r="EN24" s="19"/>
      <c r="EO24" s="19"/>
      <c r="EP24" s="19"/>
      <c r="EQ24" s="19"/>
      <c r="ER24" s="19"/>
      <c r="ES24" s="19"/>
      <c r="ET24" s="19"/>
      <c r="EU24" s="19"/>
      <c r="EV24" s="19"/>
      <c r="EW24" s="19"/>
      <c r="EX24" s="19"/>
      <c r="EY24" s="19"/>
      <c r="EZ24" s="19"/>
      <c r="FA24" s="19"/>
      <c r="FB24" s="19"/>
      <c r="FC24" s="19"/>
      <c r="FD24" s="19"/>
      <c r="FE24" s="19"/>
      <c r="FF24" s="19"/>
      <c r="FG24" s="19"/>
      <c r="FH24" s="19"/>
      <c r="FI24" s="19"/>
      <c r="FJ24" s="19"/>
      <c r="FK24" s="19"/>
      <c r="FL24" s="19"/>
      <c r="FM24" s="19"/>
      <c r="FN24" s="19"/>
      <c r="FO24" s="19"/>
      <c r="FP24" s="19"/>
      <c r="FQ24" s="19"/>
      <c r="FR24" s="19"/>
      <c r="FS24" s="19"/>
      <c r="FT24" s="19"/>
      <c r="FU24" s="19"/>
      <c r="FV24" s="19"/>
      <c r="FW24" s="19"/>
      <c r="FX24" s="19"/>
      <c r="FY24" s="19"/>
      <c r="FZ24" s="19"/>
      <c r="GA24" s="19"/>
      <c r="GB24" s="19"/>
      <c r="GC24" s="19"/>
      <c r="GD24" s="19"/>
      <c r="GE24" s="19"/>
      <c r="GF24" s="19"/>
      <c r="GG24" s="19"/>
      <c r="GH24" s="19"/>
      <c r="GI24" s="19"/>
      <c r="GJ24" s="19"/>
      <c r="GK24" s="19"/>
      <c r="GL24" s="19"/>
      <c r="GM24" s="19"/>
      <c r="GN24" s="19"/>
      <c r="GO24" s="19"/>
      <c r="GP24" s="19"/>
      <c r="GQ24" s="19"/>
      <c r="GR24" s="19"/>
      <c r="GS24" s="19"/>
      <c r="GT24" s="19"/>
      <c r="GU24" s="19"/>
      <c r="GV24" s="19"/>
      <c r="GW24" s="19"/>
      <c r="GX24" s="19"/>
      <c r="GY24" s="19"/>
      <c r="GZ24" s="19"/>
      <c r="HA24" s="19"/>
      <c r="HB24" s="19"/>
      <c r="HC24" s="19"/>
      <c r="HD24" s="19"/>
      <c r="HE24" s="19"/>
      <c r="HF24" s="19"/>
      <c r="HG24" s="19"/>
      <c r="HH24" s="19"/>
      <c r="HI24" s="19"/>
      <c r="HJ24" s="19"/>
      <c r="HK24" s="19"/>
      <c r="HL24" s="19"/>
      <c r="HM24" s="19"/>
      <c r="HN24" s="19"/>
      <c r="HO24" s="19"/>
      <c r="HP24" s="19"/>
      <c r="HQ24" s="19"/>
      <c r="HR24" s="19"/>
      <c r="HS24" s="19"/>
      <c r="HT24" s="19"/>
      <c r="HU24" s="19"/>
      <c r="HV24" s="19"/>
      <c r="HW24" s="19"/>
      <c r="HX24" s="19"/>
      <c r="HY24" s="19"/>
      <c r="HZ24" s="19"/>
      <c r="IA24" s="19"/>
      <c r="IB24" s="19"/>
      <c r="IC24" s="19"/>
      <c r="ID24" s="19"/>
      <c r="IE24" s="19"/>
      <c r="IF24" s="19"/>
      <c r="IG24" s="19"/>
      <c r="IH24" s="19"/>
      <c r="II24" s="19"/>
      <c r="IJ24" s="19"/>
      <c r="IK24" s="19"/>
      <c r="IL24" s="19"/>
      <c r="IM24" s="19"/>
      <c r="IN24" s="19"/>
      <c r="IO24" s="19"/>
      <c r="IP24" s="19"/>
      <c r="IQ24" s="19"/>
      <c r="IR24" s="19"/>
      <c r="IS24" s="19"/>
      <c r="IT24" s="19"/>
      <c r="IU24" s="19"/>
      <c r="IV24" s="19"/>
      <c r="IW24" s="19"/>
      <c r="IX24" s="19"/>
      <c r="IY24" s="19"/>
    </row>
    <row r="25" spans="1:259" ht="13.5" thickBot="1" x14ac:dyDescent="0.25">
      <c r="A25" s="3"/>
      <c r="B25" s="1304"/>
      <c r="C25" s="360" t="s">
        <v>472</v>
      </c>
      <c r="D25" s="360" t="s">
        <v>473</v>
      </c>
      <c r="E25" s="360" t="s">
        <v>239</v>
      </c>
      <c r="F25" s="360" t="s">
        <v>62</v>
      </c>
      <c r="G25" s="362">
        <f>453969*12</f>
        <v>5447628</v>
      </c>
      <c r="H25" s="444">
        <f t="shared" si="0"/>
        <v>6155819.6399999997</v>
      </c>
      <c r="I25" s="362">
        <f t="shared" si="2"/>
        <v>272746</v>
      </c>
      <c r="J25" s="362">
        <f>74207*2</f>
        <v>148414</v>
      </c>
      <c r="K25" s="455">
        <f t="shared" si="1"/>
        <v>6576979.6399999997</v>
      </c>
      <c r="L25" s="1327"/>
      <c r="M25" s="145"/>
      <c r="N25" s="439"/>
      <c r="O25" s="439"/>
      <c r="P25" s="437"/>
      <c r="Q25" s="437"/>
      <c r="R25" s="437"/>
      <c r="S25" s="441"/>
      <c r="T25" s="442"/>
      <c r="U25" s="442"/>
      <c r="V25" s="442"/>
      <c r="W25" s="442"/>
      <c r="X25" s="443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9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  <c r="BF25" s="19"/>
      <c r="BG25" s="19"/>
      <c r="BH25" s="19"/>
      <c r="BI25" s="19"/>
      <c r="BJ25" s="19"/>
      <c r="BK25" s="19"/>
      <c r="BL25" s="19"/>
      <c r="BM25" s="19"/>
      <c r="BN25" s="19"/>
      <c r="BO25" s="19"/>
      <c r="BP25" s="19"/>
      <c r="BQ25" s="19"/>
      <c r="BR25" s="19"/>
      <c r="BS25" s="19"/>
      <c r="BT25" s="19"/>
      <c r="BU25" s="19"/>
      <c r="BV25" s="19"/>
      <c r="BW25" s="19"/>
      <c r="BX25" s="19"/>
      <c r="BY25" s="19"/>
      <c r="BZ25" s="19"/>
      <c r="CA25" s="19"/>
      <c r="CB25" s="19"/>
      <c r="CC25" s="19"/>
      <c r="CD25" s="19"/>
      <c r="CE25" s="19"/>
      <c r="CF25" s="19"/>
      <c r="CG25" s="19"/>
      <c r="CH25" s="19"/>
      <c r="CI25" s="19"/>
      <c r="CJ25" s="19"/>
      <c r="CK25" s="19"/>
      <c r="CL25" s="19"/>
      <c r="CM25" s="19"/>
      <c r="CN25" s="19"/>
      <c r="CO25" s="19"/>
      <c r="CP25" s="19"/>
      <c r="CQ25" s="19"/>
      <c r="CR25" s="19"/>
      <c r="CS25" s="19"/>
      <c r="CT25" s="19"/>
      <c r="CU25" s="19"/>
      <c r="CV25" s="19"/>
      <c r="CW25" s="19"/>
      <c r="CX25" s="19"/>
      <c r="CY25" s="19"/>
      <c r="CZ25" s="19"/>
      <c r="DA25" s="19"/>
      <c r="DB25" s="19"/>
      <c r="DC25" s="19"/>
      <c r="DD25" s="19"/>
      <c r="DE25" s="19"/>
      <c r="DF25" s="19"/>
      <c r="DG25" s="19"/>
      <c r="DH25" s="19"/>
      <c r="DI25" s="19"/>
      <c r="DJ25" s="19"/>
      <c r="DK25" s="19"/>
      <c r="DL25" s="19"/>
      <c r="DM25" s="19"/>
      <c r="DN25" s="19"/>
      <c r="DO25" s="19"/>
      <c r="DP25" s="19"/>
      <c r="DQ25" s="19"/>
      <c r="DR25" s="19"/>
      <c r="DS25" s="19"/>
      <c r="DT25" s="19"/>
      <c r="DU25" s="19"/>
      <c r="DV25" s="19"/>
      <c r="DW25" s="19"/>
      <c r="DX25" s="19"/>
      <c r="DY25" s="19"/>
      <c r="DZ25" s="19"/>
      <c r="EA25" s="19"/>
      <c r="EB25" s="19"/>
      <c r="EC25" s="19"/>
      <c r="ED25" s="19"/>
      <c r="EE25" s="19"/>
      <c r="EF25" s="19"/>
      <c r="EG25" s="19"/>
      <c r="EH25" s="19"/>
      <c r="EI25" s="19"/>
      <c r="EJ25" s="19"/>
      <c r="EK25" s="19"/>
      <c r="EL25" s="19"/>
      <c r="EM25" s="19"/>
      <c r="EN25" s="19"/>
      <c r="EO25" s="19"/>
      <c r="EP25" s="19"/>
      <c r="EQ25" s="19"/>
      <c r="ER25" s="19"/>
      <c r="ES25" s="19"/>
      <c r="ET25" s="19"/>
      <c r="EU25" s="19"/>
      <c r="EV25" s="19"/>
      <c r="EW25" s="19"/>
      <c r="EX25" s="19"/>
      <c r="EY25" s="19"/>
      <c r="EZ25" s="19"/>
      <c r="FA25" s="19"/>
      <c r="FB25" s="19"/>
      <c r="FC25" s="19"/>
      <c r="FD25" s="19"/>
      <c r="FE25" s="19"/>
      <c r="FF25" s="19"/>
      <c r="FG25" s="19"/>
      <c r="FH25" s="19"/>
      <c r="FI25" s="19"/>
      <c r="FJ25" s="19"/>
      <c r="FK25" s="19"/>
      <c r="FL25" s="19"/>
      <c r="FM25" s="19"/>
      <c r="FN25" s="19"/>
      <c r="FO25" s="19"/>
      <c r="FP25" s="19"/>
      <c r="FQ25" s="19"/>
      <c r="FR25" s="19"/>
      <c r="FS25" s="19"/>
      <c r="FT25" s="19"/>
      <c r="FU25" s="19"/>
      <c r="FV25" s="19"/>
      <c r="FW25" s="19"/>
      <c r="FX25" s="19"/>
      <c r="FY25" s="19"/>
      <c r="FZ25" s="19"/>
      <c r="GA25" s="19"/>
      <c r="GB25" s="19"/>
      <c r="GC25" s="19"/>
      <c r="GD25" s="19"/>
      <c r="GE25" s="19"/>
      <c r="GF25" s="19"/>
      <c r="GG25" s="19"/>
      <c r="GH25" s="19"/>
      <c r="GI25" s="19"/>
      <c r="GJ25" s="19"/>
      <c r="GK25" s="19"/>
      <c r="GL25" s="19"/>
      <c r="GM25" s="19"/>
      <c r="GN25" s="19"/>
      <c r="GO25" s="19"/>
      <c r="GP25" s="19"/>
      <c r="GQ25" s="19"/>
      <c r="GR25" s="19"/>
      <c r="GS25" s="19"/>
      <c r="GT25" s="19"/>
      <c r="GU25" s="19"/>
      <c r="GV25" s="19"/>
      <c r="GW25" s="19"/>
      <c r="GX25" s="19"/>
      <c r="GY25" s="19"/>
      <c r="GZ25" s="19"/>
      <c r="HA25" s="19"/>
      <c r="HB25" s="19"/>
      <c r="HC25" s="19"/>
      <c r="HD25" s="19"/>
      <c r="HE25" s="19"/>
      <c r="HF25" s="19"/>
      <c r="HG25" s="19"/>
      <c r="HH25" s="19"/>
      <c r="HI25" s="19"/>
      <c r="HJ25" s="19"/>
      <c r="HK25" s="19"/>
      <c r="HL25" s="19"/>
      <c r="HM25" s="19"/>
      <c r="HN25" s="19"/>
      <c r="HO25" s="19"/>
      <c r="HP25" s="19"/>
      <c r="HQ25" s="19"/>
      <c r="HR25" s="19"/>
      <c r="HS25" s="19"/>
      <c r="HT25" s="19"/>
      <c r="HU25" s="19"/>
      <c r="HV25" s="19"/>
      <c r="HW25" s="19"/>
      <c r="HX25" s="19"/>
      <c r="HY25" s="19"/>
      <c r="HZ25" s="19"/>
      <c r="IA25" s="19"/>
      <c r="IB25" s="19"/>
      <c r="IC25" s="19"/>
      <c r="ID25" s="19"/>
      <c r="IE25" s="19"/>
      <c r="IF25" s="19"/>
      <c r="IG25" s="19"/>
      <c r="IH25" s="19"/>
      <c r="II25" s="19"/>
      <c r="IJ25" s="19"/>
      <c r="IK25" s="19"/>
      <c r="IL25" s="19"/>
      <c r="IM25" s="19"/>
      <c r="IN25" s="19"/>
      <c r="IO25" s="19"/>
      <c r="IP25" s="19"/>
      <c r="IQ25" s="19"/>
      <c r="IR25" s="19"/>
      <c r="IS25" s="19"/>
      <c r="IT25" s="19"/>
      <c r="IU25" s="19"/>
      <c r="IV25" s="19"/>
      <c r="IW25" s="19"/>
      <c r="IX25" s="19"/>
      <c r="IY25" s="19"/>
    </row>
    <row r="26" spans="1:259" ht="13.5" thickBot="1" x14ac:dyDescent="0.25">
      <c r="A26" s="3"/>
      <c r="B26" s="1304"/>
      <c r="C26" s="360" t="s">
        <v>474</v>
      </c>
      <c r="D26" s="360" t="s">
        <v>475</v>
      </c>
      <c r="E26" s="360" t="s">
        <v>239</v>
      </c>
      <c r="F26" s="360" t="s">
        <v>62</v>
      </c>
      <c r="G26" s="362">
        <f>400000*12</f>
        <v>4800000</v>
      </c>
      <c r="H26" s="444">
        <f t="shared" si="0"/>
        <v>5423999.9999999991</v>
      </c>
      <c r="I26" s="362">
        <f t="shared" si="2"/>
        <v>272746</v>
      </c>
      <c r="J26" s="362">
        <f>74207*2</f>
        <v>148414</v>
      </c>
      <c r="K26" s="455">
        <f t="shared" si="1"/>
        <v>5845159.9999999991</v>
      </c>
      <c r="L26" s="1327"/>
      <c r="M26" s="145"/>
      <c r="N26" s="439"/>
      <c r="O26" s="439"/>
      <c r="P26" s="437"/>
      <c r="Q26" s="437"/>
      <c r="R26" s="437"/>
      <c r="S26" s="441"/>
      <c r="T26" s="442"/>
      <c r="U26" s="442"/>
      <c r="V26" s="442"/>
      <c r="W26" s="442"/>
      <c r="X26" s="443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  <c r="AP26" s="19"/>
      <c r="AQ26" s="19"/>
      <c r="AR26" s="19"/>
      <c r="AS26" s="19"/>
      <c r="AT26" s="19"/>
      <c r="AU26" s="19"/>
      <c r="AV26" s="19"/>
      <c r="AW26" s="19"/>
      <c r="AX26" s="19"/>
      <c r="AY26" s="19"/>
      <c r="AZ26" s="19"/>
      <c r="BA26" s="19"/>
      <c r="BB26" s="19"/>
      <c r="BC26" s="19"/>
      <c r="BD26" s="19"/>
      <c r="BE26" s="19"/>
      <c r="BF26" s="19"/>
      <c r="BG26" s="19"/>
      <c r="BH26" s="19"/>
      <c r="BI26" s="19"/>
      <c r="BJ26" s="19"/>
      <c r="BK26" s="19"/>
      <c r="BL26" s="19"/>
      <c r="BM26" s="19"/>
      <c r="BN26" s="19"/>
      <c r="BO26" s="19"/>
      <c r="BP26" s="19"/>
      <c r="BQ26" s="19"/>
      <c r="BR26" s="19"/>
      <c r="BS26" s="19"/>
      <c r="BT26" s="19"/>
      <c r="BU26" s="19"/>
      <c r="BV26" s="19"/>
      <c r="BW26" s="19"/>
      <c r="BX26" s="19"/>
      <c r="BY26" s="19"/>
      <c r="BZ26" s="19"/>
      <c r="CA26" s="19"/>
      <c r="CB26" s="19"/>
      <c r="CC26" s="19"/>
      <c r="CD26" s="19"/>
      <c r="CE26" s="19"/>
      <c r="CF26" s="19"/>
      <c r="CG26" s="19"/>
      <c r="CH26" s="19"/>
      <c r="CI26" s="19"/>
      <c r="CJ26" s="19"/>
      <c r="CK26" s="19"/>
      <c r="CL26" s="19"/>
      <c r="CM26" s="19"/>
      <c r="CN26" s="19"/>
      <c r="CO26" s="19"/>
      <c r="CP26" s="19"/>
      <c r="CQ26" s="19"/>
      <c r="CR26" s="19"/>
      <c r="CS26" s="19"/>
      <c r="CT26" s="19"/>
      <c r="CU26" s="19"/>
      <c r="CV26" s="19"/>
      <c r="CW26" s="19"/>
      <c r="CX26" s="19"/>
      <c r="CY26" s="19"/>
      <c r="CZ26" s="19"/>
      <c r="DA26" s="19"/>
      <c r="DB26" s="19"/>
      <c r="DC26" s="19"/>
      <c r="DD26" s="19"/>
      <c r="DE26" s="19"/>
      <c r="DF26" s="19"/>
      <c r="DG26" s="19"/>
      <c r="DH26" s="19"/>
      <c r="DI26" s="19"/>
      <c r="DJ26" s="19"/>
      <c r="DK26" s="19"/>
      <c r="DL26" s="19"/>
      <c r="DM26" s="19"/>
      <c r="DN26" s="19"/>
      <c r="DO26" s="19"/>
      <c r="DP26" s="19"/>
      <c r="DQ26" s="19"/>
      <c r="DR26" s="19"/>
      <c r="DS26" s="19"/>
      <c r="DT26" s="19"/>
      <c r="DU26" s="19"/>
      <c r="DV26" s="19"/>
      <c r="DW26" s="19"/>
      <c r="DX26" s="19"/>
      <c r="DY26" s="19"/>
      <c r="DZ26" s="19"/>
      <c r="EA26" s="19"/>
      <c r="EB26" s="19"/>
      <c r="EC26" s="19"/>
      <c r="ED26" s="19"/>
      <c r="EE26" s="19"/>
      <c r="EF26" s="19"/>
      <c r="EG26" s="19"/>
      <c r="EH26" s="19"/>
      <c r="EI26" s="19"/>
      <c r="EJ26" s="19"/>
      <c r="EK26" s="19"/>
      <c r="EL26" s="19"/>
      <c r="EM26" s="19"/>
      <c r="EN26" s="19"/>
      <c r="EO26" s="19"/>
      <c r="EP26" s="19"/>
      <c r="EQ26" s="19"/>
      <c r="ER26" s="19"/>
      <c r="ES26" s="19"/>
      <c r="ET26" s="19"/>
      <c r="EU26" s="19"/>
      <c r="EV26" s="19"/>
      <c r="EW26" s="19"/>
      <c r="EX26" s="19"/>
      <c r="EY26" s="19"/>
      <c r="EZ26" s="19"/>
      <c r="FA26" s="19"/>
      <c r="FB26" s="19"/>
      <c r="FC26" s="19"/>
      <c r="FD26" s="19"/>
      <c r="FE26" s="19"/>
      <c r="FF26" s="19"/>
      <c r="FG26" s="19"/>
      <c r="FH26" s="19"/>
      <c r="FI26" s="19"/>
      <c r="FJ26" s="19"/>
      <c r="FK26" s="19"/>
      <c r="FL26" s="19"/>
      <c r="FM26" s="19"/>
      <c r="FN26" s="19"/>
      <c r="FO26" s="19"/>
      <c r="FP26" s="19"/>
      <c r="FQ26" s="19"/>
      <c r="FR26" s="19"/>
      <c r="FS26" s="19"/>
      <c r="FT26" s="19"/>
      <c r="FU26" s="19"/>
      <c r="FV26" s="19"/>
      <c r="FW26" s="19"/>
      <c r="FX26" s="19"/>
      <c r="FY26" s="19"/>
      <c r="FZ26" s="19"/>
      <c r="GA26" s="19"/>
      <c r="GB26" s="19"/>
      <c r="GC26" s="19"/>
      <c r="GD26" s="19"/>
      <c r="GE26" s="19"/>
      <c r="GF26" s="19"/>
      <c r="GG26" s="19"/>
      <c r="GH26" s="19"/>
      <c r="GI26" s="19"/>
      <c r="GJ26" s="19"/>
      <c r="GK26" s="19"/>
      <c r="GL26" s="19"/>
      <c r="GM26" s="19"/>
      <c r="GN26" s="19"/>
      <c r="GO26" s="19"/>
      <c r="GP26" s="19"/>
      <c r="GQ26" s="19"/>
      <c r="GR26" s="19"/>
      <c r="GS26" s="19"/>
      <c r="GT26" s="19"/>
      <c r="GU26" s="19"/>
      <c r="GV26" s="19"/>
      <c r="GW26" s="19"/>
      <c r="GX26" s="19"/>
      <c r="GY26" s="19"/>
      <c r="GZ26" s="19"/>
      <c r="HA26" s="19"/>
      <c r="HB26" s="19"/>
      <c r="HC26" s="19"/>
      <c r="HD26" s="19"/>
      <c r="HE26" s="19"/>
      <c r="HF26" s="19"/>
      <c r="HG26" s="19"/>
      <c r="HH26" s="19"/>
      <c r="HI26" s="19"/>
      <c r="HJ26" s="19"/>
      <c r="HK26" s="19"/>
      <c r="HL26" s="19"/>
      <c r="HM26" s="19"/>
      <c r="HN26" s="19"/>
      <c r="HO26" s="19"/>
      <c r="HP26" s="19"/>
      <c r="HQ26" s="19"/>
      <c r="HR26" s="19"/>
      <c r="HS26" s="19"/>
      <c r="HT26" s="19"/>
      <c r="HU26" s="19"/>
      <c r="HV26" s="19"/>
      <c r="HW26" s="19"/>
      <c r="HX26" s="19"/>
      <c r="HY26" s="19"/>
      <c r="HZ26" s="19"/>
      <c r="IA26" s="19"/>
      <c r="IB26" s="19"/>
      <c r="IC26" s="19"/>
      <c r="ID26" s="19"/>
      <c r="IE26" s="19"/>
      <c r="IF26" s="19"/>
      <c r="IG26" s="19"/>
      <c r="IH26" s="19"/>
      <c r="II26" s="19"/>
      <c r="IJ26" s="19"/>
      <c r="IK26" s="19"/>
      <c r="IL26" s="19"/>
      <c r="IM26" s="19"/>
      <c r="IN26" s="19"/>
      <c r="IO26" s="19"/>
      <c r="IP26" s="19"/>
      <c r="IQ26" s="19"/>
      <c r="IR26" s="19"/>
      <c r="IS26" s="19"/>
      <c r="IT26" s="19"/>
      <c r="IU26" s="19"/>
      <c r="IV26" s="19"/>
      <c r="IW26" s="19"/>
      <c r="IX26" s="19"/>
      <c r="IY26" s="19"/>
    </row>
    <row r="27" spans="1:259" ht="13.5" thickBot="1" x14ac:dyDescent="0.25">
      <c r="A27" s="3"/>
      <c r="B27" s="1304"/>
      <c r="C27" s="360" t="s">
        <v>476</v>
      </c>
      <c r="D27" s="360" t="s">
        <v>477</v>
      </c>
      <c r="E27" s="360" t="s">
        <v>330</v>
      </c>
      <c r="F27" s="360" t="s">
        <v>62</v>
      </c>
      <c r="G27" s="362">
        <f>733987*12</f>
        <v>8807844</v>
      </c>
      <c r="H27" s="444">
        <f t="shared" si="0"/>
        <v>9952863.7199999988</v>
      </c>
      <c r="I27" s="362">
        <f>65535+85466</f>
        <v>151001</v>
      </c>
      <c r="J27" s="362">
        <f>72819*2</f>
        <v>145638</v>
      </c>
      <c r="K27" s="455">
        <f t="shared" si="1"/>
        <v>10249502.719999999</v>
      </c>
      <c r="L27" s="1327"/>
      <c r="M27" s="145"/>
      <c r="N27" s="439"/>
      <c r="O27" s="439"/>
      <c r="P27" s="437"/>
      <c r="Q27" s="437"/>
      <c r="R27" s="437"/>
      <c r="S27" s="441"/>
      <c r="T27" s="442"/>
      <c r="U27" s="442"/>
      <c r="V27" s="442"/>
      <c r="W27" s="442"/>
      <c r="X27" s="443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  <c r="AP27" s="19"/>
      <c r="AQ27" s="19"/>
      <c r="AR27" s="19"/>
      <c r="AS27" s="19"/>
      <c r="AT27" s="19"/>
      <c r="AU27" s="19"/>
      <c r="AV27" s="19"/>
      <c r="AW27" s="19"/>
      <c r="AX27" s="19"/>
      <c r="AY27" s="19"/>
      <c r="AZ27" s="19"/>
      <c r="BA27" s="19"/>
      <c r="BB27" s="19"/>
      <c r="BC27" s="19"/>
      <c r="BD27" s="19"/>
      <c r="BE27" s="19"/>
      <c r="BF27" s="19"/>
      <c r="BG27" s="19"/>
      <c r="BH27" s="19"/>
      <c r="BI27" s="19"/>
      <c r="BJ27" s="19"/>
      <c r="BK27" s="19"/>
      <c r="BL27" s="19"/>
      <c r="BM27" s="19"/>
      <c r="BN27" s="19"/>
      <c r="BO27" s="19"/>
      <c r="BP27" s="19"/>
      <c r="BQ27" s="19"/>
      <c r="BR27" s="19"/>
      <c r="BS27" s="19"/>
      <c r="BT27" s="19"/>
      <c r="BU27" s="19"/>
      <c r="BV27" s="19"/>
      <c r="BW27" s="19"/>
      <c r="BX27" s="19"/>
      <c r="BY27" s="19"/>
      <c r="BZ27" s="19"/>
      <c r="CA27" s="19"/>
      <c r="CB27" s="19"/>
      <c r="CC27" s="19"/>
      <c r="CD27" s="19"/>
      <c r="CE27" s="19"/>
      <c r="CF27" s="19"/>
      <c r="CG27" s="19"/>
      <c r="CH27" s="19"/>
      <c r="CI27" s="19"/>
      <c r="CJ27" s="19"/>
      <c r="CK27" s="19"/>
      <c r="CL27" s="19"/>
      <c r="CM27" s="19"/>
      <c r="CN27" s="19"/>
      <c r="CO27" s="19"/>
      <c r="CP27" s="19"/>
      <c r="CQ27" s="19"/>
      <c r="CR27" s="19"/>
      <c r="CS27" s="19"/>
      <c r="CT27" s="19"/>
      <c r="CU27" s="19"/>
      <c r="CV27" s="19"/>
      <c r="CW27" s="19"/>
      <c r="CX27" s="19"/>
      <c r="CY27" s="19"/>
      <c r="CZ27" s="19"/>
      <c r="DA27" s="19"/>
      <c r="DB27" s="19"/>
      <c r="DC27" s="19"/>
      <c r="DD27" s="19"/>
      <c r="DE27" s="19"/>
      <c r="DF27" s="19"/>
      <c r="DG27" s="19"/>
      <c r="DH27" s="19"/>
      <c r="DI27" s="19"/>
      <c r="DJ27" s="19"/>
      <c r="DK27" s="19"/>
      <c r="DL27" s="19"/>
      <c r="DM27" s="19"/>
      <c r="DN27" s="19"/>
      <c r="DO27" s="19"/>
      <c r="DP27" s="19"/>
      <c r="DQ27" s="19"/>
      <c r="DR27" s="19"/>
      <c r="DS27" s="19"/>
      <c r="DT27" s="19"/>
      <c r="DU27" s="19"/>
      <c r="DV27" s="19"/>
      <c r="DW27" s="19"/>
      <c r="DX27" s="19"/>
      <c r="DY27" s="19"/>
      <c r="DZ27" s="19"/>
      <c r="EA27" s="19"/>
      <c r="EB27" s="19"/>
      <c r="EC27" s="19"/>
      <c r="ED27" s="19"/>
      <c r="EE27" s="19"/>
      <c r="EF27" s="19"/>
      <c r="EG27" s="19"/>
      <c r="EH27" s="19"/>
      <c r="EI27" s="19"/>
      <c r="EJ27" s="19"/>
      <c r="EK27" s="19"/>
      <c r="EL27" s="19"/>
      <c r="EM27" s="19"/>
      <c r="EN27" s="19"/>
      <c r="EO27" s="19"/>
      <c r="EP27" s="19"/>
      <c r="EQ27" s="19"/>
      <c r="ER27" s="19"/>
      <c r="ES27" s="19"/>
      <c r="ET27" s="19"/>
      <c r="EU27" s="19"/>
      <c r="EV27" s="19"/>
      <c r="EW27" s="19"/>
      <c r="EX27" s="19"/>
      <c r="EY27" s="19"/>
      <c r="EZ27" s="19"/>
      <c r="FA27" s="19"/>
      <c r="FB27" s="19"/>
      <c r="FC27" s="19"/>
      <c r="FD27" s="19"/>
      <c r="FE27" s="19"/>
      <c r="FF27" s="19"/>
      <c r="FG27" s="19"/>
      <c r="FH27" s="19"/>
      <c r="FI27" s="19"/>
      <c r="FJ27" s="19"/>
      <c r="FK27" s="19"/>
      <c r="FL27" s="19"/>
      <c r="FM27" s="19"/>
      <c r="FN27" s="19"/>
      <c r="FO27" s="19"/>
      <c r="FP27" s="19"/>
      <c r="FQ27" s="19"/>
      <c r="FR27" s="19"/>
      <c r="FS27" s="19"/>
      <c r="FT27" s="19"/>
      <c r="FU27" s="19"/>
      <c r="FV27" s="19"/>
      <c r="FW27" s="19"/>
      <c r="FX27" s="19"/>
      <c r="FY27" s="19"/>
      <c r="FZ27" s="19"/>
      <c r="GA27" s="19"/>
      <c r="GB27" s="19"/>
      <c r="GC27" s="19"/>
      <c r="GD27" s="19"/>
      <c r="GE27" s="19"/>
      <c r="GF27" s="19"/>
      <c r="GG27" s="19"/>
      <c r="GH27" s="19"/>
      <c r="GI27" s="19"/>
      <c r="GJ27" s="19"/>
      <c r="GK27" s="19"/>
      <c r="GL27" s="19"/>
      <c r="GM27" s="19"/>
      <c r="GN27" s="19"/>
      <c r="GO27" s="19"/>
      <c r="GP27" s="19"/>
      <c r="GQ27" s="19"/>
      <c r="GR27" s="19"/>
      <c r="GS27" s="19"/>
      <c r="GT27" s="19"/>
      <c r="GU27" s="19"/>
      <c r="GV27" s="19"/>
      <c r="GW27" s="19"/>
      <c r="GX27" s="19"/>
      <c r="GY27" s="19"/>
      <c r="GZ27" s="19"/>
      <c r="HA27" s="19"/>
      <c r="HB27" s="19"/>
      <c r="HC27" s="19"/>
      <c r="HD27" s="19"/>
      <c r="HE27" s="19"/>
      <c r="HF27" s="19"/>
      <c r="HG27" s="19"/>
      <c r="HH27" s="19"/>
      <c r="HI27" s="19"/>
      <c r="HJ27" s="19"/>
      <c r="HK27" s="19"/>
      <c r="HL27" s="19"/>
      <c r="HM27" s="19"/>
      <c r="HN27" s="19"/>
      <c r="HO27" s="19"/>
      <c r="HP27" s="19"/>
      <c r="HQ27" s="19"/>
      <c r="HR27" s="19"/>
      <c r="HS27" s="19"/>
      <c r="HT27" s="19"/>
      <c r="HU27" s="19"/>
      <c r="HV27" s="19"/>
      <c r="HW27" s="19"/>
      <c r="HX27" s="19"/>
      <c r="HY27" s="19"/>
      <c r="HZ27" s="19"/>
      <c r="IA27" s="19"/>
      <c r="IB27" s="19"/>
      <c r="IC27" s="19"/>
      <c r="ID27" s="19"/>
      <c r="IE27" s="19"/>
      <c r="IF27" s="19"/>
      <c r="IG27" s="19"/>
      <c r="IH27" s="19"/>
      <c r="II27" s="19"/>
      <c r="IJ27" s="19"/>
      <c r="IK27" s="19"/>
      <c r="IL27" s="19"/>
      <c r="IM27" s="19"/>
      <c r="IN27" s="19"/>
      <c r="IO27" s="19"/>
      <c r="IP27" s="19"/>
      <c r="IQ27" s="19"/>
      <c r="IR27" s="19"/>
      <c r="IS27" s="19"/>
      <c r="IT27" s="19"/>
      <c r="IU27" s="19"/>
      <c r="IV27" s="19"/>
      <c r="IW27" s="19"/>
      <c r="IX27" s="19"/>
      <c r="IY27" s="19"/>
    </row>
    <row r="28" spans="1:259" ht="13.5" thickBot="1" x14ac:dyDescent="0.25">
      <c r="A28" s="3"/>
      <c r="B28" s="1304"/>
      <c r="C28" s="360" t="s">
        <v>478</v>
      </c>
      <c r="D28" s="360" t="s">
        <v>479</v>
      </c>
      <c r="E28" s="360" t="s">
        <v>330</v>
      </c>
      <c r="F28" s="360" t="s">
        <v>62</v>
      </c>
      <c r="G28" s="362">
        <f>G27</f>
        <v>8807844</v>
      </c>
      <c r="H28" s="444">
        <f t="shared" si="0"/>
        <v>9952863.7199999988</v>
      </c>
      <c r="I28" s="362">
        <f>65535+85466</f>
        <v>151001</v>
      </c>
      <c r="J28" s="362">
        <f>72819*2</f>
        <v>145638</v>
      </c>
      <c r="K28" s="455">
        <f t="shared" si="1"/>
        <v>10249502.719999999</v>
      </c>
      <c r="L28" s="1327"/>
      <c r="M28" s="145"/>
      <c r="N28" s="439"/>
      <c r="O28" s="439"/>
      <c r="P28" s="437"/>
      <c r="Q28" s="437"/>
      <c r="R28" s="437"/>
      <c r="S28" s="441"/>
      <c r="T28" s="442"/>
      <c r="U28" s="442"/>
      <c r="V28" s="442"/>
      <c r="W28" s="442"/>
      <c r="X28" s="443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19"/>
      <c r="AR28" s="19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19"/>
      <c r="BE28" s="19"/>
      <c r="BF28" s="19"/>
      <c r="BG28" s="19"/>
      <c r="BH28" s="19"/>
      <c r="BI28" s="19"/>
      <c r="BJ28" s="19"/>
      <c r="BK28" s="19"/>
      <c r="BL28" s="19"/>
      <c r="BM28" s="19"/>
      <c r="BN28" s="19"/>
      <c r="BO28" s="19"/>
      <c r="BP28" s="19"/>
      <c r="BQ28" s="19"/>
      <c r="BR28" s="19"/>
      <c r="BS28" s="19"/>
      <c r="BT28" s="19"/>
      <c r="BU28" s="19"/>
      <c r="BV28" s="19"/>
      <c r="BW28" s="19"/>
      <c r="BX28" s="19"/>
      <c r="BY28" s="19"/>
      <c r="BZ28" s="19"/>
      <c r="CA28" s="19"/>
      <c r="CB28" s="19"/>
      <c r="CC28" s="19"/>
      <c r="CD28" s="19"/>
      <c r="CE28" s="19"/>
      <c r="CF28" s="19"/>
      <c r="CG28" s="19"/>
      <c r="CH28" s="19"/>
      <c r="CI28" s="19"/>
      <c r="CJ28" s="19"/>
      <c r="CK28" s="19"/>
      <c r="CL28" s="19"/>
      <c r="CM28" s="19"/>
      <c r="CN28" s="19"/>
      <c r="CO28" s="19"/>
      <c r="CP28" s="19"/>
      <c r="CQ28" s="19"/>
      <c r="CR28" s="19"/>
      <c r="CS28" s="19"/>
      <c r="CT28" s="19"/>
      <c r="CU28" s="19"/>
      <c r="CV28" s="19"/>
      <c r="CW28" s="19"/>
      <c r="CX28" s="19"/>
      <c r="CY28" s="19"/>
      <c r="CZ28" s="19"/>
      <c r="DA28" s="19"/>
      <c r="DB28" s="19"/>
      <c r="DC28" s="19"/>
      <c r="DD28" s="19"/>
      <c r="DE28" s="19"/>
      <c r="DF28" s="19"/>
      <c r="DG28" s="19"/>
      <c r="DH28" s="19"/>
      <c r="DI28" s="19"/>
      <c r="DJ28" s="19"/>
      <c r="DK28" s="19"/>
      <c r="DL28" s="19"/>
      <c r="DM28" s="19"/>
      <c r="DN28" s="19"/>
      <c r="DO28" s="19"/>
      <c r="DP28" s="19"/>
      <c r="DQ28" s="19"/>
      <c r="DR28" s="19"/>
      <c r="DS28" s="19"/>
      <c r="DT28" s="19"/>
      <c r="DU28" s="19"/>
      <c r="DV28" s="19"/>
      <c r="DW28" s="19"/>
      <c r="DX28" s="19"/>
      <c r="DY28" s="19"/>
      <c r="DZ28" s="19"/>
      <c r="EA28" s="19"/>
      <c r="EB28" s="19"/>
      <c r="EC28" s="19"/>
      <c r="ED28" s="19"/>
      <c r="EE28" s="19"/>
      <c r="EF28" s="19"/>
      <c r="EG28" s="19"/>
      <c r="EH28" s="19"/>
      <c r="EI28" s="19"/>
      <c r="EJ28" s="19"/>
      <c r="EK28" s="19"/>
      <c r="EL28" s="19"/>
      <c r="EM28" s="19"/>
      <c r="EN28" s="19"/>
      <c r="EO28" s="19"/>
      <c r="EP28" s="19"/>
      <c r="EQ28" s="19"/>
      <c r="ER28" s="19"/>
      <c r="ES28" s="19"/>
      <c r="ET28" s="19"/>
      <c r="EU28" s="19"/>
      <c r="EV28" s="19"/>
      <c r="EW28" s="19"/>
      <c r="EX28" s="19"/>
      <c r="EY28" s="19"/>
      <c r="EZ28" s="19"/>
      <c r="FA28" s="19"/>
      <c r="FB28" s="19"/>
      <c r="FC28" s="19"/>
      <c r="FD28" s="19"/>
      <c r="FE28" s="19"/>
      <c r="FF28" s="19"/>
      <c r="FG28" s="19"/>
      <c r="FH28" s="19"/>
      <c r="FI28" s="19"/>
      <c r="FJ28" s="19"/>
      <c r="FK28" s="19"/>
      <c r="FL28" s="19"/>
      <c r="FM28" s="19"/>
      <c r="FN28" s="19"/>
      <c r="FO28" s="19"/>
      <c r="FP28" s="19"/>
      <c r="FQ28" s="19"/>
      <c r="FR28" s="19"/>
      <c r="FS28" s="19"/>
      <c r="FT28" s="19"/>
      <c r="FU28" s="19"/>
      <c r="FV28" s="19"/>
      <c r="FW28" s="19"/>
      <c r="FX28" s="19"/>
      <c r="FY28" s="19"/>
      <c r="FZ28" s="19"/>
      <c r="GA28" s="19"/>
      <c r="GB28" s="19"/>
      <c r="GC28" s="19"/>
      <c r="GD28" s="19"/>
      <c r="GE28" s="19"/>
      <c r="GF28" s="19"/>
      <c r="GG28" s="19"/>
      <c r="GH28" s="19"/>
      <c r="GI28" s="19"/>
      <c r="GJ28" s="19"/>
      <c r="GK28" s="19"/>
      <c r="GL28" s="19"/>
      <c r="GM28" s="19"/>
      <c r="GN28" s="19"/>
      <c r="GO28" s="19"/>
      <c r="GP28" s="19"/>
      <c r="GQ28" s="19"/>
      <c r="GR28" s="19"/>
      <c r="GS28" s="19"/>
      <c r="GT28" s="19"/>
      <c r="GU28" s="19"/>
      <c r="GV28" s="19"/>
      <c r="GW28" s="19"/>
      <c r="GX28" s="19"/>
      <c r="GY28" s="19"/>
      <c r="GZ28" s="19"/>
      <c r="HA28" s="19"/>
      <c r="HB28" s="19"/>
      <c r="HC28" s="19"/>
      <c r="HD28" s="19"/>
      <c r="HE28" s="19"/>
      <c r="HF28" s="19"/>
      <c r="HG28" s="19"/>
      <c r="HH28" s="19"/>
      <c r="HI28" s="19"/>
      <c r="HJ28" s="19"/>
      <c r="HK28" s="19"/>
      <c r="HL28" s="19"/>
      <c r="HM28" s="19"/>
      <c r="HN28" s="19"/>
      <c r="HO28" s="19"/>
      <c r="HP28" s="19"/>
      <c r="HQ28" s="19"/>
      <c r="HR28" s="19"/>
      <c r="HS28" s="19"/>
      <c r="HT28" s="19"/>
      <c r="HU28" s="19"/>
      <c r="HV28" s="19"/>
      <c r="HW28" s="19"/>
      <c r="HX28" s="19"/>
      <c r="HY28" s="19"/>
      <c r="HZ28" s="19"/>
      <c r="IA28" s="19"/>
      <c r="IB28" s="19"/>
      <c r="IC28" s="19"/>
      <c r="ID28" s="19"/>
      <c r="IE28" s="19"/>
      <c r="IF28" s="19"/>
      <c r="IG28" s="19"/>
      <c r="IH28" s="19"/>
      <c r="II28" s="19"/>
      <c r="IJ28" s="19"/>
      <c r="IK28" s="19"/>
      <c r="IL28" s="19"/>
      <c r="IM28" s="19"/>
      <c r="IN28" s="19"/>
      <c r="IO28" s="19"/>
      <c r="IP28" s="19"/>
      <c r="IQ28" s="19"/>
      <c r="IR28" s="19"/>
      <c r="IS28" s="19"/>
      <c r="IT28" s="19"/>
      <c r="IU28" s="19"/>
      <c r="IV28" s="19"/>
      <c r="IW28" s="19"/>
      <c r="IX28" s="19"/>
      <c r="IY28" s="19"/>
    </row>
    <row r="29" spans="1:259" ht="13.5" thickBot="1" x14ac:dyDescent="0.25">
      <c r="A29" s="3"/>
      <c r="B29" s="1304"/>
      <c r="C29" s="360" t="s">
        <v>410</v>
      </c>
      <c r="D29" s="360" t="s">
        <v>411</v>
      </c>
      <c r="E29" s="360" t="s">
        <v>409</v>
      </c>
      <c r="F29" s="360" t="s">
        <v>62</v>
      </c>
      <c r="G29" s="362">
        <f>90789*10</f>
        <v>907890</v>
      </c>
      <c r="H29" s="444">
        <f t="shared" si="0"/>
        <v>1025915.7</v>
      </c>
      <c r="I29" s="362">
        <f>I11</f>
        <v>272746</v>
      </c>
      <c r="J29" s="362">
        <f>J11</f>
        <v>149030</v>
      </c>
      <c r="K29" s="455">
        <f t="shared" si="1"/>
        <v>1447691.7</v>
      </c>
      <c r="L29" s="1327"/>
      <c r="M29" s="145"/>
      <c r="N29" s="439"/>
      <c r="O29" s="439"/>
      <c r="P29" s="437"/>
      <c r="Q29" s="437"/>
      <c r="R29" s="437"/>
      <c r="S29" s="441"/>
      <c r="T29" s="442"/>
      <c r="U29" s="442"/>
      <c r="V29" s="442"/>
      <c r="W29" s="442"/>
      <c r="X29" s="443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  <c r="AP29" s="19"/>
      <c r="AQ29" s="19"/>
      <c r="AR29" s="19"/>
      <c r="AS29" s="19"/>
      <c r="AT29" s="19"/>
      <c r="AU29" s="19"/>
      <c r="AV29" s="19"/>
      <c r="AW29" s="19"/>
      <c r="AX29" s="19"/>
      <c r="AY29" s="19"/>
      <c r="AZ29" s="19"/>
      <c r="BA29" s="19"/>
      <c r="BB29" s="19"/>
      <c r="BC29" s="19"/>
      <c r="BD29" s="19"/>
      <c r="BE29" s="19"/>
      <c r="BF29" s="19"/>
      <c r="BG29" s="19"/>
      <c r="BH29" s="19"/>
      <c r="BI29" s="19"/>
      <c r="BJ29" s="19"/>
      <c r="BK29" s="19"/>
      <c r="BL29" s="19"/>
      <c r="BM29" s="19"/>
      <c r="BN29" s="19"/>
      <c r="BO29" s="19"/>
      <c r="BP29" s="19"/>
      <c r="BQ29" s="19"/>
      <c r="BR29" s="19"/>
      <c r="BS29" s="19"/>
      <c r="BT29" s="19"/>
      <c r="BU29" s="19"/>
      <c r="BV29" s="19"/>
      <c r="BW29" s="19"/>
      <c r="BX29" s="19"/>
      <c r="BY29" s="19"/>
      <c r="BZ29" s="19"/>
      <c r="CA29" s="19"/>
      <c r="CB29" s="19"/>
      <c r="CC29" s="19"/>
      <c r="CD29" s="19"/>
      <c r="CE29" s="19"/>
      <c r="CF29" s="19"/>
      <c r="CG29" s="19"/>
      <c r="CH29" s="19"/>
      <c r="CI29" s="19"/>
      <c r="CJ29" s="19"/>
      <c r="CK29" s="19"/>
      <c r="CL29" s="19"/>
      <c r="CM29" s="19"/>
      <c r="CN29" s="19"/>
      <c r="CO29" s="19"/>
      <c r="CP29" s="19"/>
      <c r="CQ29" s="19"/>
      <c r="CR29" s="19"/>
      <c r="CS29" s="19"/>
      <c r="CT29" s="19"/>
      <c r="CU29" s="19"/>
      <c r="CV29" s="19"/>
      <c r="CW29" s="19"/>
      <c r="CX29" s="19"/>
      <c r="CY29" s="19"/>
      <c r="CZ29" s="19"/>
      <c r="DA29" s="19"/>
      <c r="DB29" s="19"/>
      <c r="DC29" s="19"/>
      <c r="DD29" s="19"/>
      <c r="DE29" s="19"/>
      <c r="DF29" s="19"/>
      <c r="DG29" s="19"/>
      <c r="DH29" s="19"/>
      <c r="DI29" s="19"/>
      <c r="DJ29" s="19"/>
      <c r="DK29" s="19"/>
      <c r="DL29" s="19"/>
      <c r="DM29" s="19"/>
      <c r="DN29" s="19"/>
      <c r="DO29" s="19"/>
      <c r="DP29" s="19"/>
      <c r="DQ29" s="19"/>
      <c r="DR29" s="19"/>
      <c r="DS29" s="19"/>
      <c r="DT29" s="19"/>
      <c r="DU29" s="19"/>
      <c r="DV29" s="19"/>
      <c r="DW29" s="19"/>
      <c r="DX29" s="19"/>
      <c r="DY29" s="19"/>
      <c r="DZ29" s="19"/>
      <c r="EA29" s="19"/>
      <c r="EB29" s="19"/>
      <c r="EC29" s="19"/>
      <c r="ED29" s="19"/>
      <c r="EE29" s="19"/>
      <c r="EF29" s="19"/>
      <c r="EG29" s="19"/>
      <c r="EH29" s="19"/>
      <c r="EI29" s="19"/>
      <c r="EJ29" s="19"/>
      <c r="EK29" s="19"/>
      <c r="EL29" s="19"/>
      <c r="EM29" s="19"/>
      <c r="EN29" s="19"/>
      <c r="EO29" s="19"/>
      <c r="EP29" s="19"/>
      <c r="EQ29" s="19"/>
      <c r="ER29" s="19"/>
      <c r="ES29" s="19"/>
      <c r="ET29" s="19"/>
      <c r="EU29" s="19"/>
      <c r="EV29" s="19"/>
      <c r="EW29" s="19"/>
      <c r="EX29" s="19"/>
      <c r="EY29" s="19"/>
      <c r="EZ29" s="19"/>
      <c r="FA29" s="19"/>
      <c r="FB29" s="19"/>
      <c r="FC29" s="19"/>
      <c r="FD29" s="19"/>
      <c r="FE29" s="19"/>
      <c r="FF29" s="19"/>
      <c r="FG29" s="19"/>
      <c r="FH29" s="19"/>
      <c r="FI29" s="19"/>
      <c r="FJ29" s="19"/>
      <c r="FK29" s="19"/>
      <c r="FL29" s="19"/>
      <c r="FM29" s="19"/>
      <c r="FN29" s="19"/>
      <c r="FO29" s="19"/>
      <c r="FP29" s="19"/>
      <c r="FQ29" s="19"/>
      <c r="FR29" s="19"/>
      <c r="FS29" s="19"/>
      <c r="FT29" s="19"/>
      <c r="FU29" s="19"/>
      <c r="FV29" s="19"/>
      <c r="FW29" s="19"/>
      <c r="FX29" s="19"/>
      <c r="FY29" s="19"/>
      <c r="FZ29" s="19"/>
      <c r="GA29" s="19"/>
      <c r="GB29" s="19"/>
      <c r="GC29" s="19"/>
      <c r="GD29" s="19"/>
      <c r="GE29" s="19"/>
      <c r="GF29" s="19"/>
      <c r="GG29" s="19"/>
      <c r="GH29" s="19"/>
      <c r="GI29" s="19"/>
      <c r="GJ29" s="19"/>
      <c r="GK29" s="19"/>
      <c r="GL29" s="19"/>
      <c r="GM29" s="19"/>
      <c r="GN29" s="19"/>
      <c r="GO29" s="19"/>
      <c r="GP29" s="19"/>
      <c r="GQ29" s="19"/>
      <c r="GR29" s="19"/>
      <c r="GS29" s="19"/>
      <c r="GT29" s="19"/>
      <c r="GU29" s="19"/>
      <c r="GV29" s="19"/>
      <c r="GW29" s="19"/>
      <c r="GX29" s="19"/>
      <c r="GY29" s="19"/>
      <c r="GZ29" s="19"/>
      <c r="HA29" s="19"/>
      <c r="HB29" s="19"/>
      <c r="HC29" s="19"/>
      <c r="HD29" s="19"/>
      <c r="HE29" s="19"/>
      <c r="HF29" s="19"/>
      <c r="HG29" s="19"/>
      <c r="HH29" s="19"/>
      <c r="HI29" s="19"/>
      <c r="HJ29" s="19"/>
      <c r="HK29" s="19"/>
      <c r="HL29" s="19"/>
      <c r="HM29" s="19"/>
      <c r="HN29" s="19"/>
      <c r="HO29" s="19"/>
      <c r="HP29" s="19"/>
      <c r="HQ29" s="19"/>
      <c r="HR29" s="19"/>
      <c r="HS29" s="19"/>
      <c r="HT29" s="19"/>
      <c r="HU29" s="19"/>
      <c r="HV29" s="19"/>
      <c r="HW29" s="19"/>
      <c r="HX29" s="19"/>
      <c r="HY29" s="19"/>
      <c r="HZ29" s="19"/>
      <c r="IA29" s="19"/>
      <c r="IB29" s="19"/>
      <c r="IC29" s="19"/>
      <c r="ID29" s="19"/>
      <c r="IE29" s="19"/>
      <c r="IF29" s="19"/>
      <c r="IG29" s="19"/>
      <c r="IH29" s="19"/>
      <c r="II29" s="19"/>
      <c r="IJ29" s="19"/>
      <c r="IK29" s="19"/>
      <c r="IL29" s="19"/>
      <c r="IM29" s="19"/>
      <c r="IN29" s="19"/>
      <c r="IO29" s="19"/>
      <c r="IP29" s="19"/>
      <c r="IQ29" s="19"/>
      <c r="IR29" s="19"/>
      <c r="IS29" s="19"/>
      <c r="IT29" s="19"/>
      <c r="IU29" s="19"/>
      <c r="IV29" s="19"/>
      <c r="IW29" s="19"/>
      <c r="IX29" s="19"/>
      <c r="IY29" s="19"/>
    </row>
    <row r="30" spans="1:259" ht="13.5" thickBot="1" x14ac:dyDescent="0.25">
      <c r="A30" s="3"/>
      <c r="B30" s="1304"/>
      <c r="C30" s="360" t="s">
        <v>406</v>
      </c>
      <c r="D30" s="360">
        <v>1</v>
      </c>
      <c r="E30" s="360"/>
      <c r="F30" s="360" t="s">
        <v>419</v>
      </c>
      <c r="G30" s="362">
        <v>0</v>
      </c>
      <c r="H30" s="444">
        <f t="shared" si="0"/>
        <v>0</v>
      </c>
      <c r="I30" s="362">
        <v>0</v>
      </c>
      <c r="J30" s="362">
        <v>0</v>
      </c>
      <c r="K30" s="455">
        <f t="shared" si="1"/>
        <v>0</v>
      </c>
      <c r="L30" s="1327"/>
      <c r="M30" s="211"/>
      <c r="N30" s="439"/>
      <c r="O30" s="439"/>
      <c r="P30" s="437"/>
      <c r="Q30" s="437"/>
      <c r="R30" s="437"/>
      <c r="S30" s="441"/>
      <c r="T30" s="442"/>
      <c r="U30" s="442"/>
      <c r="V30" s="442"/>
      <c r="W30" s="442"/>
      <c r="X30" s="443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  <c r="AP30" s="19"/>
      <c r="AQ30" s="19"/>
      <c r="AR30" s="19"/>
      <c r="AS30" s="19"/>
      <c r="AT30" s="19"/>
      <c r="AU30" s="19"/>
      <c r="AV30" s="19"/>
      <c r="AW30" s="19"/>
      <c r="AX30" s="19"/>
      <c r="AY30" s="19"/>
      <c r="AZ30" s="19"/>
      <c r="BA30" s="19"/>
      <c r="BB30" s="19"/>
      <c r="BC30" s="19"/>
      <c r="BD30" s="19"/>
      <c r="BE30" s="19"/>
      <c r="BF30" s="19"/>
      <c r="BG30" s="19"/>
      <c r="BH30" s="19"/>
      <c r="BI30" s="19"/>
      <c r="BJ30" s="19"/>
      <c r="BK30" s="19"/>
      <c r="BL30" s="19"/>
      <c r="BM30" s="19"/>
      <c r="BN30" s="19"/>
      <c r="BO30" s="19"/>
      <c r="BP30" s="19"/>
      <c r="BQ30" s="19"/>
      <c r="BR30" s="19"/>
      <c r="BS30" s="19"/>
      <c r="BT30" s="19"/>
      <c r="BU30" s="19"/>
      <c r="BV30" s="19"/>
      <c r="BW30" s="19"/>
      <c r="BX30" s="19"/>
      <c r="BY30" s="19"/>
      <c r="BZ30" s="19"/>
      <c r="CA30" s="19"/>
      <c r="CB30" s="19"/>
      <c r="CC30" s="19"/>
      <c r="CD30" s="19"/>
      <c r="CE30" s="19"/>
      <c r="CF30" s="19"/>
      <c r="CG30" s="19"/>
      <c r="CH30" s="19"/>
      <c r="CI30" s="19"/>
      <c r="CJ30" s="19"/>
      <c r="CK30" s="19"/>
      <c r="CL30" s="19"/>
      <c r="CM30" s="19"/>
      <c r="CN30" s="19"/>
      <c r="CO30" s="19"/>
      <c r="CP30" s="19"/>
      <c r="CQ30" s="19"/>
      <c r="CR30" s="19"/>
      <c r="CS30" s="19"/>
      <c r="CT30" s="19"/>
      <c r="CU30" s="19"/>
      <c r="CV30" s="19"/>
      <c r="CW30" s="19"/>
      <c r="CX30" s="19"/>
      <c r="CY30" s="19"/>
      <c r="CZ30" s="19"/>
      <c r="DA30" s="19"/>
      <c r="DB30" s="19"/>
      <c r="DC30" s="19"/>
      <c r="DD30" s="19"/>
      <c r="DE30" s="19"/>
      <c r="DF30" s="19"/>
      <c r="DG30" s="19"/>
      <c r="DH30" s="19"/>
      <c r="DI30" s="19"/>
      <c r="DJ30" s="19"/>
      <c r="DK30" s="19"/>
      <c r="DL30" s="19"/>
      <c r="DM30" s="19"/>
      <c r="DN30" s="19"/>
      <c r="DO30" s="19"/>
      <c r="DP30" s="19"/>
      <c r="DQ30" s="19"/>
      <c r="DR30" s="19"/>
      <c r="DS30" s="19"/>
      <c r="DT30" s="19"/>
      <c r="DU30" s="19"/>
      <c r="DV30" s="19"/>
      <c r="DW30" s="19"/>
      <c r="DX30" s="19"/>
      <c r="DY30" s="19"/>
      <c r="DZ30" s="19"/>
      <c r="EA30" s="19"/>
      <c r="EB30" s="19"/>
      <c r="EC30" s="19"/>
      <c r="ED30" s="19"/>
      <c r="EE30" s="19"/>
      <c r="EF30" s="19"/>
      <c r="EG30" s="19"/>
      <c r="EH30" s="19"/>
      <c r="EI30" s="19"/>
      <c r="EJ30" s="19"/>
      <c r="EK30" s="19"/>
      <c r="EL30" s="19"/>
      <c r="EM30" s="19"/>
      <c r="EN30" s="19"/>
      <c r="EO30" s="19"/>
      <c r="EP30" s="19"/>
      <c r="EQ30" s="19"/>
      <c r="ER30" s="19"/>
      <c r="ES30" s="19"/>
      <c r="ET30" s="19"/>
      <c r="EU30" s="19"/>
      <c r="EV30" s="19"/>
      <c r="EW30" s="19"/>
      <c r="EX30" s="19"/>
      <c r="EY30" s="19"/>
      <c r="EZ30" s="19"/>
      <c r="FA30" s="19"/>
      <c r="FB30" s="19"/>
      <c r="FC30" s="19"/>
      <c r="FD30" s="19"/>
      <c r="FE30" s="19"/>
      <c r="FF30" s="19"/>
      <c r="FG30" s="19"/>
      <c r="FH30" s="19"/>
      <c r="FI30" s="19"/>
      <c r="FJ30" s="19"/>
      <c r="FK30" s="19"/>
      <c r="FL30" s="19"/>
      <c r="FM30" s="19"/>
      <c r="FN30" s="19"/>
      <c r="FO30" s="19"/>
      <c r="FP30" s="19"/>
      <c r="FQ30" s="19"/>
      <c r="FR30" s="19"/>
      <c r="FS30" s="19"/>
      <c r="FT30" s="19"/>
      <c r="FU30" s="19"/>
      <c r="FV30" s="19"/>
      <c r="FW30" s="19"/>
      <c r="FX30" s="19"/>
      <c r="FY30" s="19"/>
      <c r="FZ30" s="19"/>
      <c r="GA30" s="19"/>
      <c r="GB30" s="19"/>
      <c r="GC30" s="19"/>
      <c r="GD30" s="19"/>
      <c r="GE30" s="19"/>
      <c r="GF30" s="19"/>
      <c r="GG30" s="19"/>
      <c r="GH30" s="19"/>
      <c r="GI30" s="19"/>
      <c r="GJ30" s="19"/>
      <c r="GK30" s="19"/>
      <c r="GL30" s="19"/>
      <c r="GM30" s="19"/>
      <c r="GN30" s="19"/>
      <c r="GO30" s="19"/>
      <c r="GP30" s="19"/>
      <c r="GQ30" s="19"/>
      <c r="GR30" s="19"/>
      <c r="GS30" s="19"/>
      <c r="GT30" s="19"/>
      <c r="GU30" s="19"/>
      <c r="GV30" s="19"/>
      <c r="GW30" s="19"/>
      <c r="GX30" s="19"/>
      <c r="GY30" s="19"/>
      <c r="GZ30" s="19"/>
      <c r="HA30" s="19"/>
      <c r="HB30" s="19"/>
      <c r="HC30" s="19"/>
      <c r="HD30" s="19"/>
      <c r="HE30" s="19"/>
      <c r="HF30" s="19"/>
      <c r="HG30" s="19"/>
      <c r="HH30" s="19"/>
      <c r="HI30" s="19"/>
      <c r="HJ30" s="19"/>
      <c r="HK30" s="19"/>
      <c r="HL30" s="19"/>
      <c r="HM30" s="19"/>
      <c r="HN30" s="19"/>
      <c r="HO30" s="19"/>
      <c r="HP30" s="19"/>
      <c r="HQ30" s="19"/>
      <c r="HR30" s="19"/>
      <c r="HS30" s="19"/>
      <c r="HT30" s="19"/>
      <c r="HU30" s="19"/>
      <c r="HV30" s="19"/>
      <c r="HW30" s="19"/>
      <c r="HX30" s="19"/>
      <c r="HY30" s="19"/>
      <c r="HZ30" s="19"/>
      <c r="IA30" s="19"/>
      <c r="IB30" s="19"/>
      <c r="IC30" s="19"/>
      <c r="ID30" s="19"/>
      <c r="IE30" s="19"/>
      <c r="IF30" s="19"/>
      <c r="IG30" s="19"/>
      <c r="IH30" s="19"/>
      <c r="II30" s="19"/>
      <c r="IJ30" s="19"/>
      <c r="IK30" s="19"/>
      <c r="IL30" s="19"/>
      <c r="IM30" s="19"/>
      <c r="IN30" s="19"/>
      <c r="IO30" s="19"/>
      <c r="IP30" s="19"/>
      <c r="IQ30" s="19"/>
      <c r="IR30" s="19"/>
      <c r="IS30" s="19"/>
      <c r="IT30" s="19"/>
      <c r="IU30" s="19"/>
      <c r="IV30" s="19"/>
      <c r="IW30" s="19"/>
      <c r="IX30" s="19"/>
      <c r="IY30" s="19"/>
    </row>
    <row r="31" spans="1:259" ht="13.5" thickBot="1" x14ac:dyDescent="0.25">
      <c r="A31" s="3"/>
      <c r="B31" s="1326"/>
      <c r="C31" s="360" t="s">
        <v>407</v>
      </c>
      <c r="D31" s="360">
        <v>2</v>
      </c>
      <c r="E31" s="360"/>
      <c r="F31" s="360" t="s">
        <v>419</v>
      </c>
      <c r="G31" s="362">
        <v>0</v>
      </c>
      <c r="H31" s="444">
        <f t="shared" si="0"/>
        <v>0</v>
      </c>
      <c r="I31" s="362">
        <v>0</v>
      </c>
      <c r="J31" s="362">
        <v>0</v>
      </c>
      <c r="K31" s="455">
        <f t="shared" ref="K31" si="7">SUM(H31:J31)</f>
        <v>0</v>
      </c>
      <c r="L31" s="1328"/>
      <c r="M31" s="211"/>
      <c r="N31" s="439"/>
      <c r="O31" s="439"/>
      <c r="P31" s="437"/>
      <c r="Q31" s="437"/>
      <c r="R31" s="437"/>
      <c r="S31" s="441"/>
      <c r="T31" s="442"/>
      <c r="U31" s="442"/>
      <c r="V31" s="442"/>
      <c r="W31" s="442"/>
      <c r="X31" s="443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  <c r="AP31" s="19"/>
      <c r="AQ31" s="19"/>
      <c r="AR31" s="19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19"/>
      <c r="BE31" s="19"/>
      <c r="BF31" s="19"/>
      <c r="BG31" s="19"/>
      <c r="BH31" s="19"/>
      <c r="BI31" s="19"/>
      <c r="BJ31" s="19"/>
      <c r="BK31" s="19"/>
      <c r="BL31" s="19"/>
      <c r="BM31" s="19"/>
      <c r="BN31" s="19"/>
      <c r="BO31" s="19"/>
      <c r="BP31" s="19"/>
      <c r="BQ31" s="19"/>
      <c r="BR31" s="19"/>
      <c r="BS31" s="19"/>
      <c r="BT31" s="19"/>
      <c r="BU31" s="19"/>
      <c r="BV31" s="19"/>
      <c r="BW31" s="19"/>
      <c r="BX31" s="19"/>
      <c r="BY31" s="19"/>
      <c r="BZ31" s="19"/>
      <c r="CA31" s="19"/>
      <c r="CB31" s="19"/>
      <c r="CC31" s="19"/>
      <c r="CD31" s="19"/>
      <c r="CE31" s="19"/>
      <c r="CF31" s="19"/>
      <c r="CG31" s="19"/>
      <c r="CH31" s="19"/>
      <c r="CI31" s="19"/>
      <c r="CJ31" s="19"/>
      <c r="CK31" s="19"/>
      <c r="CL31" s="19"/>
      <c r="CM31" s="19"/>
      <c r="CN31" s="19"/>
      <c r="CO31" s="19"/>
      <c r="CP31" s="19"/>
      <c r="CQ31" s="19"/>
      <c r="CR31" s="19"/>
      <c r="CS31" s="19"/>
      <c r="CT31" s="19"/>
      <c r="CU31" s="19"/>
      <c r="CV31" s="19"/>
      <c r="CW31" s="19"/>
      <c r="CX31" s="19"/>
      <c r="CY31" s="19"/>
      <c r="CZ31" s="19"/>
      <c r="DA31" s="19"/>
      <c r="DB31" s="19"/>
      <c r="DC31" s="19"/>
      <c r="DD31" s="19"/>
      <c r="DE31" s="19"/>
      <c r="DF31" s="19"/>
      <c r="DG31" s="19"/>
      <c r="DH31" s="19"/>
      <c r="DI31" s="19"/>
      <c r="DJ31" s="19"/>
      <c r="DK31" s="19"/>
      <c r="DL31" s="19"/>
      <c r="DM31" s="19"/>
      <c r="DN31" s="19"/>
      <c r="DO31" s="19"/>
      <c r="DP31" s="19"/>
      <c r="DQ31" s="19"/>
      <c r="DR31" s="19"/>
      <c r="DS31" s="19"/>
      <c r="DT31" s="19"/>
      <c r="DU31" s="19"/>
      <c r="DV31" s="19"/>
      <c r="DW31" s="19"/>
      <c r="DX31" s="19"/>
      <c r="DY31" s="19"/>
      <c r="DZ31" s="19"/>
      <c r="EA31" s="19"/>
      <c r="EB31" s="19"/>
      <c r="EC31" s="19"/>
      <c r="ED31" s="19"/>
      <c r="EE31" s="19"/>
      <c r="EF31" s="19"/>
      <c r="EG31" s="19"/>
      <c r="EH31" s="19"/>
      <c r="EI31" s="19"/>
      <c r="EJ31" s="19"/>
      <c r="EK31" s="19"/>
      <c r="EL31" s="19"/>
      <c r="EM31" s="19"/>
      <c r="EN31" s="19"/>
      <c r="EO31" s="19"/>
      <c r="EP31" s="19"/>
      <c r="EQ31" s="19"/>
      <c r="ER31" s="19"/>
      <c r="ES31" s="19"/>
      <c r="ET31" s="19"/>
      <c r="EU31" s="19"/>
      <c r="EV31" s="19"/>
      <c r="EW31" s="19"/>
      <c r="EX31" s="19"/>
      <c r="EY31" s="19"/>
      <c r="EZ31" s="19"/>
      <c r="FA31" s="19"/>
      <c r="FB31" s="19"/>
      <c r="FC31" s="19"/>
      <c r="FD31" s="19"/>
      <c r="FE31" s="19"/>
      <c r="FF31" s="19"/>
      <c r="FG31" s="19"/>
      <c r="FH31" s="19"/>
      <c r="FI31" s="19"/>
      <c r="FJ31" s="19"/>
      <c r="FK31" s="19"/>
      <c r="FL31" s="19"/>
      <c r="FM31" s="19"/>
      <c r="FN31" s="19"/>
      <c r="FO31" s="19"/>
      <c r="FP31" s="19"/>
      <c r="FQ31" s="19"/>
      <c r="FR31" s="19"/>
      <c r="FS31" s="19"/>
      <c r="FT31" s="19"/>
      <c r="FU31" s="19"/>
      <c r="FV31" s="19"/>
      <c r="FW31" s="19"/>
      <c r="FX31" s="19"/>
      <c r="FY31" s="19"/>
      <c r="FZ31" s="19"/>
      <c r="GA31" s="19"/>
      <c r="GB31" s="19"/>
      <c r="GC31" s="19"/>
      <c r="GD31" s="19"/>
      <c r="GE31" s="19"/>
      <c r="GF31" s="19"/>
      <c r="GG31" s="19"/>
      <c r="GH31" s="19"/>
      <c r="GI31" s="19"/>
      <c r="GJ31" s="19"/>
      <c r="GK31" s="19"/>
      <c r="GL31" s="19"/>
      <c r="GM31" s="19"/>
      <c r="GN31" s="19"/>
      <c r="GO31" s="19"/>
      <c r="GP31" s="19"/>
      <c r="GQ31" s="19"/>
      <c r="GR31" s="19"/>
      <c r="GS31" s="19"/>
      <c r="GT31" s="19"/>
      <c r="GU31" s="19"/>
      <c r="GV31" s="19"/>
      <c r="GW31" s="19"/>
      <c r="GX31" s="19"/>
      <c r="GY31" s="19"/>
      <c r="GZ31" s="19"/>
      <c r="HA31" s="19"/>
      <c r="HB31" s="19"/>
      <c r="HC31" s="19"/>
      <c r="HD31" s="19"/>
      <c r="HE31" s="19"/>
      <c r="HF31" s="19"/>
      <c r="HG31" s="19"/>
      <c r="HH31" s="19"/>
      <c r="HI31" s="19"/>
      <c r="HJ31" s="19"/>
      <c r="HK31" s="19"/>
      <c r="HL31" s="19"/>
      <c r="HM31" s="19"/>
      <c r="HN31" s="19"/>
      <c r="HO31" s="19"/>
      <c r="HP31" s="19"/>
      <c r="HQ31" s="19"/>
      <c r="HR31" s="19"/>
      <c r="HS31" s="19"/>
      <c r="HT31" s="19"/>
      <c r="HU31" s="19"/>
      <c r="HV31" s="19"/>
      <c r="HW31" s="19"/>
      <c r="HX31" s="19"/>
      <c r="HY31" s="19"/>
      <c r="HZ31" s="19"/>
      <c r="IA31" s="19"/>
      <c r="IB31" s="19"/>
      <c r="IC31" s="19"/>
      <c r="ID31" s="19"/>
      <c r="IE31" s="19"/>
      <c r="IF31" s="19"/>
      <c r="IG31" s="19"/>
      <c r="IH31" s="19"/>
      <c r="II31" s="19"/>
      <c r="IJ31" s="19"/>
      <c r="IK31" s="19"/>
      <c r="IL31" s="19"/>
      <c r="IM31" s="19"/>
      <c r="IN31" s="19"/>
      <c r="IO31" s="19"/>
      <c r="IP31" s="19"/>
      <c r="IQ31" s="19"/>
      <c r="IR31" s="19"/>
      <c r="IS31" s="19"/>
      <c r="IT31" s="19"/>
      <c r="IU31" s="19"/>
      <c r="IV31" s="19"/>
      <c r="IW31" s="19"/>
      <c r="IX31" s="19"/>
      <c r="IY31" s="19"/>
    </row>
    <row r="32" spans="1:259" ht="13.5" thickBot="1" x14ac:dyDescent="0.25">
      <c r="A32" s="3"/>
      <c r="B32" s="1326"/>
      <c r="C32" s="360" t="s">
        <v>408</v>
      </c>
      <c r="D32" s="360">
        <v>2</v>
      </c>
      <c r="E32" s="360"/>
      <c r="F32" s="360" t="s">
        <v>419</v>
      </c>
      <c r="G32" s="362">
        <v>0</v>
      </c>
      <c r="H32" s="444">
        <f t="shared" si="0"/>
        <v>0</v>
      </c>
      <c r="I32" s="362">
        <v>0</v>
      </c>
      <c r="J32" s="362">
        <v>0</v>
      </c>
      <c r="K32" s="455">
        <f>H32+J32</f>
        <v>0</v>
      </c>
      <c r="L32" s="1328"/>
      <c r="M32" s="145"/>
      <c r="N32" s="439"/>
      <c r="O32" s="439"/>
      <c r="P32" s="437"/>
      <c r="Q32" s="437"/>
      <c r="R32" s="437"/>
      <c r="S32" s="441"/>
      <c r="T32" s="442"/>
      <c r="U32" s="442"/>
      <c r="V32" s="442"/>
      <c r="W32" s="442"/>
      <c r="X32" s="443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  <c r="AS32" s="19"/>
      <c r="AT32" s="19"/>
      <c r="AU32" s="19"/>
      <c r="AV32" s="19"/>
      <c r="AW32" s="19"/>
      <c r="AX32" s="19"/>
      <c r="AY32" s="19"/>
      <c r="AZ32" s="19"/>
      <c r="BA32" s="19"/>
      <c r="BB32" s="19"/>
      <c r="BC32" s="19"/>
      <c r="BD32" s="19"/>
      <c r="BE32" s="19"/>
      <c r="BF32" s="19"/>
      <c r="BG32" s="19"/>
      <c r="BH32" s="19"/>
      <c r="BI32" s="19"/>
      <c r="BJ32" s="19"/>
      <c r="BK32" s="19"/>
      <c r="BL32" s="19"/>
      <c r="BM32" s="19"/>
      <c r="BN32" s="19"/>
      <c r="BO32" s="19"/>
      <c r="BP32" s="19"/>
      <c r="BQ32" s="19"/>
      <c r="BR32" s="19"/>
      <c r="BS32" s="19"/>
      <c r="BT32" s="19"/>
      <c r="BU32" s="19"/>
      <c r="BV32" s="19"/>
      <c r="BW32" s="19"/>
      <c r="BX32" s="19"/>
      <c r="BY32" s="19"/>
      <c r="BZ32" s="19"/>
      <c r="CA32" s="19"/>
      <c r="CB32" s="19"/>
      <c r="CC32" s="19"/>
      <c r="CD32" s="19"/>
      <c r="CE32" s="19"/>
      <c r="CF32" s="19"/>
      <c r="CG32" s="19"/>
      <c r="CH32" s="19"/>
      <c r="CI32" s="19"/>
      <c r="CJ32" s="19"/>
      <c r="CK32" s="19"/>
      <c r="CL32" s="19"/>
      <c r="CM32" s="19"/>
      <c r="CN32" s="19"/>
      <c r="CO32" s="19"/>
      <c r="CP32" s="19"/>
      <c r="CQ32" s="19"/>
      <c r="CR32" s="19"/>
      <c r="CS32" s="19"/>
      <c r="CT32" s="19"/>
      <c r="CU32" s="19"/>
      <c r="CV32" s="19"/>
      <c r="CW32" s="19"/>
      <c r="CX32" s="19"/>
      <c r="CY32" s="19"/>
      <c r="CZ32" s="19"/>
      <c r="DA32" s="19"/>
      <c r="DB32" s="19"/>
      <c r="DC32" s="19"/>
      <c r="DD32" s="19"/>
      <c r="DE32" s="19"/>
      <c r="DF32" s="19"/>
      <c r="DG32" s="19"/>
      <c r="DH32" s="19"/>
      <c r="DI32" s="19"/>
      <c r="DJ32" s="19"/>
      <c r="DK32" s="19"/>
      <c r="DL32" s="19"/>
      <c r="DM32" s="19"/>
      <c r="DN32" s="19"/>
      <c r="DO32" s="19"/>
      <c r="DP32" s="19"/>
      <c r="DQ32" s="19"/>
      <c r="DR32" s="19"/>
      <c r="DS32" s="19"/>
      <c r="DT32" s="19"/>
      <c r="DU32" s="19"/>
      <c r="DV32" s="19"/>
      <c r="DW32" s="19"/>
      <c r="DX32" s="19"/>
      <c r="DY32" s="19"/>
      <c r="DZ32" s="19"/>
      <c r="EA32" s="19"/>
      <c r="EB32" s="19"/>
      <c r="EC32" s="19"/>
      <c r="ED32" s="19"/>
      <c r="EE32" s="19"/>
      <c r="EF32" s="19"/>
      <c r="EG32" s="19"/>
      <c r="EH32" s="19"/>
      <c r="EI32" s="19"/>
      <c r="EJ32" s="19"/>
      <c r="EK32" s="19"/>
      <c r="EL32" s="19"/>
      <c r="EM32" s="19"/>
      <c r="EN32" s="19"/>
      <c r="EO32" s="19"/>
      <c r="EP32" s="19"/>
      <c r="EQ32" s="19"/>
      <c r="ER32" s="19"/>
      <c r="ES32" s="19"/>
      <c r="ET32" s="19"/>
      <c r="EU32" s="19"/>
      <c r="EV32" s="19"/>
      <c r="EW32" s="19"/>
      <c r="EX32" s="19"/>
      <c r="EY32" s="19"/>
      <c r="EZ32" s="19"/>
      <c r="FA32" s="19"/>
      <c r="FB32" s="19"/>
      <c r="FC32" s="19"/>
      <c r="FD32" s="19"/>
      <c r="FE32" s="19"/>
      <c r="FF32" s="19"/>
      <c r="FG32" s="19"/>
      <c r="FH32" s="19"/>
      <c r="FI32" s="19"/>
      <c r="FJ32" s="19"/>
      <c r="FK32" s="19"/>
      <c r="FL32" s="19"/>
      <c r="FM32" s="19"/>
      <c r="FN32" s="19"/>
      <c r="FO32" s="19"/>
      <c r="FP32" s="19"/>
      <c r="FQ32" s="19"/>
      <c r="FR32" s="19"/>
      <c r="FS32" s="19"/>
      <c r="FT32" s="19"/>
      <c r="FU32" s="19"/>
      <c r="FV32" s="19"/>
      <c r="FW32" s="19"/>
      <c r="FX32" s="19"/>
      <c r="FY32" s="19"/>
      <c r="FZ32" s="19"/>
      <c r="GA32" s="19"/>
      <c r="GB32" s="19"/>
      <c r="GC32" s="19"/>
      <c r="GD32" s="19"/>
      <c r="GE32" s="19"/>
      <c r="GF32" s="19"/>
      <c r="GG32" s="19"/>
      <c r="GH32" s="19"/>
      <c r="GI32" s="19"/>
      <c r="GJ32" s="19"/>
      <c r="GK32" s="19"/>
      <c r="GL32" s="19"/>
      <c r="GM32" s="19"/>
      <c r="GN32" s="19"/>
      <c r="GO32" s="19"/>
      <c r="GP32" s="19"/>
      <c r="GQ32" s="19"/>
      <c r="GR32" s="19"/>
      <c r="GS32" s="19"/>
      <c r="GT32" s="19"/>
      <c r="GU32" s="19"/>
      <c r="GV32" s="19"/>
      <c r="GW32" s="19"/>
      <c r="GX32" s="19"/>
      <c r="GY32" s="19"/>
      <c r="GZ32" s="19"/>
      <c r="HA32" s="19"/>
      <c r="HB32" s="19"/>
      <c r="HC32" s="19"/>
      <c r="HD32" s="19"/>
      <c r="HE32" s="19"/>
      <c r="HF32" s="19"/>
      <c r="HG32" s="19"/>
      <c r="HH32" s="19"/>
      <c r="HI32" s="19"/>
      <c r="HJ32" s="19"/>
      <c r="HK32" s="19"/>
      <c r="HL32" s="19"/>
      <c r="HM32" s="19"/>
      <c r="HN32" s="19"/>
      <c r="HO32" s="19"/>
      <c r="HP32" s="19"/>
      <c r="HQ32" s="19"/>
      <c r="HR32" s="19"/>
      <c r="HS32" s="19"/>
      <c r="HT32" s="19"/>
      <c r="HU32" s="19"/>
      <c r="HV32" s="19"/>
      <c r="HW32" s="19"/>
      <c r="HX32" s="19"/>
      <c r="HY32" s="19"/>
      <c r="HZ32" s="19"/>
      <c r="IA32" s="19"/>
      <c r="IB32" s="19"/>
      <c r="IC32" s="19"/>
      <c r="ID32" s="19"/>
      <c r="IE32" s="19"/>
      <c r="IF32" s="19"/>
      <c r="IG32" s="19"/>
      <c r="IH32" s="19"/>
      <c r="II32" s="19"/>
      <c r="IJ32" s="19"/>
      <c r="IK32" s="19"/>
      <c r="IL32" s="19"/>
      <c r="IM32" s="19"/>
      <c r="IN32" s="19"/>
      <c r="IO32" s="19"/>
      <c r="IP32" s="19"/>
      <c r="IQ32" s="19"/>
      <c r="IR32" s="19"/>
      <c r="IS32" s="19"/>
      <c r="IT32" s="19"/>
      <c r="IU32" s="19"/>
      <c r="IV32" s="19"/>
      <c r="IW32" s="19"/>
      <c r="IX32" s="19"/>
      <c r="IY32" s="19"/>
    </row>
    <row r="33" spans="2:259" ht="13.5" thickBot="1" x14ac:dyDescent="0.25">
      <c r="B33" s="1326"/>
      <c r="C33" s="559"/>
      <c r="D33" s="559"/>
      <c r="E33" s="559"/>
      <c r="F33" s="559"/>
      <c r="G33" s="560">
        <v>0</v>
      </c>
      <c r="H33" s="180">
        <f t="shared" si="0"/>
        <v>0</v>
      </c>
      <c r="I33" s="560">
        <v>0</v>
      </c>
      <c r="J33" s="560">
        <v>0</v>
      </c>
      <c r="K33" s="561">
        <f t="shared" si="1"/>
        <v>0</v>
      </c>
      <c r="L33" s="1328"/>
      <c r="M33" s="145"/>
      <c r="N33" s="439"/>
      <c r="O33" s="439"/>
      <c r="P33" s="439"/>
      <c r="Q33" s="439"/>
      <c r="R33" s="439"/>
      <c r="S33" s="449"/>
      <c r="T33" s="439"/>
      <c r="U33" s="439"/>
      <c r="V33" s="439"/>
      <c r="W33" s="439"/>
      <c r="X33" s="450"/>
      <c r="Z33" s="451"/>
      <c r="AA33" s="451"/>
      <c r="AB33" s="451"/>
      <c r="AC33" s="451"/>
      <c r="AD33" s="451"/>
      <c r="AE33" s="451"/>
      <c r="AF33" s="451"/>
      <c r="AG33" s="451"/>
      <c r="AH33" s="451"/>
      <c r="AI33" s="451"/>
      <c r="AJ33" s="451"/>
      <c r="AK33" s="451"/>
      <c r="AL33" s="451"/>
      <c r="AM33" s="451"/>
      <c r="AN33" s="451"/>
      <c r="AO33" s="451"/>
      <c r="AP33" s="451"/>
      <c r="AQ33" s="451"/>
      <c r="AR33" s="451"/>
      <c r="AS33" s="451"/>
      <c r="AT33" s="451"/>
      <c r="AU33" s="451"/>
      <c r="AV33" s="451"/>
      <c r="AW33" s="451"/>
      <c r="AX33" s="451"/>
      <c r="AY33" s="451"/>
      <c r="AZ33" s="451"/>
      <c r="BA33" s="451"/>
      <c r="BB33" s="451"/>
      <c r="BC33" s="451"/>
      <c r="BD33" s="451"/>
      <c r="BE33" s="451"/>
      <c r="BF33" s="451"/>
      <c r="BG33" s="451"/>
      <c r="BH33" s="451"/>
      <c r="BI33" s="451"/>
      <c r="BJ33" s="451"/>
      <c r="BK33" s="451"/>
      <c r="BL33" s="451"/>
      <c r="BM33" s="451"/>
      <c r="BN33" s="451"/>
      <c r="BO33" s="451"/>
      <c r="BP33" s="451"/>
      <c r="BQ33" s="451"/>
      <c r="BR33" s="451"/>
      <c r="BS33" s="451"/>
      <c r="BT33" s="451"/>
      <c r="BU33" s="451"/>
      <c r="BV33" s="451"/>
      <c r="BW33" s="451"/>
      <c r="BX33" s="451"/>
      <c r="BY33" s="451"/>
      <c r="BZ33" s="451"/>
      <c r="CA33" s="451"/>
      <c r="CB33" s="451"/>
      <c r="CC33" s="451"/>
      <c r="CD33" s="451"/>
      <c r="CE33" s="451"/>
      <c r="CF33" s="451"/>
      <c r="CG33" s="451"/>
      <c r="CH33" s="451"/>
      <c r="CI33" s="451"/>
      <c r="CJ33" s="451"/>
      <c r="CK33" s="451"/>
      <c r="CL33" s="451"/>
      <c r="CM33" s="451"/>
      <c r="CN33" s="451"/>
      <c r="CO33" s="451"/>
      <c r="CP33" s="451"/>
      <c r="CQ33" s="451"/>
      <c r="CR33" s="451"/>
      <c r="CS33" s="451"/>
      <c r="CT33" s="451"/>
      <c r="CU33" s="451"/>
      <c r="CV33" s="451"/>
      <c r="CW33" s="451"/>
      <c r="CX33" s="451"/>
      <c r="CY33" s="451"/>
      <c r="CZ33" s="451"/>
      <c r="DA33" s="451"/>
      <c r="DB33" s="451"/>
      <c r="DC33" s="451"/>
      <c r="DD33" s="451"/>
      <c r="DE33" s="451"/>
      <c r="DF33" s="451"/>
      <c r="DG33" s="451"/>
      <c r="DH33" s="451"/>
      <c r="DI33" s="451"/>
      <c r="DJ33" s="451"/>
      <c r="DK33" s="451"/>
      <c r="DL33" s="451"/>
      <c r="DM33" s="451"/>
      <c r="DN33" s="451"/>
      <c r="DO33" s="451"/>
      <c r="DP33" s="451"/>
      <c r="DQ33" s="451"/>
      <c r="DR33" s="451"/>
      <c r="DS33" s="451"/>
      <c r="DT33" s="451"/>
      <c r="DU33" s="451"/>
      <c r="DV33" s="451"/>
      <c r="DW33" s="451"/>
      <c r="DX33" s="451"/>
      <c r="DY33" s="451"/>
      <c r="DZ33" s="451"/>
      <c r="EA33" s="451"/>
      <c r="EB33" s="451"/>
      <c r="EC33" s="451"/>
      <c r="ED33" s="451"/>
      <c r="EE33" s="451"/>
      <c r="EF33" s="451"/>
      <c r="EG33" s="451"/>
      <c r="EH33" s="451"/>
      <c r="EI33" s="451"/>
      <c r="EJ33" s="451"/>
      <c r="EK33" s="451"/>
      <c r="EL33" s="451"/>
      <c r="EM33" s="451"/>
      <c r="EN33" s="451"/>
      <c r="EO33" s="451"/>
      <c r="EP33" s="451"/>
      <c r="EQ33" s="451"/>
      <c r="ER33" s="451"/>
      <c r="ES33" s="451"/>
      <c r="ET33" s="451"/>
      <c r="EU33" s="451"/>
      <c r="EV33" s="451"/>
      <c r="EW33" s="451"/>
      <c r="EX33" s="451"/>
      <c r="EY33" s="451"/>
      <c r="EZ33" s="451"/>
      <c r="FA33" s="451"/>
      <c r="FB33" s="451"/>
      <c r="FC33" s="451"/>
      <c r="FD33" s="451"/>
      <c r="FE33" s="451"/>
      <c r="FF33" s="451"/>
      <c r="FG33" s="451"/>
      <c r="FH33" s="451"/>
      <c r="FI33" s="451"/>
      <c r="FJ33" s="451"/>
      <c r="FK33" s="451"/>
      <c r="FL33" s="451"/>
      <c r="FM33" s="451"/>
      <c r="FN33" s="451"/>
      <c r="FO33" s="451"/>
      <c r="FP33" s="451"/>
      <c r="FQ33" s="451"/>
      <c r="FR33" s="451"/>
      <c r="FS33" s="451"/>
      <c r="FT33" s="451"/>
      <c r="FU33" s="451"/>
      <c r="FV33" s="451"/>
      <c r="FW33" s="451"/>
      <c r="FX33" s="451"/>
      <c r="FY33" s="451"/>
      <c r="FZ33" s="451"/>
      <c r="GA33" s="451"/>
      <c r="GB33" s="451"/>
      <c r="GC33" s="451"/>
      <c r="GD33" s="451"/>
      <c r="GE33" s="451"/>
      <c r="GF33" s="451"/>
      <c r="GG33" s="451"/>
      <c r="GH33" s="451"/>
      <c r="GI33" s="451"/>
      <c r="GJ33" s="451"/>
      <c r="GK33" s="451"/>
      <c r="GL33" s="451"/>
      <c r="GM33" s="451"/>
      <c r="GN33" s="451"/>
      <c r="GO33" s="451"/>
      <c r="GP33" s="451"/>
      <c r="GQ33" s="451"/>
      <c r="GR33" s="451"/>
      <c r="GS33" s="451"/>
      <c r="GT33" s="451"/>
      <c r="GU33" s="451"/>
      <c r="GV33" s="451"/>
      <c r="GW33" s="451"/>
      <c r="GX33" s="451"/>
      <c r="GY33" s="451"/>
      <c r="GZ33" s="451"/>
      <c r="HA33" s="451"/>
      <c r="HB33" s="451"/>
      <c r="HC33" s="451"/>
      <c r="HD33" s="451"/>
      <c r="HE33" s="451"/>
      <c r="HF33" s="451"/>
      <c r="HG33" s="451"/>
      <c r="HH33" s="451"/>
      <c r="HI33" s="451"/>
      <c r="HJ33" s="451"/>
      <c r="HK33" s="451"/>
      <c r="HL33" s="451"/>
      <c r="HM33" s="451"/>
      <c r="HN33" s="451"/>
      <c r="HO33" s="451"/>
      <c r="HP33" s="451"/>
      <c r="HQ33" s="451"/>
      <c r="HR33" s="451"/>
      <c r="HS33" s="451"/>
      <c r="HT33" s="451"/>
      <c r="HU33" s="451"/>
      <c r="HV33" s="451"/>
      <c r="HW33" s="451"/>
      <c r="HX33" s="451"/>
      <c r="HY33" s="451"/>
      <c r="HZ33" s="451"/>
      <c r="IA33" s="451"/>
      <c r="IB33" s="451"/>
      <c r="IC33" s="451"/>
      <c r="ID33" s="451"/>
      <c r="IE33" s="451"/>
      <c r="IF33" s="451"/>
      <c r="IG33" s="451"/>
      <c r="IH33" s="451"/>
      <c r="II33" s="451"/>
      <c r="IJ33" s="451"/>
      <c r="IK33" s="451"/>
      <c r="IL33" s="451"/>
      <c r="IM33" s="451"/>
      <c r="IN33" s="451"/>
      <c r="IO33" s="451"/>
      <c r="IP33" s="451"/>
      <c r="IQ33" s="451"/>
      <c r="IR33" s="451"/>
      <c r="IS33" s="451"/>
      <c r="IT33" s="451"/>
      <c r="IU33" s="451"/>
      <c r="IV33" s="451"/>
      <c r="IW33" s="451"/>
      <c r="IX33" s="451"/>
      <c r="IY33" s="451"/>
    </row>
    <row r="34" spans="2:259" ht="12.75" customHeight="1" thickBot="1" x14ac:dyDescent="0.25">
      <c r="B34" s="1318" t="str">
        <f>+'B) Reajuste Tarifas y Ocupación'!A14</f>
        <v>Jardín Infantil Los Delfines</v>
      </c>
      <c r="C34" s="494" t="s">
        <v>488</v>
      </c>
      <c r="D34" s="356" t="s">
        <v>506</v>
      </c>
      <c r="E34" s="356" t="s">
        <v>240</v>
      </c>
      <c r="F34" s="356" t="s">
        <v>65</v>
      </c>
      <c r="G34" s="358">
        <f>607379*12</f>
        <v>7288548</v>
      </c>
      <c r="H34" s="159">
        <f t="shared" ref="H34:H62" si="8">+G34*(1+$L$7)</f>
        <v>8236059.2399999993</v>
      </c>
      <c r="I34" s="358">
        <f>101037+171709</f>
        <v>272746</v>
      </c>
      <c r="J34" s="358">
        <f>74515*2</f>
        <v>149030</v>
      </c>
      <c r="K34" s="554">
        <f t="shared" si="1"/>
        <v>8657835.2399999984</v>
      </c>
      <c r="L34" s="1321">
        <f>SUM(K34:K56)</f>
        <v>125439291.39999999</v>
      </c>
      <c r="M34" s="145"/>
      <c r="N34" s="439"/>
      <c r="O34" s="439"/>
      <c r="P34" s="440"/>
      <c r="Q34" s="440"/>
      <c r="R34" s="440"/>
      <c r="T34" s="576"/>
      <c r="U34" s="576"/>
      <c r="V34" s="576"/>
      <c r="W34" s="576"/>
    </row>
    <row r="35" spans="2:259" ht="12.75" customHeight="1" thickBot="1" x14ac:dyDescent="0.25">
      <c r="B35" s="1319"/>
      <c r="C35" s="551" t="s">
        <v>489</v>
      </c>
      <c r="D35" s="446" t="s">
        <v>507</v>
      </c>
      <c r="E35" s="446" t="s">
        <v>240</v>
      </c>
      <c r="F35" s="446" t="s">
        <v>65</v>
      </c>
      <c r="G35" s="1062"/>
      <c r="H35" s="1063">
        <f>+G35*(1+$L$7)</f>
        <v>0</v>
      </c>
      <c r="I35" s="1067">
        <v>0</v>
      </c>
      <c r="J35" s="1067">
        <v>0</v>
      </c>
      <c r="K35" s="1068">
        <f t="shared" si="1"/>
        <v>0</v>
      </c>
      <c r="L35" s="1322"/>
      <c r="M35" s="145"/>
      <c r="N35" s="439"/>
      <c r="O35" s="439"/>
      <c r="P35" s="437"/>
      <c r="Q35" s="437"/>
      <c r="R35" s="437"/>
      <c r="S35" s="452"/>
      <c r="T35" s="452"/>
      <c r="U35" s="453"/>
      <c r="V35" s="453"/>
      <c r="W35" s="454"/>
      <c r="X35" s="454"/>
    </row>
    <row r="36" spans="2:259" ht="12.75" customHeight="1" thickBot="1" x14ac:dyDescent="0.25">
      <c r="B36" s="1319"/>
      <c r="C36" s="502" t="s">
        <v>490</v>
      </c>
      <c r="D36" s="360" t="s">
        <v>491</v>
      </c>
      <c r="E36" s="360" t="s">
        <v>237</v>
      </c>
      <c r="F36" s="360" t="s">
        <v>65</v>
      </c>
      <c r="G36" s="362">
        <f>537162*12</f>
        <v>6445944</v>
      </c>
      <c r="H36" s="444">
        <f>+G36*(1+$L$7)</f>
        <v>7283916.7199999997</v>
      </c>
      <c r="I36" s="358">
        <f t="shared" ref="I36:I49" si="9">I13</f>
        <v>272746</v>
      </c>
      <c r="J36" s="358">
        <f t="shared" ref="J36:J44" si="10">74515*2</f>
        <v>149030</v>
      </c>
      <c r="K36" s="555">
        <f t="shared" si="1"/>
        <v>7705692.7199999997</v>
      </c>
      <c r="L36" s="1322"/>
      <c r="M36" s="145"/>
      <c r="N36" s="439"/>
      <c r="O36" s="439"/>
      <c r="P36" s="437"/>
      <c r="Q36" s="437"/>
      <c r="R36" s="437"/>
      <c r="S36" s="452"/>
      <c r="T36" s="452"/>
      <c r="U36" s="453"/>
      <c r="V36" s="453"/>
      <c r="W36" s="454"/>
      <c r="X36" s="454"/>
    </row>
    <row r="37" spans="2:259" ht="12.75" customHeight="1" thickBot="1" x14ac:dyDescent="0.25">
      <c r="B37" s="1319"/>
      <c r="C37" s="502" t="s">
        <v>492</v>
      </c>
      <c r="D37" s="360" t="s">
        <v>508</v>
      </c>
      <c r="E37" s="360" t="s">
        <v>237</v>
      </c>
      <c r="F37" s="360" t="s">
        <v>65</v>
      </c>
      <c r="G37" s="362">
        <f>581510*12</f>
        <v>6978120</v>
      </c>
      <c r="H37" s="444">
        <f t="shared" si="8"/>
        <v>7885275.5999999996</v>
      </c>
      <c r="I37" s="358">
        <f t="shared" si="9"/>
        <v>272746</v>
      </c>
      <c r="J37" s="358">
        <f t="shared" si="10"/>
        <v>149030</v>
      </c>
      <c r="K37" s="555">
        <f t="shared" si="1"/>
        <v>8307051.5999999996</v>
      </c>
      <c r="L37" s="1322"/>
      <c r="M37" s="145"/>
      <c r="N37" s="439"/>
      <c r="O37" s="439"/>
      <c r="P37" s="437"/>
      <c r="Q37" s="437"/>
      <c r="R37" s="437"/>
      <c r="S37" s="452"/>
      <c r="T37" s="452"/>
      <c r="U37" s="453"/>
      <c r="V37" s="453"/>
      <c r="W37" s="454"/>
      <c r="X37" s="454"/>
    </row>
    <row r="38" spans="2:259" ht="12.75" customHeight="1" thickBot="1" x14ac:dyDescent="0.25">
      <c r="B38" s="1319"/>
      <c r="C38" s="502" t="s">
        <v>493</v>
      </c>
      <c r="D38" s="360" t="s">
        <v>509</v>
      </c>
      <c r="E38" s="360" t="s">
        <v>237</v>
      </c>
      <c r="F38" s="360" t="s">
        <v>65</v>
      </c>
      <c r="G38" s="362">
        <f>581510*12</f>
        <v>6978120</v>
      </c>
      <c r="H38" s="444">
        <f t="shared" si="8"/>
        <v>7885275.5999999996</v>
      </c>
      <c r="I38" s="358">
        <f t="shared" si="9"/>
        <v>272746</v>
      </c>
      <c r="J38" s="358">
        <f t="shared" si="10"/>
        <v>149030</v>
      </c>
      <c r="K38" s="555">
        <f t="shared" si="1"/>
        <v>8307051.5999999996</v>
      </c>
      <c r="L38" s="1322"/>
      <c r="M38" s="145"/>
      <c r="N38" s="439"/>
      <c r="O38" s="439"/>
      <c r="P38" s="437"/>
      <c r="Q38" s="437"/>
      <c r="R38" s="437"/>
      <c r="S38" s="452"/>
      <c r="T38" s="452"/>
      <c r="U38" s="453"/>
      <c r="V38" s="453"/>
      <c r="W38" s="454"/>
      <c r="X38" s="454"/>
    </row>
    <row r="39" spans="2:259" ht="12.75" customHeight="1" thickBot="1" x14ac:dyDescent="0.25">
      <c r="B39" s="1319"/>
      <c r="C39" s="502" t="s">
        <v>494</v>
      </c>
      <c r="D39" s="360" t="s">
        <v>473</v>
      </c>
      <c r="E39" s="360" t="s">
        <v>237</v>
      </c>
      <c r="F39" s="360" t="s">
        <v>65</v>
      </c>
      <c r="G39" s="362">
        <f>607379*12</f>
        <v>7288548</v>
      </c>
      <c r="H39" s="444">
        <f t="shared" si="8"/>
        <v>8236059.2399999993</v>
      </c>
      <c r="I39" s="358">
        <f t="shared" si="9"/>
        <v>272746</v>
      </c>
      <c r="J39" s="358">
        <f t="shared" si="10"/>
        <v>149030</v>
      </c>
      <c r="K39" s="555">
        <f t="shared" ref="K39:K40" si="11">SUM(H39:J39)</f>
        <v>8657835.2399999984</v>
      </c>
      <c r="L39" s="1322"/>
      <c r="M39" s="145"/>
      <c r="N39" s="439"/>
      <c r="O39" s="439"/>
      <c r="P39" s="437"/>
      <c r="Q39" s="437"/>
      <c r="R39" s="437"/>
      <c r="S39" s="452"/>
      <c r="T39" s="452"/>
      <c r="U39" s="453"/>
      <c r="V39" s="453"/>
      <c r="W39" s="454"/>
      <c r="X39" s="454"/>
    </row>
    <row r="40" spans="2:259" ht="12.75" customHeight="1" thickBot="1" x14ac:dyDescent="0.25">
      <c r="B40" s="1319"/>
      <c r="C40" s="502" t="s">
        <v>495</v>
      </c>
      <c r="D40" s="360" t="s">
        <v>510</v>
      </c>
      <c r="E40" s="360" t="s">
        <v>237</v>
      </c>
      <c r="F40" s="360" t="s">
        <v>65</v>
      </c>
      <c r="G40" s="362">
        <f>581510*12</f>
        <v>6978120</v>
      </c>
      <c r="H40" s="444">
        <f t="shared" si="8"/>
        <v>7885275.5999999996</v>
      </c>
      <c r="I40" s="358">
        <f t="shared" si="9"/>
        <v>272746</v>
      </c>
      <c r="J40" s="358">
        <f t="shared" si="10"/>
        <v>149030</v>
      </c>
      <c r="K40" s="555">
        <f t="shared" si="11"/>
        <v>8307051.5999999996</v>
      </c>
      <c r="L40" s="1322"/>
      <c r="M40" s="145"/>
      <c r="N40" s="439"/>
      <c r="O40" s="439"/>
      <c r="P40" s="437"/>
      <c r="Q40" s="437"/>
      <c r="R40" s="437"/>
      <c r="S40" s="452"/>
      <c r="T40" s="452"/>
      <c r="U40" s="453"/>
      <c r="V40" s="453"/>
      <c r="W40" s="454"/>
      <c r="X40" s="454"/>
    </row>
    <row r="41" spans="2:259" ht="12.75" customHeight="1" thickBot="1" x14ac:dyDescent="0.25">
      <c r="B41" s="1319"/>
      <c r="C41" s="502" t="s">
        <v>496</v>
      </c>
      <c r="D41" s="360" t="s">
        <v>511</v>
      </c>
      <c r="E41" s="360" t="s">
        <v>237</v>
      </c>
      <c r="F41" s="360" t="s">
        <v>65</v>
      </c>
      <c r="G41" s="362">
        <f>537162*10</f>
        <v>5371620</v>
      </c>
      <c r="H41" s="444">
        <f t="shared" si="8"/>
        <v>6069930.5999999996</v>
      </c>
      <c r="I41" s="358">
        <f t="shared" si="9"/>
        <v>272746</v>
      </c>
      <c r="J41" s="358">
        <f t="shared" si="10"/>
        <v>149030</v>
      </c>
      <c r="K41" s="555">
        <f t="shared" si="1"/>
        <v>6491706.5999999996</v>
      </c>
      <c r="L41" s="1322"/>
      <c r="M41" s="145"/>
      <c r="N41" s="439"/>
      <c r="O41" s="439"/>
      <c r="P41" s="437"/>
      <c r="Q41" s="437"/>
      <c r="R41" s="437"/>
      <c r="S41" s="452"/>
      <c r="T41" s="452"/>
      <c r="U41" s="453"/>
      <c r="V41" s="453"/>
      <c r="W41" s="454"/>
      <c r="X41" s="454"/>
    </row>
    <row r="42" spans="2:259" ht="12.75" customHeight="1" thickBot="1" x14ac:dyDescent="0.25">
      <c r="B42" s="1319"/>
      <c r="C42" s="502" t="s">
        <v>497</v>
      </c>
      <c r="D42" s="360" t="s">
        <v>512</v>
      </c>
      <c r="E42" s="360" t="s">
        <v>237</v>
      </c>
      <c r="F42" s="360" t="s">
        <v>65</v>
      </c>
      <c r="G42" s="362">
        <f>607379*12</f>
        <v>7288548</v>
      </c>
      <c r="H42" s="444">
        <f t="shared" si="8"/>
        <v>8236059.2399999993</v>
      </c>
      <c r="I42" s="358">
        <f t="shared" si="9"/>
        <v>272746</v>
      </c>
      <c r="J42" s="358">
        <f t="shared" si="10"/>
        <v>149030</v>
      </c>
      <c r="K42" s="555">
        <f t="shared" si="1"/>
        <v>8657835.2399999984</v>
      </c>
      <c r="L42" s="1322"/>
      <c r="M42" s="145"/>
      <c r="N42" s="439"/>
      <c r="O42" s="439"/>
      <c r="P42" s="437"/>
      <c r="Q42" s="437"/>
      <c r="R42" s="437"/>
      <c r="S42" s="452"/>
      <c r="T42" s="452"/>
      <c r="U42" s="453"/>
      <c r="V42" s="453"/>
      <c r="W42" s="454"/>
      <c r="X42" s="454"/>
    </row>
    <row r="43" spans="2:259" ht="12.75" customHeight="1" thickBot="1" x14ac:dyDescent="0.25">
      <c r="B43" s="1319"/>
      <c r="C43" s="502" t="s">
        <v>498</v>
      </c>
      <c r="D43" s="360" t="s">
        <v>513</v>
      </c>
      <c r="E43" s="360" t="s">
        <v>237</v>
      </c>
      <c r="F43" s="360" t="s">
        <v>65</v>
      </c>
      <c r="G43" s="362">
        <f>566727*12</f>
        <v>6800724</v>
      </c>
      <c r="H43" s="444">
        <f t="shared" si="8"/>
        <v>7684818.1199999992</v>
      </c>
      <c r="I43" s="358">
        <f t="shared" si="9"/>
        <v>272746</v>
      </c>
      <c r="J43" s="358">
        <f t="shared" si="10"/>
        <v>149030</v>
      </c>
      <c r="K43" s="555">
        <f t="shared" si="1"/>
        <v>8106594.1199999992</v>
      </c>
      <c r="L43" s="1322"/>
      <c r="M43" s="145"/>
      <c r="N43" s="439"/>
      <c r="O43" s="439"/>
      <c r="P43" s="437"/>
      <c r="Q43" s="437"/>
      <c r="R43" s="437"/>
      <c r="S43" s="452"/>
      <c r="T43" s="452"/>
      <c r="U43" s="453"/>
      <c r="V43" s="453"/>
      <c r="W43" s="454"/>
      <c r="X43" s="454"/>
    </row>
    <row r="44" spans="2:259" ht="12.75" customHeight="1" thickBot="1" x14ac:dyDescent="0.25">
      <c r="B44" s="1319"/>
      <c r="C44" s="502" t="s">
        <v>499</v>
      </c>
      <c r="D44" s="360" t="s">
        <v>514</v>
      </c>
      <c r="E44" s="360" t="s">
        <v>237</v>
      </c>
      <c r="F44" s="360" t="s">
        <v>65</v>
      </c>
      <c r="G44" s="362">
        <f>566727*12</f>
        <v>6800724</v>
      </c>
      <c r="H44" s="444">
        <f t="shared" ref="H44" si="12">+G44*(1+$L$7)</f>
        <v>7684818.1199999992</v>
      </c>
      <c r="I44" s="358">
        <f t="shared" si="9"/>
        <v>272746</v>
      </c>
      <c r="J44" s="358">
        <f t="shared" si="10"/>
        <v>149030</v>
      </c>
      <c r="K44" s="1068">
        <f t="shared" si="1"/>
        <v>8106594.1199999992</v>
      </c>
      <c r="L44" s="1322"/>
      <c r="M44" s="211"/>
      <c r="N44" s="439"/>
      <c r="O44" s="439"/>
      <c r="P44" s="437"/>
      <c r="Q44" s="437"/>
      <c r="R44" s="437"/>
      <c r="S44" s="452"/>
      <c r="T44" s="452"/>
      <c r="U44" s="453"/>
      <c r="V44" s="453"/>
      <c r="W44" s="454"/>
      <c r="X44" s="454"/>
    </row>
    <row r="45" spans="2:259" ht="12.75" customHeight="1" thickBot="1" x14ac:dyDescent="0.25">
      <c r="B45" s="1319"/>
      <c r="C45" s="502" t="s">
        <v>500</v>
      </c>
      <c r="D45" s="360" t="s">
        <v>515</v>
      </c>
      <c r="E45" s="360" t="s">
        <v>238</v>
      </c>
      <c r="F45" s="360" t="s">
        <v>65</v>
      </c>
      <c r="G45" s="362">
        <f>616105*12</f>
        <v>7393260</v>
      </c>
      <c r="H45" s="444">
        <f t="shared" si="8"/>
        <v>8354383.7999999989</v>
      </c>
      <c r="I45" s="358">
        <f t="shared" si="9"/>
        <v>272746</v>
      </c>
      <c r="J45" s="362">
        <f>73174*2</f>
        <v>146348</v>
      </c>
      <c r="K45" s="555">
        <f t="shared" si="1"/>
        <v>8773477.7999999989</v>
      </c>
      <c r="L45" s="1322"/>
      <c r="M45" s="145"/>
      <c r="N45" s="439"/>
      <c r="O45" s="439"/>
      <c r="P45" s="437"/>
      <c r="Q45" s="437"/>
      <c r="R45" s="437"/>
      <c r="S45" s="452"/>
      <c r="T45" s="452"/>
      <c r="U45" s="453"/>
      <c r="V45" s="453"/>
      <c r="W45" s="454"/>
      <c r="X45" s="454"/>
    </row>
    <row r="46" spans="2:259" ht="12.75" customHeight="1" thickBot="1" x14ac:dyDescent="0.25">
      <c r="B46" s="1319"/>
      <c r="C46" s="502" t="s">
        <v>501</v>
      </c>
      <c r="D46" s="360" t="s">
        <v>516</v>
      </c>
      <c r="E46" s="360" t="s">
        <v>238</v>
      </c>
      <c r="F46" s="360" t="s">
        <v>65</v>
      </c>
      <c r="G46" s="362">
        <f>470217*12</f>
        <v>5642604</v>
      </c>
      <c r="H46" s="444">
        <f t="shared" si="8"/>
        <v>6376142.5199999996</v>
      </c>
      <c r="I46" s="358">
        <f t="shared" si="9"/>
        <v>272746</v>
      </c>
      <c r="J46" s="362">
        <f t="shared" ref="J46:J47" si="13">73174*2</f>
        <v>146348</v>
      </c>
      <c r="K46" s="555">
        <f t="shared" si="1"/>
        <v>6795236.5199999996</v>
      </c>
      <c r="L46" s="1322"/>
      <c r="M46" s="145"/>
      <c r="N46" s="439"/>
      <c r="O46" s="439"/>
      <c r="P46" s="437"/>
      <c r="Q46" s="437"/>
      <c r="R46" s="437"/>
      <c r="S46" s="452"/>
      <c r="T46" s="452"/>
      <c r="U46" s="453"/>
      <c r="V46" s="453"/>
      <c r="W46" s="454"/>
      <c r="X46" s="454"/>
    </row>
    <row r="47" spans="2:259" ht="12.75" customHeight="1" thickBot="1" x14ac:dyDescent="0.25">
      <c r="B47" s="1319"/>
      <c r="C47" s="551" t="s">
        <v>502</v>
      </c>
      <c r="D47" s="446" t="s">
        <v>698</v>
      </c>
      <c r="E47" s="446" t="s">
        <v>238</v>
      </c>
      <c r="F47" s="446" t="s">
        <v>65</v>
      </c>
      <c r="G47" s="1062">
        <v>0</v>
      </c>
      <c r="H47" s="1063">
        <v>0</v>
      </c>
      <c r="I47" s="358">
        <f t="shared" si="9"/>
        <v>0</v>
      </c>
      <c r="J47" s="362">
        <f t="shared" si="13"/>
        <v>146348</v>
      </c>
      <c r="K47" s="555">
        <f t="shared" si="1"/>
        <v>146348</v>
      </c>
      <c r="L47" s="1322"/>
      <c r="M47" s="211"/>
      <c r="N47" s="439"/>
      <c r="O47" s="439"/>
      <c r="P47" s="437"/>
      <c r="Q47" s="437"/>
      <c r="R47" s="437"/>
      <c r="S47" s="452"/>
      <c r="T47" s="452"/>
      <c r="U47" s="453"/>
      <c r="V47" s="453"/>
      <c r="W47" s="454"/>
      <c r="X47" s="454"/>
    </row>
    <row r="48" spans="2:259" ht="12.75" customHeight="1" thickBot="1" x14ac:dyDescent="0.25">
      <c r="B48" s="1319"/>
      <c r="C48" s="502" t="s">
        <v>503</v>
      </c>
      <c r="D48" s="360" t="s">
        <v>471</v>
      </c>
      <c r="E48" s="360" t="s">
        <v>239</v>
      </c>
      <c r="F48" s="360" t="s">
        <v>65</v>
      </c>
      <c r="G48" s="362">
        <f>440476*12</f>
        <v>5285712</v>
      </c>
      <c r="H48" s="444">
        <f t="shared" si="8"/>
        <v>5972854.5599999996</v>
      </c>
      <c r="I48" s="358">
        <f t="shared" si="9"/>
        <v>272746</v>
      </c>
      <c r="J48" s="362">
        <f>74207*2</f>
        <v>148414</v>
      </c>
      <c r="K48" s="555">
        <f t="shared" si="1"/>
        <v>6394014.5599999996</v>
      </c>
      <c r="L48" s="1322"/>
      <c r="M48" s="211"/>
      <c r="N48" s="439"/>
      <c r="O48" s="439"/>
      <c r="P48" s="437"/>
      <c r="Q48" s="437"/>
      <c r="R48" s="437"/>
      <c r="S48" s="452"/>
      <c r="T48" s="452"/>
      <c r="U48" s="453"/>
      <c r="V48" s="453"/>
      <c r="W48" s="454"/>
      <c r="X48" s="454"/>
    </row>
    <row r="49" spans="2:24" ht="12.75" customHeight="1" thickBot="1" x14ac:dyDescent="0.25">
      <c r="B49" s="1319"/>
      <c r="C49" s="502" t="s">
        <v>504</v>
      </c>
      <c r="D49" s="360" t="s">
        <v>505</v>
      </c>
      <c r="E49" s="360" t="s">
        <v>239</v>
      </c>
      <c r="F49" s="360" t="s">
        <v>65</v>
      </c>
      <c r="G49" s="362">
        <f>G47</f>
        <v>0</v>
      </c>
      <c r="H49" s="444">
        <f t="shared" si="8"/>
        <v>0</v>
      </c>
      <c r="I49" s="358">
        <f t="shared" si="9"/>
        <v>272746</v>
      </c>
      <c r="J49" s="362">
        <f>74207*2</f>
        <v>148414</v>
      </c>
      <c r="K49" s="555">
        <f t="shared" si="1"/>
        <v>421160</v>
      </c>
      <c r="L49" s="1322"/>
      <c r="M49" s="145"/>
      <c r="N49" s="439"/>
      <c r="O49" s="439"/>
      <c r="P49" s="437"/>
      <c r="Q49" s="437"/>
      <c r="R49" s="437"/>
      <c r="S49" s="452"/>
      <c r="T49" s="452"/>
      <c r="U49" s="453"/>
      <c r="V49" s="453"/>
      <c r="W49" s="454"/>
      <c r="X49" s="454"/>
    </row>
    <row r="50" spans="2:24" ht="12.75" customHeight="1" thickBot="1" x14ac:dyDescent="0.25">
      <c r="B50" s="1319"/>
      <c r="C50" s="502" t="s">
        <v>484</v>
      </c>
      <c r="D50" s="360" t="s">
        <v>485</v>
      </c>
      <c r="E50" s="360" t="s">
        <v>415</v>
      </c>
      <c r="F50" s="360" t="s">
        <v>65</v>
      </c>
      <c r="G50" s="362">
        <f>815462*12</f>
        <v>9785544</v>
      </c>
      <c r="H50" s="444">
        <f t="shared" si="8"/>
        <v>11057664.719999999</v>
      </c>
      <c r="I50" s="358">
        <f>65535+85466</f>
        <v>151001</v>
      </c>
      <c r="J50" s="362">
        <f>72819*2</f>
        <v>145638</v>
      </c>
      <c r="K50" s="555">
        <f t="shared" si="1"/>
        <v>11354303.719999999</v>
      </c>
      <c r="L50" s="1322"/>
      <c r="M50" s="145"/>
      <c r="N50" s="439"/>
      <c r="O50" s="439"/>
      <c r="P50" s="437"/>
      <c r="Q50" s="437"/>
      <c r="R50" s="437"/>
      <c r="S50" s="452"/>
      <c r="T50" s="452"/>
      <c r="U50" s="453"/>
      <c r="V50" s="453"/>
      <c r="W50" s="454"/>
      <c r="X50" s="454"/>
    </row>
    <row r="51" spans="2:24" ht="12.75" customHeight="1" x14ac:dyDescent="0.2">
      <c r="B51" s="1319"/>
      <c r="C51" s="502" t="s">
        <v>486</v>
      </c>
      <c r="D51" s="360" t="s">
        <v>487</v>
      </c>
      <c r="E51" s="360" t="s">
        <v>415</v>
      </c>
      <c r="F51" s="360" t="s">
        <v>65</v>
      </c>
      <c r="G51" s="362">
        <f>733987*12</f>
        <v>8807844</v>
      </c>
      <c r="H51" s="444">
        <f t="shared" si="8"/>
        <v>9952863.7199999988</v>
      </c>
      <c r="I51" s="358">
        <f>I50</f>
        <v>151001</v>
      </c>
      <c r="J51" s="362">
        <f>72819*2</f>
        <v>145638</v>
      </c>
      <c r="K51" s="555">
        <f t="shared" si="1"/>
        <v>10249502.719999999</v>
      </c>
      <c r="L51" s="1322"/>
      <c r="M51" s="145"/>
      <c r="N51" s="439"/>
      <c r="O51" s="439"/>
      <c r="P51" s="437"/>
      <c r="Q51" s="437"/>
      <c r="R51" s="437"/>
      <c r="S51" s="452"/>
      <c r="T51" s="452"/>
      <c r="U51" s="453"/>
      <c r="V51" s="453"/>
      <c r="W51" s="454"/>
      <c r="X51" s="454"/>
    </row>
    <row r="52" spans="2:24" ht="12.75" customHeight="1" x14ac:dyDescent="0.2">
      <c r="B52" s="1319"/>
      <c r="C52" s="502"/>
      <c r="D52" s="360"/>
      <c r="E52" s="360"/>
      <c r="F52" s="360"/>
      <c r="G52" s="362">
        <v>0</v>
      </c>
      <c r="H52" s="444">
        <f t="shared" si="8"/>
        <v>0</v>
      </c>
      <c r="I52" s="362">
        <v>0</v>
      </c>
      <c r="J52" s="362">
        <v>0</v>
      </c>
      <c r="K52" s="555">
        <f t="shared" si="1"/>
        <v>0</v>
      </c>
      <c r="L52" s="1322"/>
      <c r="M52" s="145"/>
      <c r="N52" s="439"/>
      <c r="O52" s="439"/>
      <c r="P52" s="437"/>
      <c r="Q52" s="437"/>
      <c r="R52" s="437"/>
      <c r="S52" s="452"/>
      <c r="T52" s="452"/>
      <c r="U52" s="453"/>
      <c r="V52" s="453"/>
      <c r="W52" s="454"/>
      <c r="X52" s="454"/>
    </row>
    <row r="53" spans="2:24" ht="12.75" customHeight="1" x14ac:dyDescent="0.2">
      <c r="B53" s="1319"/>
      <c r="C53" s="551"/>
      <c r="D53" s="446"/>
      <c r="E53" s="360"/>
      <c r="F53" s="360"/>
      <c r="G53" s="362">
        <v>0</v>
      </c>
      <c r="H53" s="444">
        <f t="shared" si="8"/>
        <v>0</v>
      </c>
      <c r="I53" s="362">
        <v>0</v>
      </c>
      <c r="J53" s="362">
        <v>0</v>
      </c>
      <c r="K53" s="555">
        <f t="shared" si="1"/>
        <v>0</v>
      </c>
      <c r="L53" s="1322"/>
      <c r="M53" s="145"/>
      <c r="N53" s="439"/>
      <c r="O53" s="439"/>
      <c r="P53" s="437"/>
      <c r="Q53" s="437"/>
      <c r="R53" s="437"/>
      <c r="S53" s="452"/>
      <c r="T53" s="452"/>
      <c r="U53" s="453"/>
      <c r="V53" s="453"/>
      <c r="W53" s="454"/>
      <c r="X53" s="454"/>
    </row>
    <row r="54" spans="2:24" ht="12.75" customHeight="1" x14ac:dyDescent="0.2">
      <c r="B54" s="1319"/>
      <c r="C54" s="502" t="s">
        <v>406</v>
      </c>
      <c r="D54" s="360">
        <v>1</v>
      </c>
      <c r="E54" s="360"/>
      <c r="F54" s="360" t="s">
        <v>65</v>
      </c>
      <c r="G54" s="362">
        <v>0</v>
      </c>
      <c r="H54" s="444">
        <f t="shared" si="8"/>
        <v>0</v>
      </c>
      <c r="I54" s="362">
        <v>0</v>
      </c>
      <c r="J54" s="362">
        <v>0</v>
      </c>
      <c r="K54" s="555">
        <f t="shared" si="1"/>
        <v>0</v>
      </c>
      <c r="L54" s="1322"/>
      <c r="M54" s="145"/>
      <c r="N54" s="439"/>
      <c r="O54" s="439"/>
      <c r="P54" s="437"/>
      <c r="Q54" s="437"/>
      <c r="R54" s="437"/>
      <c r="S54" s="452"/>
      <c r="T54" s="452"/>
      <c r="U54" s="453"/>
      <c r="V54" s="453"/>
      <c r="W54" s="454"/>
      <c r="X54" s="454"/>
    </row>
    <row r="55" spans="2:24" ht="12.75" customHeight="1" x14ac:dyDescent="0.2">
      <c r="B55" s="1319"/>
      <c r="C55" s="502" t="s">
        <v>407</v>
      </c>
      <c r="D55" s="360">
        <v>4</v>
      </c>
      <c r="E55" s="360"/>
      <c r="F55" s="360" t="s">
        <v>65</v>
      </c>
      <c r="G55" s="362">
        <v>0</v>
      </c>
      <c r="H55" s="444">
        <f t="shared" si="8"/>
        <v>0</v>
      </c>
      <c r="I55" s="362">
        <v>0</v>
      </c>
      <c r="J55" s="362">
        <v>0</v>
      </c>
      <c r="K55" s="555">
        <f t="shared" si="1"/>
        <v>0</v>
      </c>
      <c r="L55" s="1322"/>
      <c r="M55" s="145"/>
      <c r="N55" s="439"/>
      <c r="O55" s="439"/>
      <c r="P55" s="437"/>
      <c r="Q55" s="437"/>
      <c r="R55" s="437"/>
      <c r="S55" s="452"/>
      <c r="T55" s="452"/>
      <c r="U55" s="453"/>
      <c r="V55" s="453"/>
      <c r="W55" s="454"/>
      <c r="X55" s="454"/>
    </row>
    <row r="56" spans="2:24" ht="12.75" customHeight="1" thickBot="1" x14ac:dyDescent="0.25">
      <c r="B56" s="1320"/>
      <c r="C56" s="499"/>
      <c r="D56" s="447"/>
      <c r="E56" s="447"/>
      <c r="F56" s="447"/>
      <c r="G56" s="370">
        <v>0</v>
      </c>
      <c r="H56" s="170">
        <f t="shared" si="8"/>
        <v>0</v>
      </c>
      <c r="I56" s="370">
        <v>0</v>
      </c>
      <c r="J56" s="370">
        <v>0</v>
      </c>
      <c r="K56" s="556">
        <f t="shared" si="1"/>
        <v>0</v>
      </c>
      <c r="L56" s="1323"/>
      <c r="M56" s="145"/>
      <c r="N56" s="439"/>
      <c r="O56" s="439"/>
      <c r="P56" s="439"/>
      <c r="Q56" s="439"/>
      <c r="R56" s="439"/>
      <c r="S56" s="452"/>
      <c r="T56" s="452"/>
      <c r="U56" s="453"/>
      <c r="V56" s="453"/>
      <c r="W56" s="454"/>
      <c r="X56" s="454"/>
    </row>
    <row r="57" spans="2:24" ht="12.75" customHeight="1" thickBot="1" x14ac:dyDescent="0.25">
      <c r="B57" s="1304" t="str">
        <f>+'B) Reajuste Tarifas y Ocupación'!A16</f>
        <v>Jardín Infantil Pecesitos de Colores</v>
      </c>
      <c r="C57" s="494"/>
      <c r="D57" s="356"/>
      <c r="E57" s="356"/>
      <c r="F57" s="356"/>
      <c r="G57" s="358">
        <v>0</v>
      </c>
      <c r="H57" s="159">
        <f t="shared" si="8"/>
        <v>0</v>
      </c>
      <c r="I57" s="358">
        <v>0</v>
      </c>
      <c r="J57" s="358">
        <v>0</v>
      </c>
      <c r="K57" s="554">
        <f t="shared" si="1"/>
        <v>0</v>
      </c>
      <c r="L57" s="1305">
        <f>K58</f>
        <v>9918155.879999999</v>
      </c>
      <c r="M57" s="145"/>
      <c r="N57" s="439"/>
      <c r="O57" s="439"/>
      <c r="P57" s="440"/>
      <c r="Q57" s="440"/>
      <c r="R57" s="440"/>
      <c r="T57" s="576"/>
      <c r="U57" s="576"/>
      <c r="V57" s="576"/>
      <c r="W57" s="576"/>
    </row>
    <row r="58" spans="2:24" ht="12.75" customHeight="1" thickBot="1" x14ac:dyDescent="0.25">
      <c r="B58" s="1304"/>
      <c r="C58" s="502" t="s">
        <v>373</v>
      </c>
      <c r="D58" s="360" t="s">
        <v>372</v>
      </c>
      <c r="E58" s="360" t="s">
        <v>240</v>
      </c>
      <c r="F58" s="360" t="s">
        <v>241</v>
      </c>
      <c r="G58" s="362">
        <f>700323*12</f>
        <v>8403876</v>
      </c>
      <c r="H58" s="444">
        <f t="shared" si="8"/>
        <v>9496379.879999999</v>
      </c>
      <c r="I58" s="358">
        <f>101037+171709</f>
        <v>272746</v>
      </c>
      <c r="J58" s="358">
        <f>74515*2</f>
        <v>149030</v>
      </c>
      <c r="K58" s="555">
        <f t="shared" si="1"/>
        <v>9918155.879999999</v>
      </c>
      <c r="L58" s="1305"/>
      <c r="M58" s="145"/>
      <c r="N58" s="439"/>
      <c r="O58" s="439"/>
      <c r="P58" s="437"/>
      <c r="Q58" s="437"/>
      <c r="R58" s="437"/>
      <c r="S58" s="452"/>
      <c r="T58" s="452"/>
      <c r="U58" s="453"/>
      <c r="V58" s="453"/>
      <c r="W58" s="454"/>
      <c r="X58" s="454"/>
    </row>
    <row r="59" spans="2:24" ht="12.75" customHeight="1" thickBot="1" x14ac:dyDescent="0.25">
      <c r="B59" s="1304"/>
      <c r="C59" s="502" t="s">
        <v>378</v>
      </c>
      <c r="D59" s="360" t="s">
        <v>379</v>
      </c>
      <c r="E59" s="360" t="s">
        <v>332</v>
      </c>
      <c r="F59" s="360" t="s">
        <v>241</v>
      </c>
      <c r="G59" s="362">
        <v>0</v>
      </c>
      <c r="H59" s="444">
        <f t="shared" si="8"/>
        <v>0</v>
      </c>
      <c r="I59" s="362">
        <v>0</v>
      </c>
      <c r="J59" s="362">
        <v>0</v>
      </c>
      <c r="K59" s="555">
        <f t="shared" si="1"/>
        <v>0</v>
      </c>
      <c r="L59" s="1305"/>
      <c r="M59" s="145"/>
      <c r="N59" s="439"/>
      <c r="O59" s="439"/>
      <c r="P59" s="437"/>
      <c r="Q59" s="437"/>
      <c r="R59" s="437"/>
      <c r="S59" s="452"/>
      <c r="T59" s="452"/>
      <c r="U59" s="453"/>
      <c r="V59" s="453"/>
      <c r="W59" s="454"/>
      <c r="X59" s="454"/>
    </row>
    <row r="60" spans="2:24" ht="12.75" customHeight="1" thickBot="1" x14ac:dyDescent="0.25">
      <c r="B60" s="1304"/>
      <c r="C60" s="502"/>
      <c r="D60" s="360"/>
      <c r="E60" s="360"/>
      <c r="F60" s="360"/>
      <c r="G60" s="362">
        <v>0</v>
      </c>
      <c r="H60" s="444">
        <f t="shared" si="8"/>
        <v>0</v>
      </c>
      <c r="I60" s="362">
        <v>0</v>
      </c>
      <c r="J60" s="362">
        <v>0</v>
      </c>
      <c r="K60" s="555">
        <f t="shared" si="1"/>
        <v>0</v>
      </c>
      <c r="L60" s="1305"/>
      <c r="M60" s="145"/>
      <c r="N60" s="693"/>
      <c r="O60" s="439"/>
      <c r="P60" s="437"/>
      <c r="Q60" s="437"/>
      <c r="R60" s="437"/>
      <c r="S60" s="452"/>
      <c r="T60" s="452"/>
      <c r="U60" s="453"/>
      <c r="V60" s="453"/>
      <c r="W60" s="454"/>
      <c r="X60" s="454"/>
    </row>
    <row r="61" spans="2:24" ht="12.75" customHeight="1" thickBot="1" x14ac:dyDescent="0.25">
      <c r="B61" s="1304"/>
      <c r="C61" s="502" t="s">
        <v>374</v>
      </c>
      <c r="D61" s="360" t="s">
        <v>375</v>
      </c>
      <c r="E61" s="360" t="s">
        <v>242</v>
      </c>
      <c r="F61" s="360" t="s">
        <v>241</v>
      </c>
      <c r="G61" s="362">
        <v>0</v>
      </c>
      <c r="H61" s="444">
        <f t="shared" si="8"/>
        <v>0</v>
      </c>
      <c r="I61" s="362">
        <v>0</v>
      </c>
      <c r="J61" s="362">
        <v>0</v>
      </c>
      <c r="K61" s="555">
        <f t="shared" si="1"/>
        <v>0</v>
      </c>
      <c r="L61" s="1305"/>
      <c r="M61" s="145"/>
      <c r="N61" s="439"/>
      <c r="O61" s="439"/>
      <c r="P61" s="437"/>
      <c r="Q61" s="437"/>
      <c r="R61" s="437"/>
      <c r="S61" s="452"/>
      <c r="T61" s="452"/>
      <c r="U61" s="453"/>
      <c r="V61" s="453"/>
      <c r="W61" s="454"/>
      <c r="X61" s="454"/>
    </row>
    <row r="62" spans="2:24" ht="12.75" customHeight="1" thickBot="1" x14ac:dyDescent="0.25">
      <c r="B62" s="1304"/>
      <c r="C62" s="499" t="s">
        <v>376</v>
      </c>
      <c r="D62" s="447" t="s">
        <v>377</v>
      </c>
      <c r="E62" s="447" t="s">
        <v>331</v>
      </c>
      <c r="F62" s="447" t="s">
        <v>241</v>
      </c>
      <c r="G62" s="370">
        <v>0</v>
      </c>
      <c r="H62" s="170">
        <f t="shared" si="8"/>
        <v>0</v>
      </c>
      <c r="I62" s="370">
        <v>0</v>
      </c>
      <c r="J62" s="370">
        <v>0</v>
      </c>
      <c r="K62" s="556">
        <f t="shared" si="1"/>
        <v>0</v>
      </c>
      <c r="L62" s="1305"/>
      <c r="M62" s="145"/>
      <c r="N62" s="693"/>
      <c r="O62" s="439"/>
      <c r="P62" s="437"/>
      <c r="Q62" s="437"/>
      <c r="R62" s="437"/>
      <c r="S62" s="452"/>
      <c r="T62" s="452"/>
      <c r="U62" s="453"/>
      <c r="V62" s="453"/>
      <c r="W62" s="454"/>
      <c r="X62" s="454"/>
    </row>
    <row r="63" spans="2:24" ht="13.5" thickBot="1" x14ac:dyDescent="0.25">
      <c r="B63" s="1324" t="str">
        <f>+'B) Reajuste Tarifas y Ocupación'!A17</f>
        <v>Jardín Infantil Caracolito de Mar</v>
      </c>
      <c r="C63" s="694"/>
      <c r="D63" s="694"/>
      <c r="E63" s="694"/>
      <c r="F63" s="694"/>
      <c r="G63" s="695"/>
      <c r="H63" s="457"/>
      <c r="I63" s="456"/>
      <c r="J63" s="456"/>
      <c r="K63" s="458"/>
      <c r="L63" s="1325"/>
      <c r="M63" s="145"/>
      <c r="N63" s="439"/>
      <c r="O63" s="439"/>
      <c r="P63" s="440"/>
      <c r="Q63" s="440"/>
      <c r="R63" s="440"/>
      <c r="T63" s="576"/>
      <c r="U63" s="576"/>
      <c r="V63" s="576"/>
      <c r="W63" s="576"/>
    </row>
    <row r="64" spans="2:24" x14ac:dyDescent="0.2">
      <c r="B64" s="1324"/>
      <c r="C64" s="696"/>
      <c r="D64" s="696"/>
      <c r="E64" s="696"/>
      <c r="F64" s="696"/>
      <c r="G64" s="697"/>
      <c r="H64" s="461"/>
      <c r="I64" s="460"/>
      <c r="J64" s="460"/>
      <c r="K64" s="462"/>
      <c r="L64" s="1325"/>
      <c r="M64" s="145"/>
      <c r="N64" s="439"/>
      <c r="O64" s="439"/>
      <c r="P64" s="437"/>
      <c r="Q64" s="437"/>
      <c r="R64" s="437"/>
      <c r="S64" s="452"/>
      <c r="T64" s="452"/>
      <c r="U64" s="453"/>
      <c r="V64" s="453"/>
      <c r="W64" s="454"/>
      <c r="X64" s="454"/>
    </row>
    <row r="65" spans="2:24" x14ac:dyDescent="0.2">
      <c r="B65" s="1324"/>
      <c r="C65" s="696"/>
      <c r="D65" s="696"/>
      <c r="E65" s="696"/>
      <c r="F65" s="696"/>
      <c r="G65" s="697"/>
      <c r="H65" s="461"/>
      <c r="I65" s="460"/>
      <c r="J65" s="460"/>
      <c r="K65" s="462"/>
      <c r="L65" s="1325"/>
      <c r="M65" s="145"/>
      <c r="N65" s="439"/>
      <c r="O65" s="439"/>
      <c r="P65" s="437"/>
      <c r="Q65" s="437"/>
      <c r="R65" s="437"/>
      <c r="S65" s="452"/>
      <c r="T65" s="452"/>
      <c r="U65" s="453"/>
      <c r="V65" s="453"/>
      <c r="W65" s="454"/>
      <c r="X65" s="454"/>
    </row>
    <row r="66" spans="2:24" x14ac:dyDescent="0.2">
      <c r="B66" s="1324"/>
      <c r="C66" s="696"/>
      <c r="D66" s="696"/>
      <c r="E66" s="696"/>
      <c r="F66" s="696"/>
      <c r="G66" s="697"/>
      <c r="H66" s="461"/>
      <c r="I66" s="460"/>
      <c r="J66" s="460"/>
      <c r="K66" s="462"/>
      <c r="L66" s="1325"/>
      <c r="M66" s="145"/>
      <c r="N66" s="439"/>
      <c r="O66" s="439"/>
      <c r="P66" s="437"/>
      <c r="Q66" s="437"/>
      <c r="R66" s="437"/>
      <c r="S66" s="452"/>
      <c r="T66" s="452"/>
      <c r="U66" s="453"/>
      <c r="V66" s="453"/>
      <c r="W66" s="454"/>
      <c r="X66" s="454"/>
    </row>
    <row r="67" spans="2:24" x14ac:dyDescent="0.2">
      <c r="B67" s="1324"/>
      <c r="C67" s="696"/>
      <c r="D67" s="696"/>
      <c r="E67" s="696"/>
      <c r="F67" s="696"/>
      <c r="G67" s="697"/>
      <c r="H67" s="461"/>
      <c r="I67" s="460"/>
      <c r="J67" s="460"/>
      <c r="K67" s="462"/>
      <c r="L67" s="1325"/>
      <c r="M67" s="145"/>
      <c r="N67" s="439"/>
      <c r="O67" s="439"/>
      <c r="P67" s="437"/>
      <c r="Q67" s="437"/>
      <c r="R67" s="437"/>
      <c r="S67" s="452"/>
      <c r="T67" s="452"/>
      <c r="U67" s="453"/>
      <c r="V67" s="453"/>
      <c r="W67" s="454"/>
      <c r="X67" s="454"/>
    </row>
    <row r="68" spans="2:24" x14ac:dyDescent="0.2">
      <c r="B68" s="1324"/>
      <c r="C68" s="696"/>
      <c r="D68" s="696"/>
      <c r="E68" s="696"/>
      <c r="F68" s="696"/>
      <c r="G68" s="697"/>
      <c r="H68" s="461"/>
      <c r="I68" s="460"/>
      <c r="J68" s="460"/>
      <c r="K68" s="462"/>
      <c r="L68" s="1325"/>
      <c r="M68" s="145"/>
      <c r="N68" s="439"/>
      <c r="O68" s="439"/>
      <c r="P68" s="437"/>
      <c r="Q68" s="437"/>
      <c r="R68" s="437"/>
      <c r="S68" s="452"/>
      <c r="T68" s="452"/>
      <c r="U68" s="453"/>
      <c r="V68" s="453"/>
      <c r="W68" s="454"/>
      <c r="X68" s="454"/>
    </row>
    <row r="69" spans="2:24" x14ac:dyDescent="0.2">
      <c r="B69" s="1324"/>
      <c r="C69" s="696"/>
      <c r="D69" s="696"/>
      <c r="E69" s="696"/>
      <c r="F69" s="696"/>
      <c r="G69" s="697"/>
      <c r="H69" s="461"/>
      <c r="I69" s="460"/>
      <c r="J69" s="460"/>
      <c r="K69" s="462"/>
      <c r="L69" s="1325"/>
      <c r="M69" s="145"/>
      <c r="N69" s="439"/>
      <c r="O69" s="439"/>
      <c r="P69" s="437"/>
      <c r="Q69" s="437"/>
      <c r="R69" s="437"/>
      <c r="S69" s="452"/>
      <c r="T69" s="452"/>
      <c r="U69" s="453"/>
      <c r="V69" s="453"/>
      <c r="W69" s="454"/>
      <c r="X69" s="454"/>
    </row>
    <row r="70" spans="2:24" x14ac:dyDescent="0.2">
      <c r="B70" s="1324"/>
      <c r="C70" s="696"/>
      <c r="D70" s="696"/>
      <c r="E70" s="696"/>
      <c r="F70" s="696"/>
      <c r="G70" s="697"/>
      <c r="H70" s="461"/>
      <c r="I70" s="460"/>
      <c r="J70" s="460"/>
      <c r="K70" s="462"/>
      <c r="L70" s="1325"/>
      <c r="M70" s="145"/>
      <c r="N70" s="439"/>
      <c r="O70" s="439"/>
      <c r="P70" s="437"/>
      <c r="Q70" s="437"/>
      <c r="R70" s="437"/>
      <c r="S70" s="452"/>
      <c r="T70" s="452"/>
      <c r="U70" s="453"/>
      <c r="V70" s="453"/>
      <c r="W70" s="454"/>
      <c r="X70" s="454"/>
    </row>
    <row r="71" spans="2:24" x14ac:dyDescent="0.2">
      <c r="B71" s="1324"/>
      <c r="C71" s="696"/>
      <c r="D71" s="696"/>
      <c r="E71" s="696"/>
      <c r="F71" s="696"/>
      <c r="G71" s="697"/>
      <c r="H71" s="461"/>
      <c r="I71" s="460"/>
      <c r="J71" s="460"/>
      <c r="K71" s="462"/>
      <c r="L71" s="1325"/>
      <c r="M71" s="145"/>
      <c r="N71" s="439"/>
      <c r="O71" s="439"/>
      <c r="P71" s="437"/>
      <c r="Q71" s="437"/>
      <c r="R71" s="437"/>
      <c r="S71" s="452"/>
      <c r="T71" s="452"/>
      <c r="U71" s="453"/>
      <c r="V71" s="453"/>
      <c r="W71" s="454"/>
      <c r="X71" s="454"/>
    </row>
    <row r="72" spans="2:24" x14ac:dyDescent="0.2">
      <c r="B72" s="1324"/>
      <c r="C72" s="696"/>
      <c r="D72" s="696"/>
      <c r="E72" s="696"/>
      <c r="F72" s="696"/>
      <c r="G72" s="697"/>
      <c r="H72" s="461"/>
      <c r="I72" s="460"/>
      <c r="J72" s="460"/>
      <c r="K72" s="462"/>
      <c r="L72" s="1325"/>
      <c r="M72" s="145"/>
      <c r="N72" s="439"/>
      <c r="O72" s="439"/>
      <c r="P72" s="437"/>
      <c r="Q72" s="437"/>
      <c r="R72" s="437"/>
      <c r="S72" s="452"/>
      <c r="T72" s="452"/>
      <c r="U72" s="453"/>
      <c r="V72" s="453"/>
      <c r="W72" s="454"/>
      <c r="X72" s="454"/>
    </row>
    <row r="73" spans="2:24" x14ac:dyDescent="0.2">
      <c r="B73" s="1324"/>
      <c r="C73" s="696"/>
      <c r="D73" s="696"/>
      <c r="E73" s="696"/>
      <c r="F73" s="696"/>
      <c r="G73" s="697"/>
      <c r="H73" s="461"/>
      <c r="I73" s="460"/>
      <c r="J73" s="460"/>
      <c r="K73" s="462"/>
      <c r="L73" s="1325"/>
      <c r="M73" s="145"/>
      <c r="N73" s="439"/>
      <c r="O73" s="439"/>
      <c r="P73" s="437"/>
      <c r="Q73" s="437"/>
      <c r="R73" s="437"/>
      <c r="S73" s="452"/>
      <c r="T73" s="452"/>
      <c r="U73" s="453"/>
      <c r="V73" s="453"/>
      <c r="W73" s="454"/>
      <c r="X73" s="454"/>
    </row>
    <row r="74" spans="2:24" ht="13.5" thickBot="1" x14ac:dyDescent="0.25">
      <c r="B74" s="1324"/>
      <c r="C74" s="698"/>
      <c r="D74" s="698"/>
      <c r="E74" s="698"/>
      <c r="F74" s="698"/>
      <c r="G74" s="699"/>
      <c r="H74" s="464"/>
      <c r="I74" s="463"/>
      <c r="J74" s="463"/>
      <c r="K74" s="465"/>
      <c r="L74" s="1325"/>
      <c r="M74" s="145"/>
      <c r="N74" s="439"/>
      <c r="O74" s="439"/>
      <c r="P74" s="437"/>
      <c r="Q74" s="437"/>
      <c r="R74" s="437"/>
      <c r="S74" s="452"/>
      <c r="T74" s="452"/>
      <c r="U74" s="453"/>
      <c r="V74" s="453"/>
      <c r="W74" s="454"/>
      <c r="X74" s="454"/>
    </row>
    <row r="75" spans="2:24" ht="15" customHeight="1" thickBot="1" x14ac:dyDescent="0.25">
      <c r="B75" s="1275" t="s">
        <v>29</v>
      </c>
      <c r="C75" s="1314" t="s">
        <v>170</v>
      </c>
      <c r="D75" s="1314" t="s">
        <v>171</v>
      </c>
      <c r="E75" s="1316" t="s">
        <v>172</v>
      </c>
      <c r="F75" s="1316" t="s">
        <v>151</v>
      </c>
      <c r="G75" s="1199" t="s">
        <v>236</v>
      </c>
      <c r="H75" s="1199" t="s">
        <v>339</v>
      </c>
      <c r="I75" s="1199" t="s">
        <v>178</v>
      </c>
      <c r="J75" s="1199" t="s">
        <v>179</v>
      </c>
      <c r="K75" s="1313" t="s">
        <v>340</v>
      </c>
      <c r="L75" s="1309" t="s">
        <v>345</v>
      </c>
      <c r="O75" s="435"/>
      <c r="P75" s="435"/>
      <c r="Q75" s="435"/>
      <c r="R75" s="435"/>
      <c r="S75" s="435"/>
      <c r="T75" s="435"/>
    </row>
    <row r="76" spans="2:24" ht="54.75" customHeight="1" thickBot="1" x14ac:dyDescent="0.25">
      <c r="B76" s="1275"/>
      <c r="C76" s="1315"/>
      <c r="D76" s="1315"/>
      <c r="E76" s="1317"/>
      <c r="F76" s="1317"/>
      <c r="G76" s="1199"/>
      <c r="H76" s="1199"/>
      <c r="I76" s="1199"/>
      <c r="J76" s="1199"/>
      <c r="K76" s="1313"/>
      <c r="L76" s="1310"/>
      <c r="M76" s="145"/>
      <c r="N76" s="436"/>
      <c r="O76" s="436"/>
      <c r="P76" s="437"/>
      <c r="Q76" s="437"/>
      <c r="R76" s="437"/>
      <c r="S76" s="145"/>
      <c r="T76" s="1311"/>
      <c r="U76" s="1311"/>
      <c r="V76" s="1311"/>
      <c r="W76" s="1311"/>
      <c r="X76" s="145"/>
    </row>
    <row r="77" spans="2:24" ht="13.5" thickBot="1" x14ac:dyDescent="0.25">
      <c r="B77" s="1304" t="str">
        <f>+'A) Resumen Ingresos y Egresos'!A13</f>
        <v>Sala Cuna Caracolito de Mar Diurna</v>
      </c>
      <c r="C77" s="494" t="s">
        <v>346</v>
      </c>
      <c r="D77" s="356" t="s">
        <v>347</v>
      </c>
      <c r="E77" s="356" t="s">
        <v>243</v>
      </c>
      <c r="F77" s="356" t="s">
        <v>69</v>
      </c>
      <c r="G77" s="358">
        <f>733987*12</f>
        <v>8807844</v>
      </c>
      <c r="H77" s="444">
        <f t="shared" ref="H77:H126" si="14">+G77*(1+$L$7)</f>
        <v>9952863.7199999988</v>
      </c>
      <c r="I77" s="766">
        <f>I51</f>
        <v>151001</v>
      </c>
      <c r="J77" s="358">
        <f>72819*2</f>
        <v>145638</v>
      </c>
      <c r="K77" s="438">
        <f t="shared" ref="K77:K91" si="15">SUM(H77:J77)</f>
        <v>10249502.719999999</v>
      </c>
      <c r="L77" s="1306">
        <f>SUM(K77:K91)</f>
        <v>73571724.879999995</v>
      </c>
      <c r="M77" s="145"/>
      <c r="N77" s="439"/>
      <c r="O77" s="439"/>
      <c r="P77" s="437"/>
      <c r="Q77" s="437"/>
      <c r="R77" s="437"/>
      <c r="S77" s="452"/>
      <c r="T77" s="452"/>
      <c r="U77" s="453"/>
      <c r="V77" s="453"/>
      <c r="W77" s="454"/>
      <c r="X77" s="454"/>
    </row>
    <row r="78" spans="2:24" ht="13.5" thickBot="1" x14ac:dyDescent="0.25">
      <c r="B78" s="1304"/>
      <c r="C78" s="502" t="s">
        <v>348</v>
      </c>
      <c r="D78" s="360" t="s">
        <v>349</v>
      </c>
      <c r="E78" s="360" t="s">
        <v>240</v>
      </c>
      <c r="F78" s="360" t="s">
        <v>69</v>
      </c>
      <c r="G78" s="362">
        <f>699374*12</f>
        <v>8392488</v>
      </c>
      <c r="H78" s="444">
        <f t="shared" si="14"/>
        <v>9483511.4399999995</v>
      </c>
      <c r="I78" s="766">
        <f>'[3] BD EDU'!$AP$57</f>
        <v>272746</v>
      </c>
      <c r="J78" s="358">
        <f>74515*2</f>
        <v>149030</v>
      </c>
      <c r="K78" s="445">
        <f t="shared" si="15"/>
        <v>9905287.4399999995</v>
      </c>
      <c r="L78" s="1307"/>
      <c r="M78" s="145"/>
      <c r="N78" s="439"/>
      <c r="O78" s="439"/>
      <c r="P78" s="439"/>
      <c r="Q78" s="439"/>
      <c r="R78" s="439"/>
      <c r="S78" s="452"/>
      <c r="T78" s="452"/>
      <c r="U78" s="453"/>
      <c r="V78" s="453"/>
      <c r="W78" s="454"/>
      <c r="X78" s="454"/>
    </row>
    <row r="79" spans="2:24" ht="13.5" thickBot="1" x14ac:dyDescent="0.25">
      <c r="B79" s="1304"/>
      <c r="C79" s="502" t="s">
        <v>350</v>
      </c>
      <c r="D79" s="360" t="s">
        <v>351</v>
      </c>
      <c r="E79" s="360" t="s">
        <v>240</v>
      </c>
      <c r="F79" s="360" t="s">
        <v>69</v>
      </c>
      <c r="G79" s="362">
        <f>609203*12</f>
        <v>7310436</v>
      </c>
      <c r="H79" s="444">
        <f t="shared" si="14"/>
        <v>8260792.6799999988</v>
      </c>
      <c r="I79" s="766">
        <f>'[3] BD EDU'!$AP$57</f>
        <v>272746</v>
      </c>
      <c r="J79" s="358">
        <f t="shared" ref="J79:J82" si="16">74515*2</f>
        <v>149030</v>
      </c>
      <c r="K79" s="445">
        <f t="shared" si="15"/>
        <v>8682568.6799999997</v>
      </c>
      <c r="L79" s="1307"/>
      <c r="M79" s="145"/>
      <c r="N79" s="439"/>
      <c r="O79" s="439"/>
      <c r="P79" s="440"/>
      <c r="Q79" s="440"/>
      <c r="R79" s="440"/>
      <c r="T79" s="576"/>
      <c r="U79" s="576"/>
      <c r="V79" s="576"/>
      <c r="W79" s="576"/>
    </row>
    <row r="80" spans="2:24" ht="13.5" thickBot="1" x14ac:dyDescent="0.25">
      <c r="B80" s="1304"/>
      <c r="C80" s="502" t="s">
        <v>352</v>
      </c>
      <c r="D80" s="360" t="s">
        <v>353</v>
      </c>
      <c r="E80" s="360" t="s">
        <v>240</v>
      </c>
      <c r="F80" s="360" t="s">
        <v>69</v>
      </c>
      <c r="G80" s="362">
        <f>600219*12</f>
        <v>7202628</v>
      </c>
      <c r="H80" s="444">
        <f t="shared" si="14"/>
        <v>8138969.6399999997</v>
      </c>
      <c r="I80" s="766">
        <f>'[3] BD EDU'!$AP$57</f>
        <v>272746</v>
      </c>
      <c r="J80" s="358">
        <f t="shared" si="16"/>
        <v>149030</v>
      </c>
      <c r="K80" s="445">
        <f t="shared" si="15"/>
        <v>8560745.6400000006</v>
      </c>
      <c r="L80" s="1307"/>
      <c r="M80" s="145"/>
      <c r="N80" s="439"/>
      <c r="O80" s="439"/>
      <c r="P80" s="437"/>
      <c r="Q80" s="437"/>
      <c r="R80" s="437"/>
      <c r="S80" s="452"/>
      <c r="T80" s="452"/>
      <c r="U80" s="453"/>
      <c r="V80" s="453"/>
      <c r="W80" s="454"/>
      <c r="X80" s="454"/>
    </row>
    <row r="81" spans="2:24" ht="13.5" thickBot="1" x14ac:dyDescent="0.25">
      <c r="B81" s="1304"/>
      <c r="C81" s="502" t="s">
        <v>354</v>
      </c>
      <c r="D81" s="360" t="s">
        <v>355</v>
      </c>
      <c r="E81" s="360" t="s">
        <v>240</v>
      </c>
      <c r="F81" s="360" t="s">
        <v>69</v>
      </c>
      <c r="G81" s="362">
        <f>'[3] BD EDU'!$AJ$80*12</f>
        <v>7762656</v>
      </c>
      <c r="H81" s="444">
        <f t="shared" si="14"/>
        <v>8771801.2799999993</v>
      </c>
      <c r="I81" s="766">
        <f>'[3] BD EDU'!$AP$57</f>
        <v>272746</v>
      </c>
      <c r="J81" s="358">
        <f t="shared" si="16"/>
        <v>149030</v>
      </c>
      <c r="K81" s="445">
        <f t="shared" si="15"/>
        <v>9193577.2799999993</v>
      </c>
      <c r="L81" s="1307"/>
      <c r="M81" s="145"/>
      <c r="N81" s="439"/>
      <c r="O81" s="439"/>
      <c r="P81" s="437"/>
      <c r="Q81" s="437"/>
      <c r="R81" s="437"/>
      <c r="S81" s="452"/>
      <c r="T81" s="452"/>
      <c r="U81" s="453"/>
      <c r="V81" s="453"/>
      <c r="W81" s="454"/>
      <c r="X81" s="454"/>
    </row>
    <row r="82" spans="2:24" ht="13.5" thickBot="1" x14ac:dyDescent="0.25">
      <c r="B82" s="1304"/>
      <c r="C82" s="502" t="s">
        <v>356</v>
      </c>
      <c r="D82" s="360" t="s">
        <v>357</v>
      </c>
      <c r="E82" s="360" t="s">
        <v>240</v>
      </c>
      <c r="F82" s="360" t="s">
        <v>69</v>
      </c>
      <c r="G82" s="362">
        <f>595727*12</f>
        <v>7148724</v>
      </c>
      <c r="H82" s="444">
        <f t="shared" si="14"/>
        <v>8078058.1199999992</v>
      </c>
      <c r="I82" s="766">
        <f>'[3] BD EDU'!$AP$57</f>
        <v>272746</v>
      </c>
      <c r="J82" s="358">
        <f t="shared" si="16"/>
        <v>149030</v>
      </c>
      <c r="K82" s="445">
        <f t="shared" si="15"/>
        <v>8499834.1199999992</v>
      </c>
      <c r="L82" s="1307"/>
      <c r="M82" s="145"/>
      <c r="N82" s="439"/>
      <c r="O82" s="439"/>
      <c r="P82" s="437"/>
      <c r="Q82" s="437"/>
      <c r="R82" s="437"/>
      <c r="S82" s="452"/>
      <c r="T82" s="452"/>
      <c r="U82" s="453"/>
      <c r="V82" s="453"/>
      <c r="W82" s="454"/>
      <c r="X82" s="454"/>
    </row>
    <row r="83" spans="2:24" ht="13.5" thickBot="1" x14ac:dyDescent="0.25">
      <c r="B83" s="1304"/>
      <c r="C83" s="502" t="s">
        <v>416</v>
      </c>
      <c r="D83" s="360" t="s">
        <v>417</v>
      </c>
      <c r="E83" s="360" t="s">
        <v>238</v>
      </c>
      <c r="F83" s="360" t="s">
        <v>69</v>
      </c>
      <c r="G83" s="362">
        <f>'[3] BD EDU'!$AJ$30*12</f>
        <v>5253600</v>
      </c>
      <c r="H83" s="444">
        <f t="shared" si="14"/>
        <v>5936567.9999999991</v>
      </c>
      <c r="I83" s="766">
        <f>'[3] BD EDU'!$AP$57</f>
        <v>272746</v>
      </c>
      <c r="J83" s="362">
        <f>73174*2</f>
        <v>146348</v>
      </c>
      <c r="K83" s="445">
        <f t="shared" si="15"/>
        <v>6355661.9999999991</v>
      </c>
      <c r="L83" s="1307"/>
      <c r="M83" s="145"/>
      <c r="N83" s="439"/>
      <c r="O83" s="439"/>
      <c r="P83" s="437"/>
      <c r="Q83" s="437"/>
      <c r="R83" s="437"/>
      <c r="S83" s="452"/>
      <c r="T83" s="452"/>
      <c r="U83" s="453"/>
      <c r="V83" s="453"/>
      <c r="W83" s="454"/>
      <c r="X83" s="454"/>
    </row>
    <row r="84" spans="2:24" ht="13.5" thickBot="1" x14ac:dyDescent="0.25">
      <c r="B84" s="1304"/>
      <c r="C84" s="502" t="s">
        <v>418</v>
      </c>
      <c r="D84" s="360" t="s">
        <v>418</v>
      </c>
      <c r="E84" s="360" t="s">
        <v>238</v>
      </c>
      <c r="F84" s="360" t="s">
        <v>69</v>
      </c>
      <c r="G84" s="362">
        <f>'[3] BD EDU'!$AJ$27*12</f>
        <v>5253600</v>
      </c>
      <c r="H84" s="444">
        <f t="shared" si="14"/>
        <v>5936567.9999999991</v>
      </c>
      <c r="I84" s="766">
        <f>'[3] BD EDU'!$AP$57</f>
        <v>272746</v>
      </c>
      <c r="J84" s="362">
        <f>73174*2</f>
        <v>146348</v>
      </c>
      <c r="K84" s="445">
        <f t="shared" si="15"/>
        <v>6355661.9999999991</v>
      </c>
      <c r="L84" s="1307"/>
      <c r="M84" s="145"/>
      <c r="N84" s="439"/>
      <c r="O84" s="439"/>
      <c r="P84" s="437"/>
      <c r="Q84" s="437"/>
      <c r="R84" s="437"/>
      <c r="S84" s="452"/>
      <c r="T84" s="452"/>
      <c r="U84" s="453"/>
      <c r="V84" s="453"/>
      <c r="W84" s="454"/>
      <c r="X84" s="454"/>
    </row>
    <row r="85" spans="2:24" ht="13.5" thickBot="1" x14ac:dyDescent="0.25">
      <c r="B85" s="1304"/>
      <c r="C85" s="502" t="s">
        <v>359</v>
      </c>
      <c r="D85" s="360" t="s">
        <v>351</v>
      </c>
      <c r="E85" s="360" t="s">
        <v>239</v>
      </c>
      <c r="F85" s="360" t="s">
        <v>69</v>
      </c>
      <c r="G85" s="362">
        <f>394375*12</f>
        <v>4732500</v>
      </c>
      <c r="H85" s="444">
        <f t="shared" si="14"/>
        <v>5347724.9999999991</v>
      </c>
      <c r="I85" s="766">
        <f>'[3] BD EDU'!$AP$57</f>
        <v>272746</v>
      </c>
      <c r="J85" s="362">
        <f>74207*2</f>
        <v>148414</v>
      </c>
      <c r="K85" s="445">
        <f t="shared" si="15"/>
        <v>5768884.9999999991</v>
      </c>
      <c r="L85" s="1307"/>
      <c r="M85" s="145"/>
      <c r="N85" s="439"/>
      <c r="O85" s="439"/>
      <c r="P85" s="437"/>
      <c r="Q85" s="437"/>
      <c r="R85" s="437"/>
      <c r="S85" s="452"/>
      <c r="T85" s="452"/>
      <c r="U85" s="453"/>
      <c r="V85" s="453"/>
      <c r="W85" s="454"/>
      <c r="X85" s="454"/>
    </row>
    <row r="86" spans="2:24" ht="13.5" thickBot="1" x14ac:dyDescent="0.25">
      <c r="B86" s="1304"/>
      <c r="C86" s="502"/>
      <c r="D86" s="360"/>
      <c r="E86" s="360"/>
      <c r="F86" s="360"/>
      <c r="G86" s="362">
        <v>0</v>
      </c>
      <c r="H86" s="444">
        <f t="shared" si="14"/>
        <v>0</v>
      </c>
      <c r="I86" s="767">
        <v>0</v>
      </c>
      <c r="J86" s="362">
        <v>0</v>
      </c>
      <c r="K86" s="445">
        <f t="shared" si="15"/>
        <v>0</v>
      </c>
      <c r="L86" s="1307"/>
      <c r="M86" s="145"/>
      <c r="N86" s="439"/>
      <c r="O86" s="439"/>
      <c r="P86" s="437"/>
      <c r="Q86" s="437"/>
      <c r="R86" s="437"/>
      <c r="S86" s="452"/>
      <c r="T86" s="452"/>
      <c r="U86" s="453"/>
      <c r="V86" s="453"/>
      <c r="W86" s="454"/>
      <c r="X86" s="454"/>
    </row>
    <row r="87" spans="2:24" ht="13.5" thickBot="1" x14ac:dyDescent="0.25">
      <c r="B87" s="1304"/>
      <c r="C87" s="502"/>
      <c r="D87" s="360"/>
      <c r="E87" s="360"/>
      <c r="F87" s="360"/>
      <c r="G87" s="362">
        <v>0</v>
      </c>
      <c r="H87" s="444">
        <f t="shared" si="14"/>
        <v>0</v>
      </c>
      <c r="I87" s="767">
        <v>0</v>
      </c>
      <c r="J87" s="362">
        <v>0</v>
      </c>
      <c r="K87" s="445">
        <f t="shared" si="15"/>
        <v>0</v>
      </c>
      <c r="L87" s="1307"/>
      <c r="M87" s="145"/>
      <c r="N87" s="439"/>
      <c r="O87" s="439"/>
      <c r="P87" s="437"/>
      <c r="Q87" s="437"/>
      <c r="R87" s="437"/>
      <c r="S87" s="452"/>
      <c r="T87" s="452"/>
      <c r="U87" s="453"/>
      <c r="V87" s="453"/>
      <c r="W87" s="454"/>
      <c r="X87" s="454"/>
    </row>
    <row r="88" spans="2:24" ht="13.5" thickBot="1" x14ac:dyDescent="0.25">
      <c r="B88" s="1304"/>
      <c r="C88" s="502"/>
      <c r="D88" s="360"/>
      <c r="E88" s="360"/>
      <c r="F88" s="360"/>
      <c r="G88" s="362">
        <v>0</v>
      </c>
      <c r="H88" s="444">
        <f t="shared" si="14"/>
        <v>0</v>
      </c>
      <c r="I88" s="767">
        <v>0</v>
      </c>
      <c r="J88" s="362">
        <v>0</v>
      </c>
      <c r="K88" s="445">
        <f t="shared" si="15"/>
        <v>0</v>
      </c>
      <c r="L88" s="1307"/>
      <c r="M88" s="145"/>
      <c r="N88" s="439"/>
      <c r="O88" s="439"/>
      <c r="P88" s="437"/>
      <c r="Q88" s="437"/>
      <c r="R88" s="437"/>
      <c r="S88" s="452"/>
      <c r="T88" s="452"/>
      <c r="U88" s="453"/>
      <c r="V88" s="453"/>
      <c r="W88" s="454"/>
      <c r="X88" s="454"/>
    </row>
    <row r="89" spans="2:24" ht="13.5" thickBot="1" x14ac:dyDescent="0.25">
      <c r="B89" s="1304"/>
      <c r="C89" s="502" t="s">
        <v>406</v>
      </c>
      <c r="D89" s="360">
        <v>1</v>
      </c>
      <c r="E89" s="360"/>
      <c r="F89" s="360" t="s">
        <v>69</v>
      </c>
      <c r="G89" s="362">
        <v>0</v>
      </c>
      <c r="H89" s="444">
        <f t="shared" si="14"/>
        <v>0</v>
      </c>
      <c r="I89" s="767">
        <v>0</v>
      </c>
      <c r="J89" s="362">
        <v>0</v>
      </c>
      <c r="K89" s="445">
        <f t="shared" si="15"/>
        <v>0</v>
      </c>
      <c r="L89" s="1307"/>
      <c r="M89" s="145"/>
      <c r="N89" s="439"/>
      <c r="O89" s="439"/>
      <c r="P89" s="437"/>
      <c r="Q89" s="437"/>
      <c r="R89" s="437"/>
      <c r="S89" s="452"/>
      <c r="T89" s="452"/>
      <c r="U89" s="453"/>
      <c r="V89" s="453"/>
      <c r="W89" s="454"/>
      <c r="X89" s="454"/>
    </row>
    <row r="90" spans="2:24" ht="13.5" thickBot="1" x14ac:dyDescent="0.25">
      <c r="B90" s="1304"/>
      <c r="C90" s="502" t="s">
        <v>408</v>
      </c>
      <c r="D90" s="360">
        <v>1</v>
      </c>
      <c r="E90" s="360"/>
      <c r="F90" s="360" t="s">
        <v>69</v>
      </c>
      <c r="G90" s="362">
        <v>0</v>
      </c>
      <c r="H90" s="444">
        <f t="shared" si="14"/>
        <v>0</v>
      </c>
      <c r="I90" s="767">
        <v>0</v>
      </c>
      <c r="J90" s="362">
        <v>0</v>
      </c>
      <c r="K90" s="445">
        <f t="shared" si="15"/>
        <v>0</v>
      </c>
      <c r="L90" s="1307"/>
      <c r="M90" s="145"/>
      <c r="N90" s="439"/>
      <c r="O90" s="439"/>
      <c r="P90" s="437"/>
      <c r="Q90" s="437"/>
      <c r="R90" s="437"/>
      <c r="S90" s="452"/>
      <c r="T90" s="452"/>
      <c r="U90" s="453"/>
      <c r="V90" s="453"/>
      <c r="W90" s="454"/>
      <c r="X90" s="454"/>
    </row>
    <row r="91" spans="2:24" ht="13.5" thickBot="1" x14ac:dyDescent="0.25">
      <c r="B91" s="1304"/>
      <c r="C91" s="499"/>
      <c r="D91" s="447"/>
      <c r="E91" s="447"/>
      <c r="F91" s="447"/>
      <c r="G91" s="370">
        <v>0</v>
      </c>
      <c r="H91" s="444">
        <f t="shared" si="14"/>
        <v>0</v>
      </c>
      <c r="I91" s="768">
        <v>0</v>
      </c>
      <c r="J91" s="370">
        <v>0</v>
      </c>
      <c r="K91" s="448">
        <f t="shared" si="15"/>
        <v>0</v>
      </c>
      <c r="L91" s="1308"/>
      <c r="M91" s="145"/>
      <c r="N91" s="439"/>
      <c r="O91" s="439"/>
      <c r="P91" s="437"/>
      <c r="Q91" s="437"/>
      <c r="R91" s="437"/>
      <c r="S91" s="452"/>
      <c r="T91" s="452"/>
      <c r="U91" s="453"/>
      <c r="V91" s="453"/>
      <c r="W91" s="454"/>
      <c r="X91" s="454"/>
    </row>
    <row r="92" spans="2:24" ht="13.5" thickBot="1" x14ac:dyDescent="0.25">
      <c r="B92" s="1304" t="str">
        <f>+'A) Resumen Ingresos y Egresos'!A14</f>
        <v>Sala Cuna Caracolito de Mar Nocturna</v>
      </c>
      <c r="C92" s="552"/>
      <c r="D92" s="466"/>
      <c r="E92" s="466"/>
      <c r="F92" s="466"/>
      <c r="G92" s="467"/>
      <c r="H92" s="467"/>
      <c r="I92" s="467"/>
      <c r="J92" s="467"/>
      <c r="K92" s="468"/>
      <c r="L92" s="1312"/>
      <c r="M92" s="145"/>
      <c r="N92" s="439"/>
      <c r="O92" s="439"/>
      <c r="P92" s="437"/>
      <c r="Q92" s="437"/>
      <c r="R92" s="437"/>
      <c r="S92" s="452"/>
      <c r="T92" s="452"/>
      <c r="U92" s="453"/>
      <c r="V92" s="453"/>
      <c r="W92" s="454"/>
      <c r="X92" s="454"/>
    </row>
    <row r="93" spans="2:24" ht="12.75" customHeight="1" thickBot="1" x14ac:dyDescent="0.25">
      <c r="B93" s="1304"/>
      <c r="C93" s="553"/>
      <c r="D93" s="459"/>
      <c r="E93" s="459"/>
      <c r="F93" s="459"/>
      <c r="G93" s="460"/>
      <c r="H93" s="460"/>
      <c r="I93" s="460"/>
      <c r="J93" s="460"/>
      <c r="K93" s="462"/>
      <c r="L93" s="1312"/>
      <c r="M93" s="145"/>
      <c r="N93" s="439"/>
      <c r="O93" s="439"/>
      <c r="P93" s="439"/>
      <c r="Q93" s="439"/>
      <c r="R93" s="439"/>
      <c r="S93" s="452"/>
      <c r="T93" s="452"/>
      <c r="U93" s="453"/>
      <c r="V93" s="453"/>
      <c r="W93" s="454"/>
      <c r="X93" s="454"/>
    </row>
    <row r="94" spans="2:24" ht="12.75" customHeight="1" thickBot="1" x14ac:dyDescent="0.25">
      <c r="B94" s="1304"/>
      <c r="C94" s="553"/>
      <c r="D94" s="459"/>
      <c r="E94" s="459"/>
      <c r="F94" s="459"/>
      <c r="G94" s="460"/>
      <c r="H94" s="460"/>
      <c r="I94" s="460"/>
      <c r="J94" s="460"/>
      <c r="K94" s="462"/>
      <c r="L94" s="1312"/>
      <c r="M94" s="145"/>
      <c r="N94" s="439"/>
      <c r="O94" s="439"/>
      <c r="P94" s="440"/>
      <c r="Q94" s="440"/>
      <c r="R94" s="440"/>
      <c r="T94" s="576"/>
      <c r="U94" s="576"/>
      <c r="V94" s="576"/>
      <c r="W94" s="576"/>
    </row>
    <row r="95" spans="2:24" ht="12.75" customHeight="1" thickBot="1" x14ac:dyDescent="0.25">
      <c r="B95" s="1304"/>
      <c r="C95" s="553"/>
      <c r="D95" s="459"/>
      <c r="E95" s="459"/>
      <c r="F95" s="459"/>
      <c r="G95" s="460"/>
      <c r="H95" s="460"/>
      <c r="I95" s="460"/>
      <c r="J95" s="460"/>
      <c r="K95" s="462"/>
      <c r="L95" s="1312"/>
      <c r="M95" s="145"/>
      <c r="N95" s="439"/>
      <c r="O95" s="439"/>
      <c r="P95" s="437"/>
      <c r="Q95" s="437"/>
      <c r="R95" s="437"/>
      <c r="S95" s="452"/>
      <c r="T95" s="452"/>
      <c r="U95" s="453"/>
      <c r="V95" s="453"/>
      <c r="W95" s="454"/>
      <c r="X95" s="454"/>
    </row>
    <row r="96" spans="2:24" ht="12.75" customHeight="1" thickBot="1" x14ac:dyDescent="0.25">
      <c r="B96" s="1304"/>
      <c r="C96" s="553"/>
      <c r="D96" s="459"/>
      <c r="E96" s="459"/>
      <c r="F96" s="459"/>
      <c r="G96" s="460"/>
      <c r="H96" s="460"/>
      <c r="I96" s="460"/>
      <c r="J96" s="460"/>
      <c r="K96" s="462"/>
      <c r="L96" s="1312"/>
      <c r="M96" s="145"/>
      <c r="N96" s="439"/>
      <c r="O96" s="439"/>
      <c r="P96" s="437"/>
      <c r="Q96" s="437"/>
      <c r="R96" s="437"/>
      <c r="S96" s="452"/>
      <c r="T96" s="452"/>
      <c r="U96" s="453"/>
      <c r="V96" s="453"/>
      <c r="W96" s="454"/>
      <c r="X96" s="454"/>
    </row>
    <row r="97" spans="2:24" ht="12.75" customHeight="1" thickBot="1" x14ac:dyDescent="0.25">
      <c r="B97" s="1304"/>
      <c r="C97" s="553"/>
      <c r="D97" s="459"/>
      <c r="E97" s="459"/>
      <c r="F97" s="459"/>
      <c r="G97" s="460"/>
      <c r="H97" s="460"/>
      <c r="I97" s="460"/>
      <c r="J97" s="460"/>
      <c r="K97" s="462"/>
      <c r="L97" s="1312"/>
      <c r="M97" s="145"/>
      <c r="N97" s="439"/>
      <c r="O97" s="439"/>
      <c r="P97" s="437"/>
      <c r="Q97" s="437"/>
      <c r="R97" s="437"/>
      <c r="S97" s="452"/>
      <c r="T97" s="452"/>
      <c r="U97" s="453"/>
      <c r="V97" s="453"/>
      <c r="W97" s="454"/>
      <c r="X97" s="454"/>
    </row>
    <row r="98" spans="2:24" ht="12.75" customHeight="1" thickBot="1" x14ac:dyDescent="0.25">
      <c r="B98" s="1304"/>
      <c r="C98" s="553"/>
      <c r="D98" s="459"/>
      <c r="E98" s="459"/>
      <c r="F98" s="459"/>
      <c r="G98" s="460"/>
      <c r="H98" s="460"/>
      <c r="I98" s="460"/>
      <c r="J98" s="460"/>
      <c r="K98" s="462"/>
      <c r="L98" s="1312"/>
      <c r="M98" s="145"/>
      <c r="N98" s="439"/>
      <c r="O98" s="439"/>
      <c r="P98" s="437"/>
      <c r="Q98" s="437"/>
      <c r="R98" s="437"/>
      <c r="S98" s="452"/>
      <c r="T98" s="452"/>
      <c r="U98" s="453"/>
      <c r="V98" s="453"/>
      <c r="W98" s="454"/>
      <c r="X98" s="454"/>
    </row>
    <row r="99" spans="2:24" ht="12.75" customHeight="1" thickBot="1" x14ac:dyDescent="0.25">
      <c r="B99" s="1304"/>
      <c r="C99" s="553"/>
      <c r="D99" s="459"/>
      <c r="E99" s="459"/>
      <c r="F99" s="459"/>
      <c r="G99" s="460"/>
      <c r="H99" s="460"/>
      <c r="I99" s="460"/>
      <c r="J99" s="460"/>
      <c r="K99" s="462"/>
      <c r="L99" s="1312"/>
      <c r="M99" s="145"/>
      <c r="N99" s="439"/>
      <c r="O99" s="439"/>
      <c r="P99" s="437"/>
      <c r="Q99" s="437"/>
      <c r="R99" s="437"/>
      <c r="S99" s="452"/>
      <c r="T99" s="452"/>
      <c r="U99" s="453"/>
      <c r="V99" s="453"/>
      <c r="W99" s="454"/>
      <c r="X99" s="454"/>
    </row>
    <row r="100" spans="2:24" ht="13.5" thickBot="1" x14ac:dyDescent="0.25">
      <c r="B100" s="1304"/>
      <c r="C100" s="553"/>
      <c r="D100" s="459"/>
      <c r="E100" s="459"/>
      <c r="F100" s="459"/>
      <c r="G100" s="460"/>
      <c r="H100" s="460"/>
      <c r="I100" s="460"/>
      <c r="J100" s="460"/>
      <c r="K100" s="462"/>
      <c r="L100" s="1312"/>
      <c r="M100" s="145"/>
      <c r="N100" s="439"/>
      <c r="O100" s="439"/>
      <c r="P100" s="437"/>
      <c r="Q100" s="437"/>
      <c r="R100" s="437"/>
      <c r="S100" s="452"/>
      <c r="T100" s="452"/>
      <c r="U100" s="453"/>
      <c r="V100" s="453"/>
      <c r="W100" s="454"/>
      <c r="X100" s="454"/>
    </row>
    <row r="101" spans="2:24" ht="12.75" customHeight="1" thickBot="1" x14ac:dyDescent="0.25">
      <c r="B101" s="1304"/>
      <c r="C101" s="553"/>
      <c r="D101" s="459"/>
      <c r="E101" s="459"/>
      <c r="F101" s="459"/>
      <c r="G101" s="460"/>
      <c r="H101" s="460"/>
      <c r="I101" s="460"/>
      <c r="J101" s="460"/>
      <c r="K101" s="462"/>
      <c r="L101" s="1312"/>
      <c r="M101" s="145"/>
      <c r="N101" s="439"/>
      <c r="O101" s="439"/>
      <c r="P101" s="437"/>
      <c r="Q101" s="437"/>
      <c r="R101" s="437"/>
      <c r="S101" s="452"/>
      <c r="T101" s="452"/>
      <c r="U101" s="453"/>
      <c r="V101" s="453"/>
      <c r="W101" s="454"/>
      <c r="X101" s="454"/>
    </row>
    <row r="102" spans="2:24" ht="12.75" customHeight="1" thickBot="1" x14ac:dyDescent="0.25">
      <c r="B102" s="1304"/>
      <c r="C102" s="553"/>
      <c r="D102" s="459"/>
      <c r="E102" s="459"/>
      <c r="F102" s="459"/>
      <c r="G102" s="460"/>
      <c r="H102" s="460"/>
      <c r="I102" s="460"/>
      <c r="J102" s="460"/>
      <c r="K102" s="462"/>
      <c r="L102" s="1312"/>
      <c r="M102" s="145"/>
      <c r="N102" s="439"/>
      <c r="O102" s="439"/>
      <c r="P102" s="437"/>
      <c r="Q102" s="437"/>
      <c r="R102" s="437"/>
      <c r="S102" s="452"/>
      <c r="T102" s="452"/>
      <c r="U102" s="453"/>
      <c r="V102" s="453"/>
      <c r="W102" s="454"/>
      <c r="X102" s="454"/>
    </row>
    <row r="103" spans="2:24" ht="13.5" customHeight="1" thickBot="1" x14ac:dyDescent="0.25">
      <c r="B103" s="1304"/>
      <c r="C103" s="553"/>
      <c r="D103" s="459"/>
      <c r="E103" s="459"/>
      <c r="F103" s="459"/>
      <c r="G103" s="460"/>
      <c r="H103" s="460"/>
      <c r="I103" s="460"/>
      <c r="J103" s="460"/>
      <c r="K103" s="462"/>
      <c r="L103" s="1312"/>
      <c r="M103" s="145"/>
      <c r="N103" s="439"/>
      <c r="O103" s="439"/>
      <c r="P103" s="437"/>
      <c r="Q103" s="437"/>
      <c r="R103" s="437"/>
      <c r="S103" s="452"/>
      <c r="T103" s="452"/>
      <c r="U103" s="453"/>
      <c r="V103" s="453"/>
      <c r="W103" s="454"/>
      <c r="X103" s="454"/>
    </row>
    <row r="104" spans="2:24" ht="12.75" customHeight="1" thickBot="1" x14ac:dyDescent="0.25">
      <c r="B104" s="1304"/>
      <c r="C104" s="553"/>
      <c r="D104" s="459"/>
      <c r="E104" s="459"/>
      <c r="F104" s="459"/>
      <c r="G104" s="460"/>
      <c r="H104" s="460"/>
      <c r="I104" s="460"/>
      <c r="J104" s="460"/>
      <c r="K104" s="462"/>
      <c r="L104" s="1312"/>
      <c r="M104" s="145"/>
      <c r="N104" s="439"/>
      <c r="O104" s="439"/>
      <c r="P104" s="437"/>
      <c r="Q104" s="437"/>
      <c r="R104" s="437"/>
      <c r="S104" s="452"/>
      <c r="T104" s="452"/>
      <c r="U104" s="453"/>
      <c r="V104" s="453"/>
      <c r="W104" s="454"/>
      <c r="X104" s="454"/>
    </row>
    <row r="105" spans="2:24" ht="13.5" customHeight="1" thickBot="1" x14ac:dyDescent="0.25">
      <c r="B105" s="1304"/>
      <c r="C105" s="553"/>
      <c r="D105" s="459"/>
      <c r="E105" s="459"/>
      <c r="F105" s="459"/>
      <c r="G105" s="460"/>
      <c r="H105" s="460"/>
      <c r="I105" s="460"/>
      <c r="J105" s="460"/>
      <c r="K105" s="462"/>
      <c r="L105" s="1312"/>
      <c r="M105" s="145"/>
      <c r="N105" s="439"/>
      <c r="O105" s="439"/>
      <c r="P105" s="437"/>
      <c r="Q105" s="437"/>
      <c r="R105" s="437"/>
      <c r="S105" s="452"/>
      <c r="T105" s="452"/>
      <c r="U105" s="453"/>
      <c r="V105" s="453"/>
      <c r="W105" s="454"/>
      <c r="X105" s="454"/>
    </row>
    <row r="106" spans="2:24" ht="13.5" customHeight="1" thickBot="1" x14ac:dyDescent="0.25">
      <c r="B106" s="1304"/>
      <c r="C106" s="1119"/>
      <c r="D106" s="1114"/>
      <c r="E106" s="1114"/>
      <c r="F106" s="1114"/>
      <c r="G106" s="1115"/>
      <c r="H106" s="1115"/>
      <c r="I106" s="1115"/>
      <c r="J106" s="1115"/>
      <c r="K106" s="1120"/>
      <c r="L106" s="1312"/>
      <c r="M106" s="145"/>
      <c r="N106" s="439"/>
      <c r="O106" s="439"/>
      <c r="P106" s="437"/>
      <c r="Q106" s="437"/>
      <c r="R106" s="437"/>
      <c r="S106" s="452"/>
      <c r="T106" s="452"/>
      <c r="U106" s="453"/>
      <c r="V106" s="453"/>
      <c r="W106" s="454"/>
      <c r="X106" s="454"/>
    </row>
    <row r="107" spans="2:24" ht="13.5" thickBot="1" x14ac:dyDescent="0.25">
      <c r="B107" s="1304" t="str">
        <f>+'A) Resumen Ingresos y Egresos'!A15</f>
        <v>Sala Cuna Mar Azul Diurna</v>
      </c>
      <c r="C107" s="494" t="s">
        <v>434</v>
      </c>
      <c r="D107" s="356" t="s">
        <v>435</v>
      </c>
      <c r="E107" s="356" t="s">
        <v>240</v>
      </c>
      <c r="F107" s="356" t="s">
        <v>73</v>
      </c>
      <c r="G107" s="766">
        <f>607379*12</f>
        <v>7288548</v>
      </c>
      <c r="H107" s="159">
        <f t="shared" si="14"/>
        <v>8236059.2399999993</v>
      </c>
      <c r="I107" s="766">
        <f>101037+171709</f>
        <v>272746</v>
      </c>
      <c r="J107" s="766">
        <f>74515*2</f>
        <v>149030</v>
      </c>
      <c r="K107" s="1116">
        <f>SUM(H107:J107)</f>
        <v>8657835.2399999984</v>
      </c>
      <c r="L107" s="1305">
        <f>SUM(K107:K131)</f>
        <v>152125599.97999996</v>
      </c>
      <c r="M107" s="145"/>
      <c r="N107" s="439"/>
      <c r="O107" s="439"/>
      <c r="P107" s="437"/>
      <c r="Q107" s="437"/>
      <c r="R107" s="437"/>
      <c r="S107" s="452"/>
      <c r="T107" s="452"/>
      <c r="U107" s="453"/>
      <c r="V107" s="453"/>
      <c r="W107" s="454"/>
      <c r="X107" s="454"/>
    </row>
    <row r="108" spans="2:24" ht="13.5" thickBot="1" x14ac:dyDescent="0.25">
      <c r="B108" s="1304"/>
      <c r="C108" s="502" t="s">
        <v>436</v>
      </c>
      <c r="D108" s="360" t="s">
        <v>437</v>
      </c>
      <c r="E108" s="360" t="s">
        <v>240</v>
      </c>
      <c r="F108" s="360" t="s">
        <v>73</v>
      </c>
      <c r="G108" s="767">
        <f>607379*12</f>
        <v>7288548</v>
      </c>
      <c r="H108" s="444">
        <f t="shared" si="14"/>
        <v>8236059.2399999993</v>
      </c>
      <c r="I108" s="767">
        <f t="shared" ref="I108:I121" si="17">101037+171709</f>
        <v>272746</v>
      </c>
      <c r="J108" s="767">
        <f t="shared" ref="J108:J116" si="18">74515*2</f>
        <v>149030</v>
      </c>
      <c r="K108" s="1117">
        <f t="shared" ref="K108:K146" si="19">SUM(H108:J108)</f>
        <v>8657835.2399999984</v>
      </c>
      <c r="L108" s="1305"/>
      <c r="M108" s="145"/>
      <c r="N108" s="439"/>
      <c r="O108" s="439"/>
      <c r="P108" s="437"/>
      <c r="Q108" s="437"/>
      <c r="R108" s="437"/>
      <c r="S108" s="452"/>
      <c r="T108" s="452"/>
      <c r="U108" s="453"/>
      <c r="V108" s="453"/>
      <c r="W108" s="454"/>
      <c r="X108" s="454"/>
    </row>
    <row r="109" spans="2:24" ht="13.5" thickBot="1" x14ac:dyDescent="0.25">
      <c r="B109" s="1304"/>
      <c r="C109" s="502" t="s">
        <v>438</v>
      </c>
      <c r="D109" s="360" t="s">
        <v>439</v>
      </c>
      <c r="E109" s="360" t="s">
        <v>240</v>
      </c>
      <c r="F109" s="360" t="s">
        <v>73</v>
      </c>
      <c r="G109" s="767">
        <f>596292*12</f>
        <v>7155504</v>
      </c>
      <c r="H109" s="444">
        <f t="shared" si="14"/>
        <v>8085719.5199999996</v>
      </c>
      <c r="I109" s="767">
        <f t="shared" si="17"/>
        <v>272746</v>
      </c>
      <c r="J109" s="767">
        <f t="shared" si="18"/>
        <v>149030</v>
      </c>
      <c r="K109" s="1117">
        <f t="shared" si="19"/>
        <v>8507495.5199999996</v>
      </c>
      <c r="L109" s="1305"/>
      <c r="M109" s="145"/>
      <c r="N109" s="439"/>
      <c r="O109" s="439"/>
      <c r="P109" s="437"/>
      <c r="Q109" s="437"/>
      <c r="R109" s="437"/>
      <c r="S109" s="452"/>
      <c r="T109" s="452"/>
      <c r="U109" s="453"/>
      <c r="V109" s="453"/>
      <c r="W109" s="454"/>
      <c r="X109" s="454"/>
    </row>
    <row r="110" spans="2:24" ht="13.5" thickBot="1" x14ac:dyDescent="0.25">
      <c r="B110" s="1304"/>
      <c r="C110" s="502" t="s">
        <v>440</v>
      </c>
      <c r="D110" s="360" t="s">
        <v>441</v>
      </c>
      <c r="E110" s="360" t="s">
        <v>240</v>
      </c>
      <c r="F110" s="360" t="s">
        <v>73</v>
      </c>
      <c r="G110" s="767">
        <f>566727*12</f>
        <v>6800724</v>
      </c>
      <c r="H110" s="444">
        <f t="shared" si="14"/>
        <v>7684818.1199999992</v>
      </c>
      <c r="I110" s="767">
        <f t="shared" si="17"/>
        <v>272746</v>
      </c>
      <c r="J110" s="767">
        <f t="shared" si="18"/>
        <v>149030</v>
      </c>
      <c r="K110" s="1117">
        <f t="shared" si="19"/>
        <v>8106594.1199999992</v>
      </c>
      <c r="L110" s="1305"/>
      <c r="M110" s="145"/>
      <c r="N110" s="439"/>
      <c r="O110" s="439"/>
      <c r="P110" s="437"/>
      <c r="Q110" s="437"/>
      <c r="R110" s="437"/>
      <c r="S110" s="452"/>
      <c r="T110" s="452"/>
      <c r="U110" s="453"/>
      <c r="V110" s="453"/>
      <c r="W110" s="454"/>
      <c r="X110" s="454"/>
    </row>
    <row r="111" spans="2:24" ht="13.5" thickBot="1" x14ac:dyDescent="0.25">
      <c r="B111" s="1304"/>
      <c r="C111" s="502" t="s">
        <v>458</v>
      </c>
      <c r="D111" s="360" t="s">
        <v>512</v>
      </c>
      <c r="E111" s="360" t="s">
        <v>240</v>
      </c>
      <c r="F111" s="360" t="s">
        <v>73</v>
      </c>
      <c r="G111" s="767">
        <f>537162*12</f>
        <v>6445944</v>
      </c>
      <c r="H111" s="444">
        <f t="shared" ref="H111:H116" si="20">+G111*(1+$L$7)</f>
        <v>7283916.7199999997</v>
      </c>
      <c r="I111" s="767">
        <f t="shared" si="17"/>
        <v>272746</v>
      </c>
      <c r="J111" s="767">
        <f t="shared" si="18"/>
        <v>149030</v>
      </c>
      <c r="K111" s="1117">
        <f t="shared" si="19"/>
        <v>7705692.7199999997</v>
      </c>
      <c r="L111" s="1305"/>
      <c r="M111" s="145"/>
      <c r="N111" s="439"/>
      <c r="O111" s="439"/>
      <c r="P111" s="437"/>
      <c r="Q111" s="437"/>
      <c r="R111" s="437"/>
      <c r="S111" s="452"/>
      <c r="T111" s="452"/>
      <c r="U111" s="453"/>
      <c r="V111" s="453"/>
      <c r="W111" s="454"/>
      <c r="X111" s="454"/>
    </row>
    <row r="112" spans="2:24" ht="13.5" thickBot="1" x14ac:dyDescent="0.25">
      <c r="B112" s="1304"/>
      <c r="C112" s="502" t="s">
        <v>443</v>
      </c>
      <c r="D112" s="360" t="s">
        <v>444</v>
      </c>
      <c r="E112" s="360" t="s">
        <v>237</v>
      </c>
      <c r="F112" s="360" t="s">
        <v>73</v>
      </c>
      <c r="G112" s="767">
        <f>537162*12</f>
        <v>6445944</v>
      </c>
      <c r="H112" s="444">
        <f t="shared" si="20"/>
        <v>7283916.7199999997</v>
      </c>
      <c r="I112" s="767">
        <f t="shared" si="17"/>
        <v>272746</v>
      </c>
      <c r="J112" s="767">
        <f t="shared" si="18"/>
        <v>149030</v>
      </c>
      <c r="K112" s="1117">
        <f t="shared" si="19"/>
        <v>7705692.7199999997</v>
      </c>
      <c r="L112" s="1305"/>
      <c r="M112" s="145"/>
      <c r="N112" s="439"/>
      <c r="O112" s="439"/>
      <c r="P112" s="437"/>
      <c r="Q112" s="437"/>
      <c r="R112" s="437"/>
      <c r="S112" s="452"/>
      <c r="T112" s="452"/>
      <c r="U112" s="453"/>
      <c r="V112" s="453"/>
      <c r="W112" s="454"/>
      <c r="X112" s="454"/>
    </row>
    <row r="113" spans="2:24" ht="13.5" thickBot="1" x14ac:dyDescent="0.25">
      <c r="B113" s="1304"/>
      <c r="C113" s="502" t="s">
        <v>445</v>
      </c>
      <c r="D113" s="360" t="s">
        <v>446</v>
      </c>
      <c r="E113" s="360" t="s">
        <v>240</v>
      </c>
      <c r="F113" s="360" t="s">
        <v>73</v>
      </c>
      <c r="G113" s="767">
        <f>537162*12</f>
        <v>6445944</v>
      </c>
      <c r="H113" s="444">
        <f t="shared" si="20"/>
        <v>7283916.7199999997</v>
      </c>
      <c r="I113" s="767">
        <f t="shared" si="17"/>
        <v>272746</v>
      </c>
      <c r="J113" s="767">
        <f t="shared" si="18"/>
        <v>149030</v>
      </c>
      <c r="K113" s="1117">
        <f t="shared" si="19"/>
        <v>7705692.7199999997</v>
      </c>
      <c r="L113" s="1305"/>
      <c r="M113" s="145"/>
      <c r="N113" s="439"/>
      <c r="O113" s="439"/>
      <c r="P113" s="437"/>
      <c r="Q113" s="437"/>
      <c r="R113" s="437"/>
      <c r="S113" s="452"/>
      <c r="T113" s="452"/>
      <c r="U113" s="453"/>
      <c r="V113" s="453"/>
      <c r="W113" s="454"/>
      <c r="X113" s="454"/>
    </row>
    <row r="114" spans="2:24" ht="13.5" thickBot="1" x14ac:dyDescent="0.25">
      <c r="B114" s="1304"/>
      <c r="C114" s="502" t="s">
        <v>447</v>
      </c>
      <c r="D114" s="360" t="s">
        <v>448</v>
      </c>
      <c r="E114" s="360" t="s">
        <v>240</v>
      </c>
      <c r="F114" s="360" t="s">
        <v>73</v>
      </c>
      <c r="G114" s="767">
        <f>G107</f>
        <v>7288548</v>
      </c>
      <c r="H114" s="444">
        <f t="shared" si="20"/>
        <v>8236059.2399999993</v>
      </c>
      <c r="I114" s="767">
        <f t="shared" si="17"/>
        <v>272746</v>
      </c>
      <c r="J114" s="767">
        <f t="shared" si="18"/>
        <v>149030</v>
      </c>
      <c r="K114" s="1117">
        <f t="shared" si="19"/>
        <v>8657835.2399999984</v>
      </c>
      <c r="L114" s="1305"/>
      <c r="M114" s="145"/>
      <c r="N114" s="439"/>
      <c r="O114" s="439"/>
      <c r="P114" s="437"/>
      <c r="Q114" s="437"/>
      <c r="R114" s="437"/>
      <c r="S114" s="452"/>
      <c r="T114" s="452"/>
      <c r="U114" s="453"/>
      <c r="V114" s="453"/>
      <c r="W114" s="454"/>
      <c r="X114" s="454"/>
    </row>
    <row r="115" spans="2:24" ht="13.5" thickBot="1" x14ac:dyDescent="0.25">
      <c r="B115" s="1304"/>
      <c r="C115" s="502" t="s">
        <v>449</v>
      </c>
      <c r="D115" s="360" t="s">
        <v>450</v>
      </c>
      <c r="E115" s="360" t="s">
        <v>240</v>
      </c>
      <c r="F115" s="360" t="s">
        <v>73</v>
      </c>
      <c r="G115" s="767">
        <f>G107</f>
        <v>7288548</v>
      </c>
      <c r="H115" s="444">
        <f t="shared" si="20"/>
        <v>8236059.2399999993</v>
      </c>
      <c r="I115" s="767">
        <f t="shared" si="17"/>
        <v>272746</v>
      </c>
      <c r="J115" s="767">
        <f t="shared" si="18"/>
        <v>149030</v>
      </c>
      <c r="K115" s="1117">
        <f t="shared" si="19"/>
        <v>8657835.2399999984</v>
      </c>
      <c r="L115" s="1305"/>
      <c r="M115" s="557"/>
      <c r="N115" s="558"/>
      <c r="O115" s="439"/>
      <c r="P115" s="437"/>
      <c r="Q115" s="437"/>
      <c r="R115" s="437"/>
      <c r="S115" s="452"/>
      <c r="T115" s="452"/>
      <c r="U115" s="453"/>
      <c r="V115" s="453"/>
      <c r="W115" s="454"/>
      <c r="X115" s="454"/>
    </row>
    <row r="116" spans="2:24" ht="13.5" thickBot="1" x14ac:dyDescent="0.25">
      <c r="B116" s="1304"/>
      <c r="C116" s="502" t="s">
        <v>451</v>
      </c>
      <c r="D116" s="360" t="s">
        <v>452</v>
      </c>
      <c r="E116" s="360" t="s">
        <v>240</v>
      </c>
      <c r="F116" s="360" t="s">
        <v>73</v>
      </c>
      <c r="G116" s="767">
        <f>G108</f>
        <v>7288548</v>
      </c>
      <c r="H116" s="444">
        <f t="shared" si="20"/>
        <v>8236059.2399999993</v>
      </c>
      <c r="I116" s="767">
        <f t="shared" si="17"/>
        <v>272746</v>
      </c>
      <c r="J116" s="767">
        <f t="shared" si="18"/>
        <v>149030</v>
      </c>
      <c r="K116" s="1117">
        <f t="shared" si="19"/>
        <v>8657835.2399999984</v>
      </c>
      <c r="L116" s="1305"/>
      <c r="M116" s="557"/>
      <c r="N116" s="558"/>
      <c r="O116" s="439"/>
      <c r="P116" s="437"/>
      <c r="Q116" s="437"/>
      <c r="R116" s="437"/>
      <c r="S116" s="452"/>
      <c r="T116" s="452"/>
      <c r="U116" s="453"/>
      <c r="V116" s="453"/>
      <c r="W116" s="454"/>
      <c r="X116" s="454"/>
    </row>
    <row r="117" spans="2:24" ht="13.5" thickBot="1" x14ac:dyDescent="0.25">
      <c r="B117" s="1304"/>
      <c r="C117" s="502" t="s">
        <v>517</v>
      </c>
      <c r="D117" s="360" t="s">
        <v>358</v>
      </c>
      <c r="E117" s="360" t="s">
        <v>238</v>
      </c>
      <c r="F117" s="360" t="s">
        <v>73</v>
      </c>
      <c r="G117" s="767">
        <f>701136*12</f>
        <v>8413632</v>
      </c>
      <c r="H117" s="444">
        <f t="shared" si="14"/>
        <v>9507404.1599999983</v>
      </c>
      <c r="I117" s="767">
        <f t="shared" si="17"/>
        <v>272746</v>
      </c>
      <c r="J117" s="767">
        <f>73174*2</f>
        <v>146348</v>
      </c>
      <c r="K117" s="1117">
        <f t="shared" si="19"/>
        <v>9926498.1599999983</v>
      </c>
      <c r="L117" s="1305"/>
      <c r="M117" s="145"/>
      <c r="N117" s="439"/>
      <c r="O117" s="439"/>
      <c r="P117" s="437"/>
      <c r="Q117" s="437"/>
      <c r="R117" s="437"/>
      <c r="S117" s="452"/>
      <c r="T117" s="452"/>
      <c r="U117" s="453"/>
      <c r="V117" s="453"/>
      <c r="W117" s="454"/>
      <c r="X117" s="454"/>
    </row>
    <row r="118" spans="2:24" ht="13.5" thickBot="1" x14ac:dyDescent="0.25">
      <c r="B118" s="1304"/>
      <c r="C118" s="551" t="s">
        <v>518</v>
      </c>
      <c r="D118" s="446" t="s">
        <v>519</v>
      </c>
      <c r="E118" s="360" t="s">
        <v>238</v>
      </c>
      <c r="F118" s="360" t="s">
        <v>73</v>
      </c>
      <c r="G118" s="767">
        <f>616105*12</f>
        <v>7393260</v>
      </c>
      <c r="H118" s="444">
        <f t="shared" si="14"/>
        <v>8354383.7999999989</v>
      </c>
      <c r="I118" s="767">
        <f t="shared" si="17"/>
        <v>272746</v>
      </c>
      <c r="J118" s="767">
        <f t="shared" ref="J118" si="21">73174*2</f>
        <v>146348</v>
      </c>
      <c r="K118" s="1117">
        <f t="shared" si="19"/>
        <v>8773477.7999999989</v>
      </c>
      <c r="L118" s="1305"/>
      <c r="M118" s="145"/>
      <c r="N118" s="439"/>
      <c r="O118" s="439"/>
      <c r="P118" s="437"/>
      <c r="Q118" s="437"/>
      <c r="R118" s="437"/>
      <c r="S118" s="452"/>
      <c r="T118" s="452"/>
      <c r="U118" s="453"/>
      <c r="V118" s="453"/>
      <c r="W118" s="454"/>
      <c r="X118" s="454"/>
    </row>
    <row r="119" spans="2:24" ht="12.75" customHeight="1" thickBot="1" x14ac:dyDescent="0.25">
      <c r="B119" s="1304"/>
      <c r="C119" s="551" t="s">
        <v>418</v>
      </c>
      <c r="D119" s="446"/>
      <c r="E119" s="446" t="s">
        <v>238</v>
      </c>
      <c r="F119" s="446" t="s">
        <v>73</v>
      </c>
      <c r="G119" s="1062">
        <v>0</v>
      </c>
      <c r="H119" s="1063">
        <v>0</v>
      </c>
      <c r="I119" s="1062">
        <v>0</v>
      </c>
      <c r="J119" s="1062">
        <v>0</v>
      </c>
      <c r="K119" s="1068">
        <f t="shared" si="19"/>
        <v>0</v>
      </c>
      <c r="L119" s="1305"/>
      <c r="M119" s="211"/>
      <c r="N119" s="439"/>
      <c r="O119" s="439"/>
      <c r="P119" s="439"/>
      <c r="Q119" s="439"/>
      <c r="R119" s="439"/>
      <c r="S119" s="452"/>
      <c r="T119" s="452"/>
      <c r="U119" s="453"/>
      <c r="V119" s="453"/>
      <c r="W119" s="454"/>
      <c r="X119" s="454"/>
    </row>
    <row r="120" spans="2:24" ht="12.75" customHeight="1" thickBot="1" x14ac:dyDescent="0.25">
      <c r="B120" s="1304"/>
      <c r="C120" s="502" t="s">
        <v>520</v>
      </c>
      <c r="D120" s="360" t="s">
        <v>521</v>
      </c>
      <c r="E120" s="360" t="s">
        <v>239</v>
      </c>
      <c r="F120" s="360" t="s">
        <v>73</v>
      </c>
      <c r="G120" s="767">
        <f>440476*12</f>
        <v>5285712</v>
      </c>
      <c r="H120" s="444">
        <f t="shared" si="14"/>
        <v>5972854.5599999996</v>
      </c>
      <c r="I120" s="767">
        <f t="shared" si="17"/>
        <v>272746</v>
      </c>
      <c r="J120" s="767">
        <f>74207*2</f>
        <v>148414</v>
      </c>
      <c r="K120" s="1117">
        <f>SUM(H120:J120)</f>
        <v>6394014.5599999996</v>
      </c>
      <c r="L120" s="1305"/>
      <c r="M120" s="145"/>
      <c r="N120" s="439"/>
      <c r="O120" s="439"/>
      <c r="P120" s="440"/>
      <c r="Q120" s="440"/>
      <c r="R120" s="440"/>
      <c r="T120" s="576"/>
      <c r="U120" s="576"/>
      <c r="V120" s="576"/>
      <c r="W120" s="576"/>
    </row>
    <row r="121" spans="2:24" ht="12.75" customHeight="1" thickBot="1" x14ac:dyDescent="0.25">
      <c r="B121" s="1304"/>
      <c r="C121" s="502" t="s">
        <v>418</v>
      </c>
      <c r="D121" s="360"/>
      <c r="E121" s="360" t="s">
        <v>239</v>
      </c>
      <c r="F121" s="360" t="s">
        <v>73</v>
      </c>
      <c r="G121" s="767">
        <f>G119</f>
        <v>0</v>
      </c>
      <c r="H121" s="444">
        <f t="shared" si="14"/>
        <v>0</v>
      </c>
      <c r="I121" s="767">
        <f t="shared" si="17"/>
        <v>272746</v>
      </c>
      <c r="J121" s="767">
        <f>74207*2</f>
        <v>148414</v>
      </c>
      <c r="K121" s="1117">
        <f t="shared" si="19"/>
        <v>421160</v>
      </c>
      <c r="L121" s="1305"/>
      <c r="M121" s="145"/>
      <c r="N121" s="439"/>
      <c r="O121" s="439"/>
      <c r="P121" s="437"/>
      <c r="Q121" s="437"/>
      <c r="R121" s="437"/>
      <c r="S121" s="452"/>
      <c r="T121" s="452"/>
      <c r="U121" s="453"/>
      <c r="V121" s="453"/>
      <c r="W121" s="454"/>
      <c r="X121" s="454"/>
    </row>
    <row r="122" spans="2:24" ht="12.75" customHeight="1" thickBot="1" x14ac:dyDescent="0.25">
      <c r="B122" s="1304"/>
      <c r="C122" s="502" t="s">
        <v>432</v>
      </c>
      <c r="D122" s="360" t="s">
        <v>433</v>
      </c>
      <c r="E122" s="360" t="s">
        <v>409</v>
      </c>
      <c r="F122" s="360" t="s">
        <v>73</v>
      </c>
      <c r="G122" s="767">
        <f>'[3] BD EDU'!$AJ$68</f>
        <v>203858</v>
      </c>
      <c r="H122" s="444">
        <f t="shared" si="14"/>
        <v>230359.53999999998</v>
      </c>
      <c r="I122" s="767">
        <f>101037+171709</f>
        <v>272746</v>
      </c>
      <c r="J122" s="767">
        <f>74515*2</f>
        <v>149030</v>
      </c>
      <c r="K122" s="1117">
        <f t="shared" si="19"/>
        <v>652135.54</v>
      </c>
      <c r="L122" s="1305"/>
      <c r="M122" s="145"/>
      <c r="N122" s="439"/>
      <c r="O122" s="439"/>
      <c r="P122" s="437"/>
      <c r="Q122" s="437"/>
      <c r="R122" s="437"/>
      <c r="S122" s="452"/>
      <c r="T122" s="452"/>
      <c r="U122" s="453"/>
      <c r="V122" s="453"/>
      <c r="W122" s="454"/>
      <c r="X122" s="454"/>
    </row>
    <row r="123" spans="2:24" ht="12.75" customHeight="1" thickBot="1" x14ac:dyDescent="0.25">
      <c r="B123" s="1304"/>
      <c r="C123" s="502" t="s">
        <v>442</v>
      </c>
      <c r="D123" s="360" t="s">
        <v>358</v>
      </c>
      <c r="E123" s="360" t="s">
        <v>240</v>
      </c>
      <c r="F123" s="360" t="s">
        <v>73</v>
      </c>
      <c r="G123" s="767">
        <f>537162*6</f>
        <v>3222972</v>
      </c>
      <c r="H123" s="444">
        <f t="shared" si="14"/>
        <v>3641958.36</v>
      </c>
      <c r="I123" s="767">
        <f>101037+171709</f>
        <v>272746</v>
      </c>
      <c r="J123" s="767">
        <f>74515*2</f>
        <v>149030</v>
      </c>
      <c r="K123" s="1117">
        <f t="shared" si="19"/>
        <v>4063734.36</v>
      </c>
      <c r="L123" s="1305"/>
      <c r="M123" s="145"/>
      <c r="N123" s="439"/>
      <c r="O123" s="439"/>
      <c r="P123" s="437"/>
      <c r="Q123" s="437"/>
      <c r="R123" s="437"/>
      <c r="S123" s="452"/>
      <c r="T123" s="452"/>
      <c r="U123" s="453"/>
      <c r="V123" s="453"/>
      <c r="W123" s="454"/>
      <c r="X123" s="454"/>
    </row>
    <row r="124" spans="2:24" ht="12.75" customHeight="1" thickBot="1" x14ac:dyDescent="0.25">
      <c r="B124" s="1304"/>
      <c r="C124" s="502" t="s">
        <v>522</v>
      </c>
      <c r="D124" s="360" t="s">
        <v>523</v>
      </c>
      <c r="E124" s="360" t="s">
        <v>330</v>
      </c>
      <c r="F124" s="360" t="s">
        <v>73</v>
      </c>
      <c r="G124" s="767">
        <f>795094*12</f>
        <v>9541128</v>
      </c>
      <c r="H124" s="444">
        <f t="shared" si="14"/>
        <v>10781474.639999999</v>
      </c>
      <c r="I124" s="767">
        <f>I133</f>
        <v>151001</v>
      </c>
      <c r="J124" s="767">
        <f>72819*2</f>
        <v>145638</v>
      </c>
      <c r="K124" s="1117">
        <f t="shared" si="19"/>
        <v>11078113.639999999</v>
      </c>
      <c r="L124" s="1305"/>
      <c r="M124" s="145"/>
      <c r="N124" s="439"/>
      <c r="O124" s="439"/>
      <c r="P124" s="437"/>
      <c r="Q124" s="437"/>
      <c r="R124" s="437"/>
      <c r="S124" s="452"/>
      <c r="T124" s="452"/>
      <c r="U124" s="453"/>
      <c r="V124" s="453"/>
      <c r="W124" s="454"/>
      <c r="X124" s="454"/>
    </row>
    <row r="125" spans="2:24" ht="12.75" customHeight="1" thickBot="1" x14ac:dyDescent="0.25">
      <c r="B125" s="1304"/>
      <c r="C125" s="502" t="s">
        <v>524</v>
      </c>
      <c r="D125" s="360" t="s">
        <v>525</v>
      </c>
      <c r="E125" s="360" t="s">
        <v>330</v>
      </c>
      <c r="F125" s="360" t="s">
        <v>73</v>
      </c>
      <c r="G125" s="767">
        <f>733987*12</f>
        <v>8807844</v>
      </c>
      <c r="H125" s="444">
        <f t="shared" si="14"/>
        <v>9952863.7199999988</v>
      </c>
      <c r="I125" s="767">
        <f>I107</f>
        <v>272746</v>
      </c>
      <c r="J125" s="767">
        <f t="shared" ref="J125:J127" si="22">72819*2</f>
        <v>145638</v>
      </c>
      <c r="K125" s="1117">
        <f t="shared" si="19"/>
        <v>10371247.719999999</v>
      </c>
      <c r="L125" s="1305"/>
      <c r="M125" s="145"/>
      <c r="N125" s="439"/>
      <c r="O125" s="439"/>
      <c r="P125" s="437"/>
      <c r="Q125" s="437"/>
      <c r="R125" s="437"/>
      <c r="S125" s="452"/>
      <c r="T125" s="452"/>
      <c r="U125" s="453"/>
      <c r="V125" s="453"/>
      <c r="W125" s="454"/>
      <c r="X125" s="454"/>
    </row>
    <row r="126" spans="2:24" ht="13.5" thickBot="1" x14ac:dyDescent="0.25">
      <c r="B126" s="1304"/>
      <c r="C126" s="551" t="s">
        <v>418</v>
      </c>
      <c r="D126" s="446"/>
      <c r="E126" s="446" t="s">
        <v>330</v>
      </c>
      <c r="F126" s="446" t="s">
        <v>73</v>
      </c>
      <c r="G126" s="1062">
        <f>733987*10</f>
        <v>7339870</v>
      </c>
      <c r="H126" s="1063">
        <f t="shared" si="14"/>
        <v>8294053.0999999996</v>
      </c>
      <c r="I126" s="1062">
        <f t="shared" ref="I126:I127" si="23">I108</f>
        <v>272746</v>
      </c>
      <c r="J126" s="1062">
        <f t="shared" si="22"/>
        <v>145638</v>
      </c>
      <c r="K126" s="1068">
        <f t="shared" si="19"/>
        <v>8712437.0999999996</v>
      </c>
      <c r="L126" s="1305"/>
      <c r="M126" s="145"/>
      <c r="N126" s="439"/>
      <c r="O126" s="439"/>
      <c r="P126" s="437"/>
      <c r="Q126" s="437"/>
      <c r="R126" s="437"/>
      <c r="S126" s="452"/>
      <c r="T126" s="452"/>
      <c r="U126" s="453"/>
      <c r="V126" s="453"/>
      <c r="W126" s="454"/>
      <c r="X126" s="454"/>
    </row>
    <row r="127" spans="2:24" ht="13.5" thickBot="1" x14ac:dyDescent="0.25">
      <c r="B127" s="1304"/>
      <c r="C127" s="551" t="s">
        <v>418</v>
      </c>
      <c r="D127" s="446"/>
      <c r="E127" s="446" t="s">
        <v>330</v>
      </c>
      <c r="F127" s="446" t="s">
        <v>73</v>
      </c>
      <c r="G127" s="1062">
        <f>733987*10</f>
        <v>7339870</v>
      </c>
      <c r="H127" s="1063">
        <f t="shared" ref="H127" si="24">+G127*(1+$L$7)</f>
        <v>8294053.0999999996</v>
      </c>
      <c r="I127" s="1062">
        <f t="shared" si="23"/>
        <v>272746</v>
      </c>
      <c r="J127" s="1062">
        <f t="shared" si="22"/>
        <v>145638</v>
      </c>
      <c r="K127" s="1068">
        <f t="shared" ref="K127" si="25">SUM(H127:J127)</f>
        <v>8712437.0999999996</v>
      </c>
      <c r="L127" s="1305"/>
      <c r="M127" s="145"/>
      <c r="N127" s="439"/>
      <c r="O127" s="439"/>
      <c r="P127" s="437"/>
      <c r="Q127" s="437"/>
      <c r="R127" s="437"/>
      <c r="S127" s="452"/>
      <c r="T127" s="452"/>
      <c r="U127" s="453"/>
      <c r="V127" s="453"/>
      <c r="W127" s="454"/>
      <c r="X127" s="454"/>
    </row>
    <row r="128" spans="2:24" ht="13.5" thickBot="1" x14ac:dyDescent="0.25">
      <c r="B128" s="1304"/>
      <c r="C128" s="551"/>
      <c r="D128" s="446"/>
      <c r="E128" s="446"/>
      <c r="F128" s="446"/>
      <c r="G128" s="1062"/>
      <c r="H128" s="1063"/>
      <c r="I128" s="1062"/>
      <c r="J128" s="1062"/>
      <c r="K128" s="1068"/>
      <c r="L128" s="1305"/>
      <c r="M128" s="145"/>
      <c r="N128" s="439"/>
      <c r="O128" s="439"/>
      <c r="P128" s="437"/>
      <c r="Q128" s="437"/>
      <c r="R128" s="437"/>
      <c r="S128" s="452"/>
      <c r="T128" s="452"/>
      <c r="U128" s="453"/>
      <c r="V128" s="453"/>
      <c r="W128" s="454"/>
      <c r="X128" s="454"/>
    </row>
    <row r="129" spans="2:24" ht="13.5" thickBot="1" x14ac:dyDescent="0.25">
      <c r="B129" s="1304"/>
      <c r="C129" s="551" t="s">
        <v>406</v>
      </c>
      <c r="D129" s="446">
        <v>1</v>
      </c>
      <c r="E129" s="446"/>
      <c r="F129" s="446" t="s">
        <v>73</v>
      </c>
      <c r="G129" s="1062"/>
      <c r="H129" s="1063"/>
      <c r="I129" s="1062"/>
      <c r="J129" s="1062"/>
      <c r="K129" s="1068"/>
      <c r="L129" s="1305"/>
      <c r="M129" s="145"/>
      <c r="N129" s="439"/>
      <c r="O129" s="439"/>
      <c r="P129" s="437"/>
      <c r="Q129" s="437"/>
      <c r="R129" s="437"/>
      <c r="S129" s="452"/>
      <c r="T129" s="452"/>
      <c r="U129" s="453"/>
      <c r="V129" s="453"/>
      <c r="W129" s="454"/>
      <c r="X129" s="454"/>
    </row>
    <row r="130" spans="2:24" ht="13.5" thickBot="1" x14ac:dyDescent="0.25">
      <c r="B130" s="1304"/>
      <c r="C130" s="551" t="s">
        <v>407</v>
      </c>
      <c r="D130" s="446">
        <v>1</v>
      </c>
      <c r="E130" s="446"/>
      <c r="F130" s="446" t="s">
        <v>73</v>
      </c>
      <c r="G130" s="1062"/>
      <c r="H130" s="1063"/>
      <c r="I130" s="1062"/>
      <c r="J130" s="1062"/>
      <c r="K130" s="1068"/>
      <c r="L130" s="1305"/>
      <c r="M130" s="145"/>
      <c r="N130" s="439"/>
      <c r="O130" s="439"/>
      <c r="P130" s="437"/>
      <c r="Q130" s="437"/>
      <c r="R130" s="437"/>
      <c r="S130" s="452"/>
      <c r="T130" s="452"/>
      <c r="U130" s="453"/>
      <c r="V130" s="453"/>
      <c r="W130" s="454"/>
      <c r="X130" s="454"/>
    </row>
    <row r="131" spans="2:24" ht="12.75" customHeight="1" thickBot="1" x14ac:dyDescent="0.25">
      <c r="B131" s="1304"/>
      <c r="C131" s="1121"/>
      <c r="D131" s="1122"/>
      <c r="E131" s="1122"/>
      <c r="F131" s="1122"/>
      <c r="G131" s="1123"/>
      <c r="H131" s="1124"/>
      <c r="I131" s="1123"/>
      <c r="J131" s="1123"/>
      <c r="K131" s="1125"/>
      <c r="L131" s="1305"/>
      <c r="M131" s="145"/>
      <c r="N131" s="439"/>
      <c r="O131" s="439"/>
      <c r="P131" s="437"/>
      <c r="Q131" s="437"/>
      <c r="R131" s="437"/>
      <c r="S131" s="452"/>
      <c r="T131" s="452"/>
      <c r="U131" s="453"/>
      <c r="V131" s="453"/>
      <c r="W131" s="454"/>
      <c r="X131" s="454"/>
    </row>
    <row r="132" spans="2:24" ht="13.5" thickBot="1" x14ac:dyDescent="0.25">
      <c r="B132" s="1304" t="str">
        <f>+'A) Resumen Ingresos y Egresos'!A16</f>
        <v>Sala Cuna Mar Azul Nocturna</v>
      </c>
      <c r="C132" s="494" t="s">
        <v>420</v>
      </c>
      <c r="D132" s="356" t="s">
        <v>421</v>
      </c>
      <c r="E132" s="356" t="s">
        <v>240</v>
      </c>
      <c r="F132" s="356" t="s">
        <v>73</v>
      </c>
      <c r="G132" s="766">
        <f>'[3] BD EDU'!$AJ$19*12</f>
        <v>8025180</v>
      </c>
      <c r="H132" s="769">
        <f t="shared" ref="H132:H146" si="26">+G132*(1+$L$7)</f>
        <v>9068453.3999999985</v>
      </c>
      <c r="I132" s="766">
        <f>I134</f>
        <v>272746</v>
      </c>
      <c r="J132" s="766">
        <f>74515*2</f>
        <v>149030</v>
      </c>
      <c r="K132" s="1116">
        <f t="shared" si="19"/>
        <v>9490229.3999999985</v>
      </c>
      <c r="L132" s="1306">
        <f>SUM(K132:K146)</f>
        <v>57844374.159999989</v>
      </c>
      <c r="M132" s="145"/>
      <c r="N132" s="439"/>
      <c r="O132" s="439"/>
      <c r="P132" s="437"/>
      <c r="Q132" s="437"/>
      <c r="R132" s="437"/>
      <c r="S132" s="452"/>
      <c r="T132" s="452"/>
      <c r="U132" s="453"/>
      <c r="V132" s="453"/>
      <c r="W132" s="454"/>
      <c r="X132" s="454"/>
    </row>
    <row r="133" spans="2:24" ht="12.75" customHeight="1" thickBot="1" x14ac:dyDescent="0.25">
      <c r="B133" s="1304"/>
      <c r="C133" s="502" t="s">
        <v>422</v>
      </c>
      <c r="D133" s="360" t="s">
        <v>423</v>
      </c>
      <c r="E133" s="360" t="s">
        <v>240</v>
      </c>
      <c r="F133" s="360" t="s">
        <v>73</v>
      </c>
      <c r="G133" s="767">
        <f>'[3] BD EDU'!$AJ$22*12</f>
        <v>10468416</v>
      </c>
      <c r="H133" s="770">
        <f t="shared" si="26"/>
        <v>11829310.079999998</v>
      </c>
      <c r="I133" s="767">
        <f>65535+85466</f>
        <v>151001</v>
      </c>
      <c r="J133" s="767">
        <f t="shared" ref="J133:J137" si="27">74515*2</f>
        <v>149030</v>
      </c>
      <c r="K133" s="1117">
        <f t="shared" si="19"/>
        <v>12129341.079999998</v>
      </c>
      <c r="L133" s="1307"/>
      <c r="M133" s="145"/>
      <c r="N133" s="439"/>
      <c r="O133" s="439"/>
      <c r="P133" s="439"/>
      <c r="Q133" s="439"/>
      <c r="R133" s="439"/>
      <c r="S133" s="452"/>
      <c r="T133" s="452"/>
      <c r="U133" s="453"/>
      <c r="V133" s="453"/>
      <c r="W133" s="454"/>
      <c r="X133" s="454"/>
    </row>
    <row r="134" spans="2:24" ht="12.75" customHeight="1" thickBot="1" x14ac:dyDescent="0.25">
      <c r="B134" s="1304"/>
      <c r="C134" s="502" t="s">
        <v>424</v>
      </c>
      <c r="D134" s="360" t="s">
        <v>425</v>
      </c>
      <c r="E134" s="360" t="s">
        <v>240</v>
      </c>
      <c r="F134" s="360" t="s">
        <v>73</v>
      </c>
      <c r="G134" s="767">
        <f>'[3] BD EDU'!$AJ$28*12</f>
        <v>7698216</v>
      </c>
      <c r="H134" s="770">
        <f t="shared" si="26"/>
        <v>8698984.0800000001</v>
      </c>
      <c r="I134" s="767">
        <f>'[3] BD EDU'!$AP$19</f>
        <v>272746</v>
      </c>
      <c r="J134" s="767">
        <f t="shared" si="27"/>
        <v>149030</v>
      </c>
      <c r="K134" s="1117">
        <f t="shared" si="19"/>
        <v>9120760.0800000001</v>
      </c>
      <c r="L134" s="1307"/>
      <c r="M134" s="145"/>
      <c r="N134" s="439"/>
      <c r="O134" s="439"/>
      <c r="P134" s="440"/>
      <c r="Q134" s="440"/>
      <c r="R134" s="440"/>
      <c r="T134" s="576"/>
      <c r="U134" s="576"/>
      <c r="V134" s="576"/>
      <c r="W134" s="576"/>
    </row>
    <row r="135" spans="2:24" ht="12.75" customHeight="1" thickBot="1" x14ac:dyDescent="0.25">
      <c r="B135" s="1304"/>
      <c r="C135" s="502" t="s">
        <v>426</v>
      </c>
      <c r="D135" s="360" t="s">
        <v>427</v>
      </c>
      <c r="E135" s="360" t="s">
        <v>240</v>
      </c>
      <c r="F135" s="360" t="s">
        <v>73</v>
      </c>
      <c r="G135" s="767">
        <f>'[3] BD EDU'!$AJ$29*12</f>
        <v>7551732</v>
      </c>
      <c r="H135" s="770">
        <f t="shared" si="26"/>
        <v>8533457.1599999983</v>
      </c>
      <c r="I135" s="767">
        <f>'[3] BD EDU'!$AP$19</f>
        <v>272746</v>
      </c>
      <c r="J135" s="767">
        <f t="shared" si="27"/>
        <v>149030</v>
      </c>
      <c r="K135" s="1117">
        <f t="shared" si="19"/>
        <v>8955233.1599999983</v>
      </c>
      <c r="L135" s="1307"/>
      <c r="M135" s="145"/>
      <c r="N135" s="439"/>
      <c r="O135" s="439"/>
      <c r="P135" s="437"/>
      <c r="Q135" s="437"/>
      <c r="R135" s="437"/>
      <c r="S135" s="452"/>
      <c r="T135" s="452"/>
      <c r="U135" s="453"/>
      <c r="V135" s="453"/>
      <c r="W135" s="454"/>
      <c r="X135" s="454"/>
    </row>
    <row r="136" spans="2:24" ht="12.75" customHeight="1" thickBot="1" x14ac:dyDescent="0.25">
      <c r="B136" s="1304"/>
      <c r="C136" s="502" t="s">
        <v>428</v>
      </c>
      <c r="D136" s="360" t="s">
        <v>429</v>
      </c>
      <c r="E136" s="360" t="s">
        <v>240</v>
      </c>
      <c r="F136" s="360" t="s">
        <v>73</v>
      </c>
      <c r="G136" s="767">
        <f>'[3] BD EDU'!$AJ$45*12</f>
        <v>7551732</v>
      </c>
      <c r="H136" s="770">
        <f t="shared" si="26"/>
        <v>8533457.1599999983</v>
      </c>
      <c r="I136" s="767">
        <f>'[3] BD EDU'!$AP$19</f>
        <v>272746</v>
      </c>
      <c r="J136" s="767">
        <f t="shared" si="27"/>
        <v>149030</v>
      </c>
      <c r="K136" s="1117">
        <f t="shared" si="19"/>
        <v>8955233.1599999983</v>
      </c>
      <c r="L136" s="1307"/>
      <c r="M136" s="145"/>
      <c r="N136" s="439"/>
      <c r="O136" s="439"/>
      <c r="P136" s="437"/>
      <c r="Q136" s="437"/>
      <c r="R136" s="437"/>
      <c r="S136" s="452"/>
      <c r="T136" s="452"/>
      <c r="U136" s="453"/>
      <c r="V136" s="453"/>
      <c r="W136" s="454"/>
      <c r="X136" s="454"/>
    </row>
    <row r="137" spans="2:24" ht="12.75" customHeight="1" thickBot="1" x14ac:dyDescent="0.25">
      <c r="B137" s="1304"/>
      <c r="C137" s="502" t="s">
        <v>430</v>
      </c>
      <c r="D137" s="360" t="s">
        <v>431</v>
      </c>
      <c r="E137" s="360" t="s">
        <v>240</v>
      </c>
      <c r="F137" s="360" t="s">
        <v>73</v>
      </c>
      <c r="G137" s="767">
        <f>'[3] BD EDU'!$AJ$77*12</f>
        <v>7762656</v>
      </c>
      <c r="H137" s="770">
        <f t="shared" si="26"/>
        <v>8771801.2799999993</v>
      </c>
      <c r="I137" s="767">
        <f>'[3] BD EDU'!$AP$19</f>
        <v>272746</v>
      </c>
      <c r="J137" s="767">
        <f t="shared" si="27"/>
        <v>149030</v>
      </c>
      <c r="K137" s="1117">
        <f t="shared" si="19"/>
        <v>9193577.2799999993</v>
      </c>
      <c r="L137" s="1307"/>
      <c r="M137" s="145"/>
      <c r="N137" s="439"/>
      <c r="O137" s="439"/>
      <c r="P137" s="437"/>
      <c r="Q137" s="437"/>
      <c r="R137" s="437"/>
      <c r="S137" s="452"/>
      <c r="T137" s="452"/>
      <c r="U137" s="453"/>
      <c r="V137" s="453"/>
      <c r="W137" s="454"/>
      <c r="X137" s="454"/>
    </row>
    <row r="138" spans="2:24" ht="12.75" customHeight="1" thickBot="1" x14ac:dyDescent="0.25">
      <c r="B138" s="1304"/>
      <c r="C138" s="502"/>
      <c r="D138" s="360"/>
      <c r="E138" s="360"/>
      <c r="F138" s="360"/>
      <c r="G138" s="767">
        <v>0</v>
      </c>
      <c r="H138" s="770">
        <f t="shared" si="26"/>
        <v>0</v>
      </c>
      <c r="I138" s="767">
        <v>0</v>
      </c>
      <c r="J138" s="767">
        <v>0</v>
      </c>
      <c r="K138" s="1117">
        <f t="shared" si="19"/>
        <v>0</v>
      </c>
      <c r="L138" s="1307"/>
      <c r="M138" s="145"/>
      <c r="N138" s="439"/>
      <c r="O138" s="439"/>
      <c r="P138" s="437"/>
      <c r="Q138" s="437"/>
      <c r="R138" s="437"/>
      <c r="S138" s="452"/>
      <c r="T138" s="452"/>
      <c r="U138" s="453"/>
      <c r="V138" s="453"/>
      <c r="W138" s="454"/>
      <c r="X138" s="454"/>
    </row>
    <row r="139" spans="2:24" ht="12.75" customHeight="1" thickBot="1" x14ac:dyDescent="0.25">
      <c r="B139" s="1304"/>
      <c r="C139" s="502"/>
      <c r="D139" s="360"/>
      <c r="E139" s="360"/>
      <c r="F139" s="360"/>
      <c r="G139" s="767">
        <v>0</v>
      </c>
      <c r="H139" s="770">
        <f t="shared" si="26"/>
        <v>0</v>
      </c>
      <c r="I139" s="767">
        <v>0</v>
      </c>
      <c r="J139" s="767">
        <v>0</v>
      </c>
      <c r="K139" s="1117">
        <f t="shared" si="19"/>
        <v>0</v>
      </c>
      <c r="L139" s="1307"/>
      <c r="M139" s="145"/>
      <c r="N139" s="439"/>
      <c r="O139" s="439"/>
      <c r="P139" s="437"/>
      <c r="Q139" s="437"/>
      <c r="R139" s="437"/>
      <c r="S139" s="452"/>
      <c r="T139" s="452"/>
      <c r="U139" s="453"/>
      <c r="V139" s="453"/>
      <c r="W139" s="454"/>
      <c r="X139" s="454"/>
    </row>
    <row r="140" spans="2:24" ht="13.5" thickBot="1" x14ac:dyDescent="0.25">
      <c r="B140" s="1304"/>
      <c r="C140" s="502"/>
      <c r="D140" s="360"/>
      <c r="E140" s="360"/>
      <c r="F140" s="360"/>
      <c r="G140" s="767">
        <v>0</v>
      </c>
      <c r="H140" s="770">
        <f t="shared" si="26"/>
        <v>0</v>
      </c>
      <c r="I140" s="767">
        <v>0</v>
      </c>
      <c r="J140" s="767">
        <v>0</v>
      </c>
      <c r="K140" s="1117">
        <f t="shared" si="19"/>
        <v>0</v>
      </c>
      <c r="L140" s="1307"/>
      <c r="M140" s="145"/>
      <c r="N140" s="439"/>
      <c r="O140" s="439"/>
      <c r="P140" s="437"/>
      <c r="Q140" s="437"/>
      <c r="R140" s="437"/>
      <c r="S140" s="452"/>
      <c r="T140" s="452"/>
      <c r="U140" s="453"/>
      <c r="V140" s="453"/>
      <c r="W140" s="454"/>
      <c r="X140" s="454"/>
    </row>
    <row r="141" spans="2:24" ht="12.75" customHeight="1" thickBot="1" x14ac:dyDescent="0.25">
      <c r="B141" s="1304"/>
      <c r="C141" s="502"/>
      <c r="D141" s="360"/>
      <c r="E141" s="360"/>
      <c r="F141" s="360"/>
      <c r="G141" s="767">
        <v>0</v>
      </c>
      <c r="H141" s="770">
        <f t="shared" si="26"/>
        <v>0</v>
      </c>
      <c r="I141" s="767">
        <v>0</v>
      </c>
      <c r="J141" s="767">
        <v>0</v>
      </c>
      <c r="K141" s="1117">
        <f t="shared" si="19"/>
        <v>0</v>
      </c>
      <c r="L141" s="1307"/>
      <c r="M141" s="145"/>
      <c r="N141" s="439"/>
      <c r="O141" s="439"/>
      <c r="P141" s="437"/>
      <c r="Q141" s="437"/>
      <c r="R141" s="437"/>
      <c r="S141" s="452"/>
      <c r="T141" s="452"/>
      <c r="U141" s="453"/>
      <c r="V141" s="453"/>
      <c r="W141" s="454"/>
      <c r="X141" s="454"/>
    </row>
    <row r="142" spans="2:24" ht="12.75" customHeight="1" thickBot="1" x14ac:dyDescent="0.25">
      <c r="B142" s="1304"/>
      <c r="C142" s="502"/>
      <c r="D142" s="360"/>
      <c r="E142" s="360"/>
      <c r="F142" s="360"/>
      <c r="G142" s="767">
        <v>0</v>
      </c>
      <c r="H142" s="770">
        <f t="shared" si="26"/>
        <v>0</v>
      </c>
      <c r="I142" s="767">
        <v>0</v>
      </c>
      <c r="J142" s="767">
        <v>0</v>
      </c>
      <c r="K142" s="1117">
        <f t="shared" si="19"/>
        <v>0</v>
      </c>
      <c r="L142" s="1307"/>
      <c r="M142" s="145"/>
      <c r="N142" s="439"/>
      <c r="O142" s="439"/>
      <c r="P142" s="437"/>
      <c r="Q142" s="437"/>
      <c r="R142" s="437"/>
      <c r="S142" s="452"/>
      <c r="T142" s="452"/>
      <c r="U142" s="453"/>
      <c r="V142" s="453"/>
      <c r="W142" s="454"/>
      <c r="X142" s="454"/>
    </row>
    <row r="143" spans="2:24" ht="13.5" customHeight="1" thickBot="1" x14ac:dyDescent="0.25">
      <c r="B143" s="1304"/>
      <c r="C143" s="502"/>
      <c r="D143" s="360"/>
      <c r="E143" s="360"/>
      <c r="F143" s="360"/>
      <c r="G143" s="767">
        <v>0</v>
      </c>
      <c r="H143" s="770">
        <f t="shared" si="26"/>
        <v>0</v>
      </c>
      <c r="I143" s="767">
        <v>0</v>
      </c>
      <c r="J143" s="767">
        <v>0</v>
      </c>
      <c r="K143" s="1117">
        <f t="shared" si="19"/>
        <v>0</v>
      </c>
      <c r="L143" s="1307"/>
      <c r="M143" s="145"/>
      <c r="N143" s="439"/>
      <c r="O143" s="439"/>
      <c r="P143" s="437"/>
      <c r="Q143" s="437"/>
      <c r="R143" s="437"/>
      <c r="S143" s="452"/>
      <c r="T143" s="452"/>
      <c r="U143" s="453"/>
      <c r="V143" s="453"/>
      <c r="W143" s="454"/>
      <c r="X143" s="454"/>
    </row>
    <row r="144" spans="2:24" ht="12.75" customHeight="1" thickBot="1" x14ac:dyDescent="0.25">
      <c r="B144" s="1304"/>
      <c r="C144" s="502"/>
      <c r="D144" s="360"/>
      <c r="E144" s="360"/>
      <c r="F144" s="360"/>
      <c r="G144" s="767">
        <v>0</v>
      </c>
      <c r="H144" s="770">
        <f t="shared" si="26"/>
        <v>0</v>
      </c>
      <c r="I144" s="767">
        <v>0</v>
      </c>
      <c r="J144" s="767">
        <v>0</v>
      </c>
      <c r="K144" s="1117">
        <f t="shared" si="19"/>
        <v>0</v>
      </c>
      <c r="L144" s="1307"/>
      <c r="M144" s="145"/>
      <c r="N144" s="439"/>
      <c r="O144" s="439"/>
      <c r="P144" s="437"/>
      <c r="Q144" s="437"/>
      <c r="R144" s="437"/>
      <c r="S144" s="452"/>
      <c r="T144" s="452"/>
      <c r="U144" s="453"/>
      <c r="V144" s="453"/>
      <c r="W144" s="454"/>
      <c r="X144" s="454"/>
    </row>
    <row r="145" spans="2:24" ht="13.5" customHeight="1" thickBot="1" x14ac:dyDescent="0.25">
      <c r="B145" s="1304"/>
      <c r="C145" s="502"/>
      <c r="D145" s="360"/>
      <c r="E145" s="360"/>
      <c r="F145" s="360"/>
      <c r="G145" s="767">
        <v>0</v>
      </c>
      <c r="H145" s="770">
        <f t="shared" si="26"/>
        <v>0</v>
      </c>
      <c r="I145" s="767">
        <v>0</v>
      </c>
      <c r="J145" s="767">
        <v>0</v>
      </c>
      <c r="K145" s="1117">
        <f t="shared" si="19"/>
        <v>0</v>
      </c>
      <c r="L145" s="1307"/>
      <c r="M145" s="145"/>
      <c r="N145" s="439"/>
      <c r="O145" s="439"/>
      <c r="P145" s="437"/>
      <c r="Q145" s="437"/>
      <c r="R145" s="437"/>
      <c r="S145" s="452"/>
      <c r="T145" s="452"/>
      <c r="U145" s="453"/>
      <c r="V145" s="453"/>
      <c r="W145" s="454"/>
      <c r="X145" s="454"/>
    </row>
    <row r="146" spans="2:24" ht="13.5" customHeight="1" thickBot="1" x14ac:dyDescent="0.25">
      <c r="B146" s="1304"/>
      <c r="C146" s="499"/>
      <c r="D146" s="447"/>
      <c r="E146" s="447"/>
      <c r="F146" s="447"/>
      <c r="G146" s="768">
        <v>0</v>
      </c>
      <c r="H146" s="771">
        <f t="shared" si="26"/>
        <v>0</v>
      </c>
      <c r="I146" s="768">
        <v>0</v>
      </c>
      <c r="J146" s="768">
        <v>0</v>
      </c>
      <c r="K146" s="1118">
        <f t="shared" si="19"/>
        <v>0</v>
      </c>
      <c r="L146" s="1308"/>
      <c r="M146" s="145"/>
      <c r="N146" s="439"/>
      <c r="O146" s="439"/>
      <c r="P146" s="437"/>
      <c r="Q146" s="437"/>
      <c r="R146" s="437"/>
      <c r="S146" s="452"/>
      <c r="T146" s="452"/>
      <c r="U146" s="453"/>
      <c r="V146" s="453"/>
      <c r="W146" s="454"/>
      <c r="X146" s="454"/>
    </row>
    <row r="147" spans="2:24" ht="16.5" thickBot="1" x14ac:dyDescent="0.25">
      <c r="B147" s="469"/>
      <c r="C147" s="145"/>
      <c r="D147" s="145"/>
      <c r="E147" s="470"/>
      <c r="F147" s="470"/>
      <c r="G147" s="470"/>
      <c r="H147" s="470"/>
      <c r="I147" s="470"/>
      <c r="J147" s="470"/>
      <c r="K147" s="471" t="s">
        <v>244</v>
      </c>
      <c r="L147" s="472">
        <f>+L11+L34+L77+L107+L132</f>
        <v>555310303.31999993</v>
      </c>
      <c r="M147" s="435"/>
      <c r="N147" s="435"/>
      <c r="O147" s="435"/>
      <c r="P147" s="439"/>
      <c r="Q147" s="439"/>
      <c r="R147" s="439"/>
      <c r="S147" s="452"/>
      <c r="T147" s="452"/>
      <c r="U147" s="453"/>
      <c r="V147" s="453"/>
      <c r="W147" s="454"/>
      <c r="X147" s="454"/>
    </row>
  </sheetData>
  <sheetProtection algorithmName="SHA-512" hashValue="4pesHJ/T7aajUfUe40/Mn24wxZNMmP6WTlD4idu4yx3g23MZiI2EJIIGohvRljEURtZlRdVuf4dkwc22x6iSYg==" saltValue="DWQmZ2gfgGY8MxyWO6a//A==" spinCount="100000" sheet="1" objects="1" scenarios="1"/>
  <mergeCells count="42">
    <mergeCell ref="B7:E7"/>
    <mergeCell ref="B9:B10"/>
    <mergeCell ref="C9:C10"/>
    <mergeCell ref="D9:D10"/>
    <mergeCell ref="E9:E10"/>
    <mergeCell ref="K9:K10"/>
    <mergeCell ref="L9:L10"/>
    <mergeCell ref="T10:W10"/>
    <mergeCell ref="B11:B33"/>
    <mergeCell ref="L11:L33"/>
    <mergeCell ref="F9:F10"/>
    <mergeCell ref="G9:G10"/>
    <mergeCell ref="H9:H10"/>
    <mergeCell ref="I9:I10"/>
    <mergeCell ref="J9:J10"/>
    <mergeCell ref="P21:S21"/>
    <mergeCell ref="B34:B56"/>
    <mergeCell ref="L34:L56"/>
    <mergeCell ref="B57:B62"/>
    <mergeCell ref="L57:L62"/>
    <mergeCell ref="B63:B74"/>
    <mergeCell ref="L63:L74"/>
    <mergeCell ref="T76:W76"/>
    <mergeCell ref="B77:B91"/>
    <mergeCell ref="L77:L91"/>
    <mergeCell ref="B92:B106"/>
    <mergeCell ref="L92:L106"/>
    <mergeCell ref="G75:G76"/>
    <mergeCell ref="H75:H76"/>
    <mergeCell ref="I75:I76"/>
    <mergeCell ref="J75:J76"/>
    <mergeCell ref="K75:K76"/>
    <mergeCell ref="B75:B76"/>
    <mergeCell ref="C75:C76"/>
    <mergeCell ref="D75:D76"/>
    <mergeCell ref="E75:E76"/>
    <mergeCell ref="F75:F76"/>
    <mergeCell ref="B107:B131"/>
    <mergeCell ref="L107:L131"/>
    <mergeCell ref="B132:B146"/>
    <mergeCell ref="L132:L146"/>
    <mergeCell ref="L75:L76"/>
  </mergeCells>
  <pageMargins left="0.7" right="0.7" top="0.75" bottom="0.75" header="0.51180555555555496" footer="0.51180555555555496"/>
  <pageSetup firstPageNumber="0" orientation="portrait" horizontalDpi="300" verticalDpi="300" r:id="rId1"/>
  <ignoredErrors>
    <ignoredError sqref="K32" 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7030A0"/>
  </sheetPr>
  <dimension ref="A1:AMK31"/>
  <sheetViews>
    <sheetView showGridLines="0" zoomScale="80" zoomScaleNormal="80" workbookViewId="0">
      <selection activeCell="O30" sqref="O30"/>
    </sheetView>
  </sheetViews>
  <sheetFormatPr baseColWidth="10" defaultColWidth="9.140625" defaultRowHeight="12.75" x14ac:dyDescent="0.2"/>
  <cols>
    <col min="1" max="1" width="39" style="19" customWidth="1"/>
    <col min="2" max="2" width="34" style="19"/>
    <col min="3" max="12" width="15.140625" style="19"/>
    <col min="13" max="13" width="34.5703125" style="19"/>
    <col min="14" max="14" width="15.140625" style="19"/>
    <col min="15" max="15" width="34.5703125" style="19"/>
    <col min="16" max="16" width="15.140625" style="19"/>
    <col min="17" max="17" width="14.85546875" style="19"/>
    <col min="18" max="1025" width="10.85546875" style="19"/>
  </cols>
  <sheetData>
    <row r="1" spans="1:19" x14ac:dyDescent="0.2">
      <c r="B1" s="4"/>
      <c r="C1" s="4"/>
      <c r="D1" s="4" t="s">
        <v>245</v>
      </c>
      <c r="E1" s="4"/>
      <c r="F1" s="4"/>
      <c r="G1" s="4"/>
      <c r="H1" s="4"/>
      <c r="I1" s="4"/>
      <c r="J1" s="4"/>
      <c r="K1" s="4"/>
      <c r="L1" s="4"/>
      <c r="M1" s="4"/>
      <c r="N1" s="4"/>
      <c r="P1" s="4"/>
    </row>
    <row r="2" spans="1:19" x14ac:dyDescent="0.2">
      <c r="B2" s="4"/>
      <c r="C2" s="4"/>
      <c r="D2" s="4" t="s">
        <v>246</v>
      </c>
      <c r="E2" s="4"/>
      <c r="F2" s="4"/>
      <c r="G2" s="4"/>
      <c r="H2" s="4"/>
      <c r="I2" s="4"/>
      <c r="J2" s="4"/>
      <c r="K2" s="4"/>
      <c r="L2" s="4"/>
      <c r="M2" s="4"/>
      <c r="N2" s="4"/>
      <c r="P2" s="4"/>
    </row>
    <row r="3" spans="1:19" x14ac:dyDescent="0.2">
      <c r="C3" s="21"/>
      <c r="D3" s="21"/>
      <c r="E3" s="21"/>
      <c r="F3" s="21"/>
      <c r="G3" s="21"/>
      <c r="H3" s="21"/>
      <c r="I3" s="21"/>
      <c r="J3" s="21"/>
      <c r="K3" s="21"/>
      <c r="L3" s="21"/>
      <c r="N3" s="21"/>
      <c r="P3" s="21"/>
    </row>
    <row r="4" spans="1:19" ht="18.75" customHeight="1" x14ac:dyDescent="0.2">
      <c r="C4" s="473" t="s">
        <v>27</v>
      </c>
      <c r="D4" s="1300" t="str">
        <f>+'B) Reajuste Tarifas y Ocupación'!F5</f>
        <v>BIENVALP</v>
      </c>
      <c r="E4" s="1300"/>
      <c r="F4" s="1300"/>
      <c r="G4" s="4"/>
      <c r="H4" s="4"/>
      <c r="I4" s="4"/>
      <c r="J4" s="4"/>
      <c r="K4" s="4"/>
      <c r="L4" s="4"/>
      <c r="N4" s="4"/>
      <c r="P4" s="4"/>
    </row>
    <row r="5" spans="1:19" x14ac:dyDescent="0.2">
      <c r="A5" s="27"/>
      <c r="B5" s="28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P5" s="4"/>
    </row>
    <row r="6" spans="1:19" x14ac:dyDescent="0.2">
      <c r="A6" s="27"/>
      <c r="B6" s="28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P6" s="4"/>
    </row>
    <row r="7" spans="1:19" ht="12.75" customHeight="1" x14ac:dyDescent="0.2">
      <c r="A7" s="1357" t="s">
        <v>247</v>
      </c>
      <c r="B7" s="1357"/>
      <c r="C7" s="1357"/>
      <c r="D7" s="1357"/>
      <c r="E7" s="1357"/>
      <c r="F7" s="1357"/>
      <c r="G7" s="1357"/>
      <c r="H7" s="1357"/>
      <c r="I7" s="1357"/>
      <c r="J7" s="1357"/>
      <c r="K7" s="1357"/>
      <c r="L7" s="1357"/>
      <c r="M7" s="1357"/>
      <c r="N7" s="1357"/>
      <c r="O7" s="1357"/>
      <c r="P7" s="474"/>
    </row>
    <row r="8" spans="1:19" x14ac:dyDescent="0.2">
      <c r="A8" s="1357"/>
      <c r="B8" s="1357"/>
      <c r="C8" s="1357"/>
      <c r="D8" s="1357"/>
      <c r="E8" s="1357"/>
      <c r="F8" s="1357"/>
      <c r="G8" s="1357"/>
      <c r="H8" s="1357"/>
      <c r="I8" s="1357"/>
      <c r="J8" s="1357"/>
      <c r="K8" s="1357"/>
      <c r="L8" s="1357"/>
      <c r="M8" s="1357"/>
      <c r="N8" s="1357"/>
      <c r="O8" s="1357"/>
      <c r="P8" s="474"/>
    </row>
    <row r="9" spans="1:19" x14ac:dyDescent="0.2">
      <c r="A9" s="1357"/>
      <c r="B9" s="1357"/>
      <c r="C9" s="1357"/>
      <c r="D9" s="1357"/>
      <c r="E9" s="1357"/>
      <c r="F9" s="1357"/>
      <c r="G9" s="1357"/>
      <c r="H9" s="1357"/>
      <c r="I9" s="1357"/>
      <c r="J9" s="1357"/>
      <c r="K9" s="1357"/>
      <c r="L9" s="1357"/>
      <c r="M9" s="1357"/>
      <c r="N9" s="1357"/>
      <c r="O9" s="1357"/>
      <c r="P9" s="474"/>
    </row>
    <row r="10" spans="1:19" x14ac:dyDescent="0.2">
      <c r="A10" s="474"/>
      <c r="B10" s="474"/>
      <c r="C10" s="474"/>
      <c r="D10" s="474"/>
      <c r="E10" s="474"/>
      <c r="F10" s="474"/>
      <c r="G10" s="474"/>
      <c r="H10" s="474"/>
      <c r="I10" s="474"/>
      <c r="J10" s="474"/>
      <c r="K10" s="474"/>
      <c r="L10" s="474"/>
      <c r="M10" s="474"/>
      <c r="N10" s="474"/>
      <c r="O10" s="474"/>
      <c r="P10" s="474"/>
    </row>
    <row r="11" spans="1:19" x14ac:dyDescent="0.2">
      <c r="A11" s="475"/>
      <c r="B11" s="475"/>
      <c r="C11" s="475"/>
      <c r="D11" s="475"/>
      <c r="E11" s="475"/>
      <c r="F11" s="475"/>
      <c r="G11" s="475"/>
      <c r="H11" s="475"/>
      <c r="I11" s="475"/>
      <c r="J11" s="475"/>
      <c r="K11" s="475"/>
      <c r="L11" s="475"/>
      <c r="M11" s="475"/>
      <c r="N11" s="475"/>
      <c r="O11" s="475"/>
      <c r="P11" s="475"/>
    </row>
    <row r="12" spans="1:19" ht="15.75" x14ac:dyDescent="0.2">
      <c r="A12" s="1197" t="s">
        <v>22</v>
      </c>
      <c r="B12" s="1197"/>
      <c r="C12" s="1197"/>
      <c r="D12" s="1197"/>
      <c r="E12" s="29"/>
      <c r="F12" s="475"/>
      <c r="G12" s="475"/>
      <c r="H12" s="475"/>
      <c r="I12" s="476"/>
      <c r="J12" s="476"/>
      <c r="K12" s="475"/>
      <c r="L12" s="475"/>
      <c r="M12" s="475"/>
      <c r="N12" s="475"/>
      <c r="O12" s="475"/>
      <c r="P12" s="475"/>
    </row>
    <row r="13" spans="1:19" ht="13.5" thickBot="1" x14ac:dyDescent="0.25">
      <c r="A13" s="27"/>
      <c r="B13" s="28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P13" s="4"/>
    </row>
    <row r="14" spans="1:19" ht="20.25" customHeight="1" thickBot="1" x14ac:dyDescent="0.25">
      <c r="A14" s="1350" t="s">
        <v>60</v>
      </c>
      <c r="B14" s="1351" t="s">
        <v>42</v>
      </c>
      <c r="C14" s="1190" t="s">
        <v>336</v>
      </c>
      <c r="D14" s="1190"/>
      <c r="E14" s="1190"/>
      <c r="F14" s="1190"/>
      <c r="G14" s="1190"/>
      <c r="H14" s="1352" t="s">
        <v>248</v>
      </c>
      <c r="I14" s="1352"/>
      <c r="J14" s="1352"/>
      <c r="K14" s="1352"/>
      <c r="L14" s="1352"/>
      <c r="M14" s="1353" t="s">
        <v>249</v>
      </c>
      <c r="N14" s="1354"/>
      <c r="O14" s="1353" t="s">
        <v>250</v>
      </c>
      <c r="P14" s="1358"/>
      <c r="Q14" s="1301" t="s">
        <v>251</v>
      </c>
    </row>
    <row r="15" spans="1:19" ht="72.75" customHeight="1" thickBot="1" x14ac:dyDescent="0.25">
      <c r="A15" s="1350"/>
      <c r="B15" s="1351"/>
      <c r="C15" s="74" t="s">
        <v>48</v>
      </c>
      <c r="D15" s="75" t="s">
        <v>49</v>
      </c>
      <c r="E15" s="75" t="s">
        <v>50</v>
      </c>
      <c r="F15" s="75" t="s">
        <v>51</v>
      </c>
      <c r="G15" s="77" t="s">
        <v>52</v>
      </c>
      <c r="H15" s="185" t="s">
        <v>48</v>
      </c>
      <c r="I15" s="186" t="s">
        <v>49</v>
      </c>
      <c r="J15" s="186" t="s">
        <v>50</v>
      </c>
      <c r="K15" s="186" t="s">
        <v>51</v>
      </c>
      <c r="L15" s="187" t="s">
        <v>52</v>
      </c>
      <c r="M15" s="477" t="s">
        <v>252</v>
      </c>
      <c r="N15" s="810" t="s">
        <v>253</v>
      </c>
      <c r="O15" s="477" t="s">
        <v>252</v>
      </c>
      <c r="P15" s="492" t="s">
        <v>253</v>
      </c>
      <c r="Q15" s="1301"/>
    </row>
    <row r="16" spans="1:19" ht="12.75" customHeight="1" x14ac:dyDescent="0.2">
      <c r="A16" s="1344" t="str">
        <f>'B) Reajuste Tarifas y Ocupación'!A12</f>
        <v>Jardín Infantil Lobito Marino</v>
      </c>
      <c r="B16" s="478" t="str">
        <f>+'B) Reajuste Tarifas y Ocupación'!B12</f>
        <v>Media jornada</v>
      </c>
      <c r="C16" s="385">
        <f>+'B) Reajuste Tarifas y Ocupación'!M12</f>
        <v>94700</v>
      </c>
      <c r="D16" s="386">
        <f>+'B) Reajuste Tarifas y Ocupación'!N12</f>
        <v>127900</v>
      </c>
      <c r="E16" s="386">
        <f>+'B) Reajuste Tarifas y Ocupación'!O12</f>
        <v>132600</v>
      </c>
      <c r="F16" s="386">
        <f>+'B) Reajuste Tarifas y Ocupación'!P12</f>
        <v>126900</v>
      </c>
      <c r="G16" s="479">
        <f>+'B) Reajuste Tarifas y Ocupación'!Q12</f>
        <v>186700</v>
      </c>
      <c r="H16" s="480">
        <f t="shared" ref="H16:L19" si="0">IFERROR(C16/$Q16,0)</f>
        <v>0.43045454545454548</v>
      </c>
      <c r="I16" s="481">
        <f t="shared" si="0"/>
        <v>0.58136363636363642</v>
      </c>
      <c r="J16" s="481">
        <f t="shared" si="0"/>
        <v>0.60272727272727278</v>
      </c>
      <c r="K16" s="481">
        <f t="shared" si="0"/>
        <v>0.57681818181818179</v>
      </c>
      <c r="L16" s="493">
        <f t="shared" si="0"/>
        <v>0.84863636363636363</v>
      </c>
      <c r="M16" s="502" t="s">
        <v>365</v>
      </c>
      <c r="N16" s="811">
        <v>210000</v>
      </c>
      <c r="O16" s="502" t="s">
        <v>366</v>
      </c>
      <c r="P16" s="503">
        <v>230000</v>
      </c>
      <c r="Q16" s="813">
        <f>AVERAGE(N16,P16)</f>
        <v>220000</v>
      </c>
      <c r="R16" s="437"/>
      <c r="S16" s="482"/>
    </row>
    <row r="17" spans="1:19" ht="13.5" thickBot="1" x14ac:dyDescent="0.25">
      <c r="A17" s="1344"/>
      <c r="B17" s="478" t="str">
        <f>+'B) Reajuste Tarifas y Ocupación'!B13</f>
        <v>Jornada completa</v>
      </c>
      <c r="C17" s="395">
        <f>+'B) Reajuste Tarifas y Ocupación'!M13</f>
        <v>154600</v>
      </c>
      <c r="D17" s="396">
        <f>+'B) Reajuste Tarifas y Ocupación'!N13</f>
        <v>208700</v>
      </c>
      <c r="E17" s="396">
        <f>+'B) Reajuste Tarifas y Ocupación'!O13</f>
        <v>216500</v>
      </c>
      <c r="F17" s="396">
        <f>+'B) Reajuste Tarifas y Ocupación'!P13</f>
        <v>261000</v>
      </c>
      <c r="G17" s="483">
        <f>+'B) Reajuste Tarifas y Ocupación'!Q13</f>
        <v>389200</v>
      </c>
      <c r="H17" s="484">
        <f t="shared" si="0"/>
        <v>0.38650000000000001</v>
      </c>
      <c r="I17" s="485">
        <f t="shared" si="0"/>
        <v>0.52175000000000005</v>
      </c>
      <c r="J17" s="485">
        <f t="shared" si="0"/>
        <v>0.54125000000000001</v>
      </c>
      <c r="K17" s="485">
        <f t="shared" si="0"/>
        <v>0.65249999999999997</v>
      </c>
      <c r="L17" s="498">
        <f t="shared" si="0"/>
        <v>0.97299999999999998</v>
      </c>
      <c r="M17" s="502" t="s">
        <v>367</v>
      </c>
      <c r="N17" s="811">
        <v>390000</v>
      </c>
      <c r="O17" s="502" t="s">
        <v>368</v>
      </c>
      <c r="P17" s="503">
        <v>410000</v>
      </c>
      <c r="Q17" s="813">
        <f>AVERAGE(N17,P17)</f>
        <v>400000</v>
      </c>
      <c r="R17" s="437"/>
      <c r="S17" s="482"/>
    </row>
    <row r="18" spans="1:19" ht="12.75" customHeight="1" thickBot="1" x14ac:dyDescent="0.25">
      <c r="A18" s="1345" t="str">
        <f>'B) Reajuste Tarifas y Ocupación'!A14</f>
        <v>Jardín Infantil Los Delfines</v>
      </c>
      <c r="B18" s="487" t="str">
        <f>+'B) Reajuste Tarifas y Ocupación'!B14</f>
        <v>Media jornada</v>
      </c>
      <c r="C18" s="385">
        <f>+'B) Reajuste Tarifas y Ocupación'!M14</f>
        <v>94700</v>
      </c>
      <c r="D18" s="386">
        <f>+'B) Reajuste Tarifas y Ocupación'!N14</f>
        <v>127900</v>
      </c>
      <c r="E18" s="386">
        <f>+'B) Reajuste Tarifas y Ocupación'!O14</f>
        <v>132600</v>
      </c>
      <c r="F18" s="386">
        <f>+'B) Reajuste Tarifas y Ocupación'!P14</f>
        <v>126900</v>
      </c>
      <c r="G18" s="479">
        <f>+'B) Reajuste Tarifas y Ocupación'!Q14</f>
        <v>186700</v>
      </c>
      <c r="H18" s="480">
        <f t="shared" si="0"/>
        <v>0.43045454545454548</v>
      </c>
      <c r="I18" s="481">
        <f t="shared" si="0"/>
        <v>0.58136363636363642</v>
      </c>
      <c r="J18" s="481">
        <f t="shared" si="0"/>
        <v>0.60272727272727278</v>
      </c>
      <c r="K18" s="481">
        <f t="shared" si="0"/>
        <v>0.57681818181818179</v>
      </c>
      <c r="L18" s="493">
        <f t="shared" si="0"/>
        <v>0.84863636363636363</v>
      </c>
      <c r="M18" s="502" t="s">
        <v>365</v>
      </c>
      <c r="N18" s="811">
        <v>210000</v>
      </c>
      <c r="O18" s="502" t="s">
        <v>366</v>
      </c>
      <c r="P18" s="503">
        <v>230000</v>
      </c>
      <c r="Q18" s="813">
        <f>AVERAGE(N18,P18)</f>
        <v>220000</v>
      </c>
    </row>
    <row r="19" spans="1:19" ht="12.75" customHeight="1" thickBot="1" x14ac:dyDescent="0.25">
      <c r="A19" s="1345"/>
      <c r="B19" s="478" t="str">
        <f>+'B) Reajuste Tarifas y Ocupación'!B15</f>
        <v>Jornada completa</v>
      </c>
      <c r="C19" s="395">
        <f>+'B) Reajuste Tarifas y Ocupación'!M15</f>
        <v>154600</v>
      </c>
      <c r="D19" s="396">
        <f>+'B) Reajuste Tarifas y Ocupación'!N15</f>
        <v>208700</v>
      </c>
      <c r="E19" s="396">
        <f>+'B) Reajuste Tarifas y Ocupación'!O15</f>
        <v>216500</v>
      </c>
      <c r="F19" s="396">
        <f>+'B) Reajuste Tarifas y Ocupación'!P15</f>
        <v>261000</v>
      </c>
      <c r="G19" s="483">
        <f>+'B) Reajuste Tarifas y Ocupación'!Q15</f>
        <v>389200</v>
      </c>
      <c r="H19" s="484">
        <f t="shared" si="0"/>
        <v>0.38650000000000001</v>
      </c>
      <c r="I19" s="485">
        <f t="shared" si="0"/>
        <v>0.52175000000000005</v>
      </c>
      <c r="J19" s="485">
        <f t="shared" si="0"/>
        <v>0.54125000000000001</v>
      </c>
      <c r="K19" s="485">
        <f t="shared" si="0"/>
        <v>0.65249999999999997</v>
      </c>
      <c r="L19" s="498">
        <f t="shared" si="0"/>
        <v>0.97299999999999998</v>
      </c>
      <c r="M19" s="502" t="s">
        <v>367</v>
      </c>
      <c r="N19" s="811">
        <v>390000</v>
      </c>
      <c r="O19" s="502" t="s">
        <v>368</v>
      </c>
      <c r="P19" s="503">
        <v>410000</v>
      </c>
      <c r="Q19" s="813">
        <f>AVERAGE(N19,P19)</f>
        <v>400000</v>
      </c>
    </row>
    <row r="20" spans="1:19" ht="26.25" customHeight="1" thickBot="1" x14ac:dyDescent="0.25">
      <c r="A20" s="486" t="str">
        <f>'B) Reajuste Tarifas y Ocupación'!A16</f>
        <v>Jardín Infantil Pecesitos de Colores</v>
      </c>
      <c r="B20" s="487" t="str">
        <f>+'B) Reajuste Tarifas y Ocupación'!B16</f>
        <v>Media jornada</v>
      </c>
      <c r="C20" s="395">
        <f>+'B) Reajuste Tarifas y Ocupación'!M16</f>
        <v>38100</v>
      </c>
      <c r="D20" s="396">
        <f>+'B) Reajuste Tarifas y Ocupación'!N16</f>
        <v>51500</v>
      </c>
      <c r="E20" s="396">
        <f>+'B) Reajuste Tarifas y Ocupación'!O16</f>
        <v>53400</v>
      </c>
      <c r="F20" s="396">
        <f>+'B) Reajuste Tarifas y Ocupación'!P16</f>
        <v>47800</v>
      </c>
      <c r="G20" s="483">
        <f>+'B) Reajuste Tarifas y Ocupación'!Q16</f>
        <v>57200</v>
      </c>
      <c r="H20" s="484">
        <f t="shared" ref="H20" si="1">IFERROR(C20/$Q20,0)</f>
        <v>0</v>
      </c>
      <c r="I20" s="485">
        <f t="shared" ref="I20" si="2">IFERROR(D20/$Q20,0)</f>
        <v>0</v>
      </c>
      <c r="J20" s="485">
        <f t="shared" ref="J20" si="3">IFERROR(E20/$Q20,0)</f>
        <v>0</v>
      </c>
      <c r="K20" s="485">
        <f t="shared" ref="K20" si="4">IFERROR(F20/$Q20,0)</f>
        <v>0</v>
      </c>
      <c r="L20" s="498">
        <f t="shared" ref="L20" si="5">IFERROR(G20/$Q20,0)</f>
        <v>0</v>
      </c>
      <c r="M20" s="499" t="s">
        <v>369</v>
      </c>
      <c r="N20" s="812">
        <v>0</v>
      </c>
      <c r="O20" s="499" t="s">
        <v>369</v>
      </c>
      <c r="P20" s="500">
        <v>0</v>
      </c>
      <c r="Q20" s="814">
        <v>0</v>
      </c>
    </row>
    <row r="21" spans="1:19" ht="12.75" customHeight="1" thickBot="1" x14ac:dyDescent="0.25">
      <c r="A21" s="1337" t="str">
        <f>'B) Reajuste Tarifas y Ocupación'!A17</f>
        <v>Jardín Infantil Caracolito de Mar</v>
      </c>
      <c r="B21" s="487" t="str">
        <f>+'B) Reajuste Tarifas y Ocupación'!B17</f>
        <v>Media jornada</v>
      </c>
      <c r="C21" s="1349"/>
      <c r="D21" s="1349"/>
      <c r="E21" s="1349"/>
      <c r="F21" s="1349"/>
      <c r="G21" s="1349"/>
      <c r="H21" s="1356"/>
      <c r="I21" s="1356"/>
      <c r="J21" s="1356"/>
      <c r="K21" s="1356"/>
      <c r="L21" s="1356"/>
      <c r="M21" s="1332"/>
      <c r="N21" s="1332"/>
      <c r="O21" s="1333"/>
      <c r="P21" s="1334"/>
      <c r="Q21" s="1349"/>
    </row>
    <row r="22" spans="1:19" ht="12.75" customHeight="1" thickBot="1" x14ac:dyDescent="0.25">
      <c r="A22" s="1337"/>
      <c r="B22" s="488" t="str">
        <f>+'B) Reajuste Tarifas y Ocupación'!B18</f>
        <v>Jornada completa</v>
      </c>
      <c r="C22" s="1349"/>
      <c r="D22" s="1349"/>
      <c r="E22" s="1349"/>
      <c r="F22" s="1349"/>
      <c r="G22" s="1349"/>
      <c r="H22" s="1356"/>
      <c r="I22" s="1356"/>
      <c r="J22" s="1356"/>
      <c r="K22" s="1356"/>
      <c r="L22" s="1356"/>
      <c r="M22" s="1332"/>
      <c r="N22" s="1332"/>
      <c r="O22" s="1335"/>
      <c r="P22" s="1336"/>
      <c r="Q22" s="1349"/>
    </row>
    <row r="23" spans="1:19" ht="13.5" thickBot="1" x14ac:dyDescent="0.25"/>
    <row r="24" spans="1:19" ht="20.25" customHeight="1" thickBot="1" x14ac:dyDescent="0.25">
      <c r="A24" s="1350" t="s">
        <v>68</v>
      </c>
      <c r="B24" s="1351" t="s">
        <v>42</v>
      </c>
      <c r="C24" s="1190" t="s">
        <v>336</v>
      </c>
      <c r="D24" s="1190"/>
      <c r="E24" s="1190"/>
      <c r="F24" s="1190"/>
      <c r="G24" s="1190"/>
      <c r="H24" s="1352" t="s">
        <v>248</v>
      </c>
      <c r="I24" s="1352"/>
      <c r="J24" s="1352"/>
      <c r="K24" s="1352"/>
      <c r="L24" s="1352"/>
      <c r="M24" s="1353" t="s">
        <v>249</v>
      </c>
      <c r="N24" s="1353"/>
      <c r="O24" s="1354" t="s">
        <v>250</v>
      </c>
      <c r="P24" s="1355"/>
      <c r="Q24" s="1301" t="s">
        <v>251</v>
      </c>
    </row>
    <row r="25" spans="1:19" ht="84" customHeight="1" thickBot="1" x14ac:dyDescent="0.25">
      <c r="A25" s="1350"/>
      <c r="B25" s="1351"/>
      <c r="C25" s="74" t="s">
        <v>48</v>
      </c>
      <c r="D25" s="75" t="s">
        <v>49</v>
      </c>
      <c r="E25" s="75" t="s">
        <v>50</v>
      </c>
      <c r="F25" s="75" t="s">
        <v>51</v>
      </c>
      <c r="G25" s="77" t="s">
        <v>52</v>
      </c>
      <c r="H25" s="489" t="s">
        <v>48</v>
      </c>
      <c r="I25" s="490" t="s">
        <v>49</v>
      </c>
      <c r="J25" s="186" t="s">
        <v>50</v>
      </c>
      <c r="K25" s="490" t="s">
        <v>51</v>
      </c>
      <c r="L25" s="491" t="s">
        <v>52</v>
      </c>
      <c r="M25" s="477" t="s">
        <v>252</v>
      </c>
      <c r="N25" s="492" t="s">
        <v>253</v>
      </c>
      <c r="O25" s="477" t="s">
        <v>252</v>
      </c>
      <c r="P25" s="810" t="s">
        <v>253</v>
      </c>
      <c r="Q25" s="1301"/>
    </row>
    <row r="26" spans="1:19" ht="12.75" customHeight="1" thickBot="1" x14ac:dyDescent="0.25">
      <c r="A26" s="1340" t="str">
        <f>'B) Reajuste Tarifas y Ocupación'!A22</f>
        <v>Sala Cuna Caracolito de Mar</v>
      </c>
      <c r="B26" s="487" t="str">
        <f>+'B) Reajuste Tarifas y Ocupación'!B22</f>
        <v>Diurna</v>
      </c>
      <c r="C26" s="385">
        <f>+'B) Reajuste Tarifas y Ocupación'!M22</f>
        <v>347400</v>
      </c>
      <c r="D26" s="386">
        <f>+'B) Reajuste Tarifas y Ocupación'!N22</f>
        <v>469000</v>
      </c>
      <c r="E26" s="386">
        <f>+'B) Reajuste Tarifas y Ocupación'!O22</f>
        <v>486400</v>
      </c>
      <c r="F26" s="386">
        <f>+'B) Reajuste Tarifas y Ocupación'!P22</f>
        <v>434200</v>
      </c>
      <c r="G26" s="479">
        <f>+'B) Reajuste Tarifas y Ocupación'!Q22</f>
        <v>521100</v>
      </c>
      <c r="H26" s="480">
        <f>IFERROR(C26/$Q26,0)</f>
        <v>0.9539369808471202</v>
      </c>
      <c r="I26" s="481">
        <f>IFERROR(D26/$Q26,0)</f>
        <v>1.2878423834694859</v>
      </c>
      <c r="J26" s="481">
        <f>IFERROR(E26/$Q26,0)</f>
        <v>1.3356216104894625</v>
      </c>
      <c r="K26" s="481">
        <f>IFERROR(F26/$Q26,0)</f>
        <v>1.1922839294295324</v>
      </c>
      <c r="L26" s="493">
        <f>IFERROR(G26/$Q26,0)</f>
        <v>1.4309054712706804</v>
      </c>
      <c r="M26" s="502" t="s">
        <v>363</v>
      </c>
      <c r="N26" s="503">
        <v>371850</v>
      </c>
      <c r="O26" s="502" t="s">
        <v>364</v>
      </c>
      <c r="P26" s="811">
        <v>356500</v>
      </c>
      <c r="Q26" s="813">
        <f>AVERAGE(N26,P26)</f>
        <v>364175</v>
      </c>
    </row>
    <row r="27" spans="1:19" ht="12.75" customHeight="1" thickBot="1" x14ac:dyDescent="0.25">
      <c r="A27" s="1340"/>
      <c r="B27" s="478" t="str">
        <f>+'B) Reajuste Tarifas y Ocupación'!B23</f>
        <v>Nocturna</v>
      </c>
      <c r="C27" s="1341"/>
      <c r="D27" s="1341"/>
      <c r="E27" s="1341"/>
      <c r="F27" s="1341"/>
      <c r="G27" s="1341"/>
      <c r="H27" s="1342"/>
      <c r="I27" s="1342"/>
      <c r="J27" s="1342"/>
      <c r="K27" s="1342"/>
      <c r="L27" s="1343"/>
      <c r="M27" s="1346"/>
      <c r="N27" s="1347"/>
      <c r="O27" s="1346"/>
      <c r="P27" s="1348"/>
      <c r="Q27" s="815"/>
    </row>
    <row r="28" spans="1:19" ht="12.75" customHeight="1" thickBot="1" x14ac:dyDescent="0.25">
      <c r="A28" s="1340"/>
      <c r="B28" s="495" t="str">
        <f>+'B) Reajuste Tarifas y Ocupación'!B24</f>
        <v>Media Jornada</v>
      </c>
      <c r="C28" s="496">
        <f>+'B) Reajuste Tarifas y Ocupación'!M24</f>
        <v>208600</v>
      </c>
      <c r="D28" s="60">
        <f>+'B) Reajuste Tarifas y Ocupación'!N24</f>
        <v>281500</v>
      </c>
      <c r="E28" s="60">
        <f>+'B) Reajuste Tarifas y Ocupación'!O24</f>
        <v>292000</v>
      </c>
      <c r="F28" s="60">
        <f>+'B) Reajuste Tarifas y Ocupación'!P24</f>
        <v>312700</v>
      </c>
      <c r="G28" s="497">
        <f>+'B) Reajuste Tarifas y Ocupación'!Q24</f>
        <v>416900</v>
      </c>
      <c r="H28" s="484">
        <f t="shared" ref="H28:L29" si="6">IFERROR(C28/$Q28,0)</f>
        <v>0.60463768115942029</v>
      </c>
      <c r="I28" s="485">
        <f t="shared" si="6"/>
        <v>0.81594202898550727</v>
      </c>
      <c r="J28" s="485">
        <f t="shared" si="6"/>
        <v>0.84637681159420286</v>
      </c>
      <c r="K28" s="485">
        <f t="shared" si="6"/>
        <v>0.90637681159420291</v>
      </c>
      <c r="L28" s="498">
        <f t="shared" si="6"/>
        <v>1.2084057971014492</v>
      </c>
      <c r="M28" s="502" t="s">
        <v>370</v>
      </c>
      <c r="N28" s="503">
        <v>320000</v>
      </c>
      <c r="O28" s="502" t="s">
        <v>371</v>
      </c>
      <c r="P28" s="811">
        <v>370000</v>
      </c>
      <c r="Q28" s="813">
        <f>AVERAGE(N28,P28)</f>
        <v>345000</v>
      </c>
    </row>
    <row r="29" spans="1:19" ht="12.75" customHeight="1" thickBot="1" x14ac:dyDescent="0.25">
      <c r="A29" s="1337" t="str">
        <f>'B) Reajuste Tarifas y Ocupación'!A25</f>
        <v>Sala Cuna Mar Azul</v>
      </c>
      <c r="B29" s="487" t="str">
        <f>+'B) Reajuste Tarifas y Ocupación'!B25</f>
        <v>Diurna</v>
      </c>
      <c r="C29" s="385">
        <f>+'B) Reajuste Tarifas y Ocupación'!M25</f>
        <v>347400</v>
      </c>
      <c r="D29" s="386">
        <f>+'B) Reajuste Tarifas y Ocupación'!N25</f>
        <v>469000</v>
      </c>
      <c r="E29" s="386">
        <f>+'B) Reajuste Tarifas y Ocupación'!O25</f>
        <v>486400</v>
      </c>
      <c r="F29" s="386">
        <f>+'B) Reajuste Tarifas y Ocupación'!P25</f>
        <v>434200</v>
      </c>
      <c r="G29" s="479">
        <f>+'B) Reajuste Tarifas y Ocupación'!Q25</f>
        <v>521100</v>
      </c>
      <c r="H29" s="480">
        <f t="shared" si="6"/>
        <v>0.879493670886076</v>
      </c>
      <c r="I29" s="481">
        <f t="shared" si="6"/>
        <v>1.1873417721518988</v>
      </c>
      <c r="J29" s="481">
        <f t="shared" si="6"/>
        <v>1.2313924050632912</v>
      </c>
      <c r="K29" s="481">
        <f t="shared" si="6"/>
        <v>1.099240506329114</v>
      </c>
      <c r="L29" s="493">
        <f t="shared" si="6"/>
        <v>1.3192405063291139</v>
      </c>
      <c r="M29" s="502" t="s">
        <v>363</v>
      </c>
      <c r="N29" s="503">
        <v>380000</v>
      </c>
      <c r="O29" s="502" t="s">
        <v>364</v>
      </c>
      <c r="P29" s="811">
        <v>410000</v>
      </c>
      <c r="Q29" s="813">
        <f>AVERAGE(N29,P29)</f>
        <v>395000</v>
      </c>
    </row>
    <row r="30" spans="1:19" ht="12.75" customHeight="1" thickBot="1" x14ac:dyDescent="0.25">
      <c r="A30" s="1337"/>
      <c r="B30" s="478" t="str">
        <f>+'B) Reajuste Tarifas y Ocupación'!B26</f>
        <v>Nocturna</v>
      </c>
      <c r="C30" s="425">
        <f>+'B) Reajuste Tarifas y Ocupación'!M26</f>
        <v>280200</v>
      </c>
      <c r="D30" s="1286"/>
      <c r="E30" s="1286"/>
      <c r="F30" s="1286"/>
      <c r="G30" s="1286"/>
      <c r="H30" s="501">
        <f>IFERROR(C30/$Q30,0)</f>
        <v>0</v>
      </c>
      <c r="I30" s="1338"/>
      <c r="J30" s="1338"/>
      <c r="K30" s="1338"/>
      <c r="L30" s="1339"/>
      <c r="M30" s="502"/>
      <c r="N30" s="503">
        <v>0</v>
      </c>
      <c r="O30" s="502"/>
      <c r="P30" s="811">
        <v>0</v>
      </c>
      <c r="Q30" s="813">
        <f>AVERAGE(N30,P30)</f>
        <v>0</v>
      </c>
    </row>
    <row r="31" spans="1:19" ht="12.75" customHeight="1" thickBot="1" x14ac:dyDescent="0.25">
      <c r="A31" s="1337"/>
      <c r="B31" s="488" t="str">
        <f>+'B) Reajuste Tarifas y Ocupación'!B27</f>
        <v>Media Jornada</v>
      </c>
      <c r="C31" s="395">
        <f>+'B) Reajuste Tarifas y Ocupación'!M27</f>
        <v>208600</v>
      </c>
      <c r="D31" s="396">
        <f>+'B) Reajuste Tarifas y Ocupación'!N27</f>
        <v>281500</v>
      </c>
      <c r="E31" s="396">
        <f>+'B) Reajuste Tarifas y Ocupación'!O27</f>
        <v>292000</v>
      </c>
      <c r="F31" s="396">
        <f>+'B) Reajuste Tarifas y Ocupación'!P27</f>
        <v>312700</v>
      </c>
      <c r="G31" s="483">
        <f>+'B) Reajuste Tarifas y Ocupación'!Q27</f>
        <v>416900</v>
      </c>
      <c r="H31" s="484">
        <f>IFERROR(C31/$Q31,0)</f>
        <v>0</v>
      </c>
      <c r="I31" s="485">
        <f>IFERROR(D31/$Q31,0)</f>
        <v>0</v>
      </c>
      <c r="J31" s="485">
        <f>IFERROR(E31/$Q31,0)</f>
        <v>0</v>
      </c>
      <c r="K31" s="485">
        <f>IFERROR(F31/$Q31,0)</f>
        <v>0</v>
      </c>
      <c r="L31" s="498">
        <f>IFERROR(G31/$Q31,0)</f>
        <v>0</v>
      </c>
      <c r="M31" s="499"/>
      <c r="N31" s="500">
        <v>0</v>
      </c>
      <c r="O31" s="499"/>
      <c r="P31" s="812">
        <v>0</v>
      </c>
      <c r="Q31" s="816">
        <f>AVERAGE(N31,P31)</f>
        <v>0</v>
      </c>
    </row>
  </sheetData>
  <sheetProtection algorithmName="SHA-512" hashValue="BY/z/EP09NX7LizP1DhwVizCYZO4Y5rlV5f3bU/tAT6lA62AUkAclFzgUIqkEch8dP78SIwUOIpvSKKP0YugCw==" saltValue="s5ukl1cci4cw6AR/Lpdgww==" spinCount="100000" sheet="1" objects="1" scenarios="1"/>
  <mergeCells count="33">
    <mergeCell ref="D4:F4"/>
    <mergeCell ref="A7:O9"/>
    <mergeCell ref="A12:D12"/>
    <mergeCell ref="A14:A15"/>
    <mergeCell ref="B14:B15"/>
    <mergeCell ref="C14:G14"/>
    <mergeCell ref="H14:L14"/>
    <mergeCell ref="M14:N14"/>
    <mergeCell ref="O14:P14"/>
    <mergeCell ref="Q14:Q15"/>
    <mergeCell ref="A16:A17"/>
    <mergeCell ref="A18:A19"/>
    <mergeCell ref="M27:N27"/>
    <mergeCell ref="O27:P27"/>
    <mergeCell ref="Q21:Q22"/>
    <mergeCell ref="A24:A25"/>
    <mergeCell ref="B24:B25"/>
    <mergeCell ref="C24:G24"/>
    <mergeCell ref="H24:L24"/>
    <mergeCell ref="M24:N24"/>
    <mergeCell ref="O24:P24"/>
    <mergeCell ref="Q24:Q25"/>
    <mergeCell ref="A21:A22"/>
    <mergeCell ref="C21:G22"/>
    <mergeCell ref="H21:L22"/>
    <mergeCell ref="M21:N22"/>
    <mergeCell ref="O21:P22"/>
    <mergeCell ref="A29:A31"/>
    <mergeCell ref="D30:G30"/>
    <mergeCell ref="I30:L30"/>
    <mergeCell ref="A26:A28"/>
    <mergeCell ref="C27:G27"/>
    <mergeCell ref="H27:L27"/>
  </mergeCells>
  <pageMargins left="0.7" right="0.7" top="0.75" bottom="0.75" header="0.51180555555555496" footer="0.51180555555555496"/>
  <pageSetup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66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17</vt:i4>
      </vt:variant>
    </vt:vector>
  </HeadingPairs>
  <TitlesOfParts>
    <vt:vector size="28" baseType="lpstr">
      <vt:lpstr>Instrucciones</vt:lpstr>
      <vt:lpstr>Índice Tablas</vt:lpstr>
      <vt:lpstr>A) Resumen Ingresos y Egresos</vt:lpstr>
      <vt:lpstr>B) Reajuste Tarifas y Ocupación</vt:lpstr>
      <vt:lpstr>C) Costos Directos</vt:lpstr>
      <vt:lpstr>D) Costos Indirectos</vt:lpstr>
      <vt:lpstr>E) Resumen Tarifado </vt:lpstr>
      <vt:lpstr>F) Remuneraciones</vt:lpstr>
      <vt:lpstr>G) Comparación Mercado</vt:lpstr>
      <vt:lpstr>H) Detalle Datos</vt:lpstr>
      <vt:lpstr>I) Proyección Mensual</vt:lpstr>
      <vt:lpstr>__xlnm_Print_Area</vt:lpstr>
      <vt:lpstr>__xlnm_Print_Area_1</vt:lpstr>
      <vt:lpstr>__xlnm_Print_Area_2</vt:lpstr>
      <vt:lpstr>__xlnm_Print_Titles</vt:lpstr>
      <vt:lpstr>__xlnm_Print_Titles_1</vt:lpstr>
      <vt:lpstr>'A) Resumen Ingresos y Egresos'!Área_de_impresión</vt:lpstr>
      <vt:lpstr>'C) Costos Directos'!Área_de_impresión</vt:lpstr>
      <vt:lpstr>'E) Resumen Tarifado '!Área_de_impresión</vt:lpstr>
      <vt:lpstr>bienique1</vt:lpstr>
      <vt:lpstr>'C) Costos Directos'!Excel_BuiltIn_Print_Area</vt:lpstr>
      <vt:lpstr>'A) Resumen Ingresos y Egresos'!Print_Area_0</vt:lpstr>
      <vt:lpstr>'C) Costos Directos'!Print_Area_0</vt:lpstr>
      <vt:lpstr>'E) Resumen Tarifado '!Print_Area_0</vt:lpstr>
      <vt:lpstr>'A) Resumen Ingresos y Egresos'!Print_Titles_0</vt:lpstr>
      <vt:lpstr>'C) Costos Directos'!Print_Titles_0</vt:lpstr>
      <vt:lpstr>'A) Resumen Ingresos y Egresos'!Títulos_a_imprimir</vt:lpstr>
      <vt:lpstr>'C) Costos Directos'!Títulos_a_imprimir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cverall@armada.cl</dc:creator>
  <cp:lastModifiedBy>340 Loreto Mondaca</cp:lastModifiedBy>
  <cp:revision>17</cp:revision>
  <cp:lastPrinted>2022-09-13T14:19:10Z</cp:lastPrinted>
  <dcterms:created xsi:type="dcterms:W3CDTF">2017-05-11T00:45:10Z</dcterms:created>
  <dcterms:modified xsi:type="dcterms:W3CDTF">2022-11-08T13:52:56Z</dcterms:modified>
  <dc:language>es-CL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