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G:\Documentos\2024\TARIFAS 2025\TARIFAS 2025 A. EDUCACIONAL\4. PROPUESTA DIREBIEN TARIFAS 2025 A. EDUCACIONAL APROBADAS - copia\"/>
    </mc:Choice>
  </mc:AlternateContent>
  <xr:revisionPtr revIDLastSave="0" documentId="13_ncr:1_{D5000E8D-CEA4-45E3-B2E1-C54A77F51D51}" xr6:coauthVersionLast="47" xr6:coauthVersionMax="47" xr10:uidLastSave="{00000000-0000-0000-0000-000000000000}"/>
  <bookViews>
    <workbookView xWindow="-120" yWindow="-120" windowWidth="29040" windowHeight="15840" tabRatio="929" firstSheet="2" activeTab="3" xr2:uid="{00000000-000D-0000-FFFF-FFFF00000000}"/>
  </bookViews>
  <sheets>
    <sheet name="Instrucciones" sheetId="18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definedNames>
    <definedName name="__xlnm_Print_Area">'A) Resumen Ingresos y Egresos'!$A$1:$N$30</definedName>
    <definedName name="__xlnm_Print_Area_1">'C) Costos Directos'!$A$1:$H$38</definedName>
    <definedName name="__xlnm_Print_Area_2">'E) Resumen Tarifado '!$A$4:$G$12</definedName>
    <definedName name="__xlnm_Print_Titles">'A) Resumen Ingresos y Egresos'!$1:$20</definedName>
    <definedName name="__xlnm_Print_Titles_1">'C) Costos Directos'!$1:$11</definedName>
    <definedName name="__xlnm_Print_Titles_2">NA()</definedName>
    <definedName name="_xlnm.Print_Area" localSheetId="2">'A) Resumen Ingresos y Egresos'!$A$1:$N$30</definedName>
    <definedName name="_xlnm.Print_Area" localSheetId="4">'C) Costos Directos'!$A$1:$H$75</definedName>
    <definedName name="_xlnm.Print_Area" localSheetId="5">'D) Costos Indirectos'!$U$13:$W$81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Egresos'!$1:$20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G13" i="12" l="1"/>
  <c r="J84" i="13" l="1"/>
  <c r="K84" i="13" s="1"/>
  <c r="J83" i="13"/>
  <c r="K83" i="13" s="1"/>
  <c r="J82" i="13"/>
  <c r="K82" i="13" s="1"/>
  <c r="J81" i="13"/>
  <c r="K81" i="13" s="1"/>
  <c r="J80" i="13"/>
  <c r="K80" i="13" s="1"/>
  <c r="W78" i="13"/>
  <c r="K77" i="13"/>
  <c r="J77" i="13"/>
  <c r="K76" i="13"/>
  <c r="J76" i="13"/>
  <c r="K75" i="13"/>
  <c r="J75" i="13"/>
  <c r="K74" i="13"/>
  <c r="J74" i="13"/>
  <c r="K73" i="13"/>
  <c r="J73" i="13"/>
  <c r="W70" i="13"/>
  <c r="J69" i="13"/>
  <c r="K69" i="13" s="1"/>
  <c r="J68" i="13"/>
  <c r="K68" i="13" s="1"/>
  <c r="J67" i="13"/>
  <c r="K67" i="13" s="1"/>
  <c r="J66" i="13"/>
  <c r="K66" i="13" s="1"/>
  <c r="J65" i="13"/>
  <c r="K65" i="13" s="1"/>
  <c r="S61" i="13"/>
  <c r="K61" i="13"/>
  <c r="J61" i="13"/>
  <c r="W60" i="13"/>
  <c r="S60" i="13"/>
  <c r="J60" i="13"/>
  <c r="K60" i="13" s="1"/>
  <c r="S59" i="13"/>
  <c r="J59" i="13"/>
  <c r="K59" i="13" s="1"/>
  <c r="R59" i="13" s="1"/>
  <c r="S58" i="13"/>
  <c r="J58" i="13"/>
  <c r="K58" i="13" s="1"/>
  <c r="S57" i="13"/>
  <c r="J57" i="13"/>
  <c r="K57" i="13" s="1"/>
  <c r="R57" i="13" s="1"/>
  <c r="S56" i="13"/>
  <c r="J56" i="13"/>
  <c r="K56" i="13" s="1"/>
  <c r="S55" i="13"/>
  <c r="J55" i="13"/>
  <c r="K55" i="13" s="1"/>
  <c r="R55" i="13" s="1"/>
  <c r="S54" i="13"/>
  <c r="J54" i="13"/>
  <c r="K54" i="13" s="1"/>
  <c r="S53" i="13"/>
  <c r="J53" i="13"/>
  <c r="K53" i="13" s="1"/>
  <c r="R53" i="13" s="1"/>
  <c r="S52" i="13"/>
  <c r="J52" i="13"/>
  <c r="K52" i="13" s="1"/>
  <c r="S51" i="13"/>
  <c r="J51" i="13"/>
  <c r="K51" i="13" s="1"/>
  <c r="R51" i="13" s="1"/>
  <c r="S50" i="13"/>
  <c r="J50" i="13"/>
  <c r="K50" i="13" s="1"/>
  <c r="W49" i="13"/>
  <c r="S49" i="13"/>
  <c r="J49" i="13"/>
  <c r="K49" i="13" s="1"/>
  <c r="N49" i="13" s="1"/>
  <c r="S48" i="13"/>
  <c r="J48" i="13"/>
  <c r="K48" i="13" s="1"/>
  <c r="S47" i="13"/>
  <c r="J47" i="13"/>
  <c r="K47" i="13" s="1"/>
  <c r="N47" i="13" s="1"/>
  <c r="W46" i="13"/>
  <c r="S46" i="13"/>
  <c r="J46" i="13"/>
  <c r="K46" i="13" s="1"/>
  <c r="R46" i="13" s="1"/>
  <c r="S45" i="13"/>
  <c r="J45" i="13"/>
  <c r="K45" i="13" s="1"/>
  <c r="S44" i="13"/>
  <c r="J44" i="13"/>
  <c r="K44" i="13" s="1"/>
  <c r="P44" i="13" s="1"/>
  <c r="S43" i="13"/>
  <c r="J43" i="13"/>
  <c r="K43" i="13" s="1"/>
  <c r="S42" i="13"/>
  <c r="J42" i="13"/>
  <c r="K42" i="13" s="1"/>
  <c r="R42" i="13" s="1"/>
  <c r="W41" i="13"/>
  <c r="S41" i="13"/>
  <c r="G41" i="13"/>
  <c r="J41" i="13" s="1"/>
  <c r="K41" i="13" s="1"/>
  <c r="W40" i="13"/>
  <c r="S40" i="13"/>
  <c r="G40" i="13"/>
  <c r="J40" i="13" s="1"/>
  <c r="K40" i="13" s="1"/>
  <c r="R40" i="13" s="1"/>
  <c r="S39" i="13"/>
  <c r="J39" i="13"/>
  <c r="K39" i="13" s="1"/>
  <c r="S38" i="13"/>
  <c r="J38" i="13"/>
  <c r="K38" i="13" s="1"/>
  <c r="P38" i="13" s="1"/>
  <c r="S37" i="13"/>
  <c r="J37" i="13"/>
  <c r="K37" i="13" s="1"/>
  <c r="S36" i="13"/>
  <c r="N36" i="13"/>
  <c r="J36" i="13"/>
  <c r="K36" i="13" s="1"/>
  <c r="R36" i="13" s="1"/>
  <c r="S35" i="13"/>
  <c r="K35" i="13"/>
  <c r="P35" i="13" s="1"/>
  <c r="J35" i="13"/>
  <c r="G35" i="13"/>
  <c r="S34" i="13"/>
  <c r="J34" i="13"/>
  <c r="K34" i="13" s="1"/>
  <c r="S33" i="13"/>
  <c r="J33" i="13"/>
  <c r="K33" i="13" s="1"/>
  <c r="R33" i="13" s="1"/>
  <c r="S32" i="13"/>
  <c r="K32" i="13"/>
  <c r="N32" i="13" s="1"/>
  <c r="J32" i="13"/>
  <c r="S31" i="13"/>
  <c r="K31" i="13"/>
  <c r="R31" i="13" s="1"/>
  <c r="J31" i="13"/>
  <c r="S30" i="13"/>
  <c r="J30" i="13"/>
  <c r="K30" i="13" s="1"/>
  <c r="S29" i="13"/>
  <c r="J29" i="13"/>
  <c r="K29" i="13" s="1"/>
  <c r="R29" i="13" s="1"/>
  <c r="S28" i="13"/>
  <c r="J28" i="13"/>
  <c r="K28" i="13" s="1"/>
  <c r="S27" i="13"/>
  <c r="J27" i="13"/>
  <c r="K27" i="13" s="1"/>
  <c r="S26" i="13"/>
  <c r="J26" i="13"/>
  <c r="K26" i="13" s="1"/>
  <c r="S25" i="13"/>
  <c r="K25" i="13"/>
  <c r="R25" i="13" s="1"/>
  <c r="G25" i="13"/>
  <c r="J25" i="13" s="1"/>
  <c r="S24" i="13"/>
  <c r="R24" i="13"/>
  <c r="N24" i="13"/>
  <c r="K24" i="13"/>
  <c r="P24" i="13" s="1"/>
  <c r="J24" i="13"/>
  <c r="S23" i="13"/>
  <c r="R23" i="13"/>
  <c r="J23" i="13"/>
  <c r="K23" i="13" s="1"/>
  <c r="P23" i="13" s="1"/>
  <c r="S22" i="13"/>
  <c r="J22" i="13"/>
  <c r="K22" i="13" s="1"/>
  <c r="S21" i="13"/>
  <c r="J21" i="13"/>
  <c r="K21" i="13" s="1"/>
  <c r="R21" i="13" s="1"/>
  <c r="W20" i="13"/>
  <c r="S20" i="13"/>
  <c r="K20" i="13"/>
  <c r="R20" i="13" s="1"/>
  <c r="J20" i="13"/>
  <c r="S19" i="13"/>
  <c r="J19" i="13"/>
  <c r="K19" i="13" s="1"/>
  <c r="G19" i="13"/>
  <c r="S18" i="13"/>
  <c r="G18" i="13"/>
  <c r="J18" i="13" s="1"/>
  <c r="K18" i="13" s="1"/>
  <c r="S17" i="13"/>
  <c r="G17" i="13"/>
  <c r="J17" i="13" s="1"/>
  <c r="K17" i="13" s="1"/>
  <c r="W16" i="13"/>
  <c r="S16" i="13"/>
  <c r="G16" i="13"/>
  <c r="J16" i="13" s="1"/>
  <c r="K16" i="13" s="1"/>
  <c r="W15" i="13"/>
  <c r="S15" i="13"/>
  <c r="G15" i="13"/>
  <c r="J15" i="13" s="1"/>
  <c r="K15" i="13" s="1"/>
  <c r="E4" i="13"/>
  <c r="N28" i="13" l="1"/>
  <c r="P28" i="13"/>
  <c r="R28" i="13"/>
  <c r="R16" i="13"/>
  <c r="P16" i="13"/>
  <c r="N16" i="13"/>
  <c r="R27" i="13"/>
  <c r="P27" i="13"/>
  <c r="N27" i="13"/>
  <c r="P39" i="13"/>
  <c r="N39" i="13"/>
  <c r="R39" i="13"/>
  <c r="N31" i="13"/>
  <c r="N35" i="13"/>
  <c r="R44" i="13"/>
  <c r="P49" i="13"/>
  <c r="K85" i="13"/>
  <c r="N20" i="13"/>
  <c r="P20" i="13"/>
  <c r="P31" i="13"/>
  <c r="R35" i="13"/>
  <c r="N42" i="13"/>
  <c r="P47" i="13"/>
  <c r="R49" i="13"/>
  <c r="R38" i="13"/>
  <c r="P42" i="13"/>
  <c r="R47" i="13"/>
  <c r="W80" i="13"/>
  <c r="N21" i="13"/>
  <c r="P32" i="13"/>
  <c r="P36" i="13"/>
  <c r="P46" i="13"/>
  <c r="P21" i="13"/>
  <c r="R32" i="13"/>
  <c r="K78" i="13"/>
  <c r="R17" i="13"/>
  <c r="P17" i="13"/>
  <c r="N17" i="13"/>
  <c r="N34" i="13"/>
  <c r="R34" i="13"/>
  <c r="P34" i="13"/>
  <c r="P37" i="13"/>
  <c r="R37" i="13"/>
  <c r="N37" i="13"/>
  <c r="N19" i="13"/>
  <c r="R19" i="13"/>
  <c r="P19" i="13"/>
  <c r="P22" i="13"/>
  <c r="R22" i="13"/>
  <c r="N22" i="13"/>
  <c r="N30" i="13"/>
  <c r="R30" i="13"/>
  <c r="P30" i="13"/>
  <c r="P50" i="13"/>
  <c r="N50" i="13"/>
  <c r="R50" i="13"/>
  <c r="P52" i="13"/>
  <c r="N52" i="13"/>
  <c r="R52" i="13"/>
  <c r="P54" i="13"/>
  <c r="N54" i="13"/>
  <c r="R54" i="13"/>
  <c r="P56" i="13"/>
  <c r="N56" i="13"/>
  <c r="R56" i="13"/>
  <c r="P58" i="13"/>
  <c r="N58" i="13"/>
  <c r="R58" i="13"/>
  <c r="P60" i="13"/>
  <c r="N60" i="13"/>
  <c r="R60" i="13"/>
  <c r="N18" i="13"/>
  <c r="R18" i="13"/>
  <c r="P18" i="13"/>
  <c r="N26" i="13"/>
  <c r="R26" i="13"/>
  <c r="P26" i="13"/>
  <c r="R41" i="13"/>
  <c r="N41" i="13"/>
  <c r="P41" i="13"/>
  <c r="P43" i="13"/>
  <c r="R43" i="13"/>
  <c r="N43" i="13"/>
  <c r="P15" i="13"/>
  <c r="N15" i="13"/>
  <c r="R15" i="13"/>
  <c r="K62" i="13"/>
  <c r="P45" i="13"/>
  <c r="N45" i="13"/>
  <c r="R45" i="13"/>
  <c r="K70" i="13"/>
  <c r="R48" i="13"/>
  <c r="P48" i="13"/>
  <c r="N29" i="13"/>
  <c r="N33" i="13"/>
  <c r="N40" i="13"/>
  <c r="N48" i="13"/>
  <c r="N55" i="13"/>
  <c r="N23" i="13"/>
  <c r="P25" i="13"/>
  <c r="P29" i="13"/>
  <c r="P33" i="13"/>
  <c r="N38" i="13"/>
  <c r="P40" i="13"/>
  <c r="N44" i="13"/>
  <c r="P51" i="13"/>
  <c r="P53" i="13"/>
  <c r="P55" i="13"/>
  <c r="P57" i="13"/>
  <c r="P59" i="13"/>
  <c r="R61" i="13"/>
  <c r="P61" i="13"/>
  <c r="N25" i="13"/>
  <c r="N51" i="13"/>
  <c r="N53" i="13"/>
  <c r="N57" i="13"/>
  <c r="N59" i="13"/>
  <c r="N46" i="13"/>
  <c r="N61" i="13"/>
  <c r="N62" i="13" l="1"/>
  <c r="R62" i="13"/>
  <c r="P62" i="13"/>
  <c r="M62" i="13" l="1"/>
  <c r="Z15" i="13" s="1"/>
  <c r="AG15" i="13" s="1"/>
  <c r="AH15" i="13" s="1"/>
  <c r="AA15" i="13"/>
  <c r="AC15" i="13"/>
  <c r="O62" i="13"/>
  <c r="AB15" i="13" s="1"/>
  <c r="AI15" i="13" s="1"/>
  <c r="AJ15" i="13" s="1"/>
  <c r="AP15" i="13" s="1"/>
  <c r="Q62" i="13"/>
  <c r="AD15" i="13" s="1"/>
  <c r="AK15" i="13" s="1"/>
  <c r="AL15" i="13" s="1"/>
  <c r="AE15" i="13"/>
  <c r="AR15" i="13" l="1"/>
  <c r="AN15" i="13"/>
  <c r="E74" i="3" l="1"/>
  <c r="M36" i="3"/>
  <c r="D105" i="3" l="1"/>
  <c r="G23" i="12"/>
  <c r="G12" i="12"/>
  <c r="G11" i="12"/>
  <c r="E84" i="3"/>
  <c r="E83" i="3"/>
  <c r="E20" i="3"/>
  <c r="E19" i="3"/>
  <c r="H27" i="7" l="1"/>
  <c r="M17" i="7" l="1"/>
  <c r="M15" i="7"/>
  <c r="M14" i="7"/>
  <c r="M12" i="7"/>
  <c r="H11" i="12" l="1"/>
  <c r="K11" i="12" s="1"/>
  <c r="J23" i="16" l="1"/>
  <c r="B23" i="16"/>
  <c r="C18" i="16"/>
  <c r="D18" i="16"/>
  <c r="E18" i="16"/>
  <c r="F18" i="16"/>
  <c r="G18" i="16"/>
  <c r="H18" i="16"/>
  <c r="I18" i="16"/>
  <c r="J18" i="16"/>
  <c r="K18" i="16"/>
  <c r="L18" i="16"/>
  <c r="M18" i="16"/>
  <c r="B18" i="16"/>
  <c r="J11" i="16"/>
  <c r="B11" i="16"/>
  <c r="C6" i="16"/>
  <c r="D6" i="16"/>
  <c r="E6" i="16"/>
  <c r="F6" i="16"/>
  <c r="G6" i="16"/>
  <c r="H6" i="16"/>
  <c r="I6" i="16"/>
  <c r="J6" i="16"/>
  <c r="K6" i="16"/>
  <c r="L6" i="16"/>
  <c r="M6" i="16"/>
  <c r="B6" i="16"/>
  <c r="H12" i="12"/>
  <c r="K12" i="12" s="1"/>
  <c r="H13" i="12"/>
  <c r="K13" i="12" s="1"/>
  <c r="H14" i="12"/>
  <c r="K14" i="12" s="1"/>
  <c r="H15" i="12"/>
  <c r="K15" i="12" s="1"/>
  <c r="H16" i="12"/>
  <c r="K16" i="12" s="1"/>
  <c r="H17" i="12"/>
  <c r="K17" i="12" s="1"/>
  <c r="H18" i="12"/>
  <c r="K18" i="12" s="1"/>
  <c r="H19" i="12"/>
  <c r="K19" i="12" s="1"/>
  <c r="H20" i="12"/>
  <c r="K20" i="12" s="1"/>
  <c r="H21" i="12"/>
  <c r="K21" i="12" s="1"/>
  <c r="H22" i="12"/>
  <c r="K22" i="12" s="1"/>
  <c r="H23" i="12"/>
  <c r="K23" i="12" s="1"/>
  <c r="H24" i="12"/>
  <c r="K24" i="12" s="1"/>
  <c r="H25" i="12"/>
  <c r="K25" i="12" s="1"/>
  <c r="H26" i="12"/>
  <c r="K26" i="12" s="1"/>
  <c r="H27" i="12"/>
  <c r="K27" i="12" s="1"/>
  <c r="H28" i="12"/>
  <c r="K28" i="12" s="1"/>
  <c r="H29" i="12"/>
  <c r="K29" i="12" s="1"/>
  <c r="H30" i="12"/>
  <c r="K30" i="12" s="1"/>
  <c r="R15" i="5"/>
  <c r="R13" i="5"/>
  <c r="H28" i="7"/>
  <c r="H26" i="7"/>
  <c r="H25" i="7"/>
  <c r="H24" i="7"/>
  <c r="H23" i="7"/>
  <c r="B27" i="7"/>
  <c r="M23" i="16" l="1"/>
  <c r="N23" i="16" s="1"/>
  <c r="D22" i="16"/>
  <c r="K10" i="16"/>
  <c r="K22" i="16"/>
  <c r="E10" i="16"/>
  <c r="J10" i="16"/>
  <c r="B22" i="16"/>
  <c r="J22" i="16"/>
  <c r="F22" i="16"/>
  <c r="G22" i="16"/>
  <c r="G10" i="16"/>
  <c r="M22" i="16"/>
  <c r="I22" i="16"/>
  <c r="E22" i="16"/>
  <c r="C10" i="16"/>
  <c r="C22" i="16"/>
  <c r="B10" i="16"/>
  <c r="F10" i="16"/>
  <c r="L22" i="16"/>
  <c r="H22" i="16"/>
  <c r="L11" i="12"/>
  <c r="I10" i="16"/>
  <c r="L10" i="16"/>
  <c r="H10" i="16"/>
  <c r="D10" i="16"/>
  <c r="M10" i="16"/>
  <c r="M11" i="16"/>
  <c r="N11" i="16" s="1"/>
  <c r="I28" i="7"/>
  <c r="I25" i="7"/>
  <c r="N10" i="16" l="1"/>
  <c r="N22" i="16"/>
  <c r="F125" i="3"/>
  <c r="F17" i="16"/>
  <c r="G17" i="16"/>
  <c r="K17" i="16"/>
  <c r="I17" i="16"/>
  <c r="H17" i="16"/>
  <c r="L17" i="16"/>
  <c r="E17" i="16"/>
  <c r="M17" i="16"/>
  <c r="J17" i="16"/>
  <c r="D17" i="16"/>
  <c r="F61" i="3"/>
  <c r="F5" i="16"/>
  <c r="G5" i="16"/>
  <c r="K5" i="16"/>
  <c r="L5" i="16"/>
  <c r="J5" i="16"/>
  <c r="D5" i="16"/>
  <c r="H5" i="16"/>
  <c r="E5" i="16"/>
  <c r="I5" i="16"/>
  <c r="M5" i="16"/>
  <c r="I17" i="7"/>
  <c r="J17" i="7"/>
  <c r="K17" i="7"/>
  <c r="L17" i="7"/>
  <c r="I15" i="7"/>
  <c r="J15" i="7"/>
  <c r="K15" i="7"/>
  <c r="L15" i="7"/>
  <c r="Q15" i="7" l="1"/>
  <c r="Q17" i="7"/>
  <c r="P15" i="7"/>
  <c r="P17" i="7"/>
  <c r="N15" i="7"/>
  <c r="N17" i="7"/>
  <c r="T15" i="5"/>
  <c r="O17" i="7"/>
  <c r="T13" i="5"/>
  <c r="O15" i="7"/>
  <c r="S15" i="5"/>
  <c r="V15" i="5"/>
  <c r="U15" i="5"/>
  <c r="S13" i="5"/>
  <c r="V13" i="5"/>
  <c r="U13" i="5"/>
  <c r="L15" i="5" l="1"/>
  <c r="K15" i="5"/>
  <c r="J15" i="5"/>
  <c r="I15" i="5"/>
  <c r="H15" i="5"/>
  <c r="L13" i="5"/>
  <c r="K13" i="5"/>
  <c r="J13" i="5"/>
  <c r="I13" i="5"/>
  <c r="H13" i="5"/>
  <c r="J38" i="2" l="1"/>
  <c r="E38" i="2" s="1"/>
  <c r="K38" i="2"/>
  <c r="F38" i="2" s="1"/>
  <c r="L38" i="2"/>
  <c r="G38" i="2" s="1"/>
  <c r="M38" i="2"/>
  <c r="H38" i="2" s="1"/>
  <c r="I38" i="2"/>
  <c r="J35" i="2"/>
  <c r="K35" i="2"/>
  <c r="L35" i="2"/>
  <c r="M35" i="2"/>
  <c r="I35" i="2"/>
  <c r="J32" i="2"/>
  <c r="K32" i="2"/>
  <c r="L32" i="2"/>
  <c r="M32" i="2"/>
  <c r="B31" i="12" l="1"/>
  <c r="B23" i="12"/>
  <c r="G138" i="3"/>
  <c r="G137" i="3" s="1"/>
  <c r="D137" i="3"/>
  <c r="G136" i="3"/>
  <c r="G135" i="3"/>
  <c r="G134" i="3"/>
  <c r="G133" i="3"/>
  <c r="G132" i="3"/>
  <c r="G131" i="3"/>
  <c r="G130" i="3"/>
  <c r="G128" i="3"/>
  <c r="G127" i="3"/>
  <c r="G126" i="3"/>
  <c r="G125" i="3"/>
  <c r="H125" i="3" s="1"/>
  <c r="G124" i="3"/>
  <c r="G123" i="3"/>
  <c r="G122" i="3"/>
  <c r="G121" i="3"/>
  <c r="G119" i="3"/>
  <c r="G118" i="3"/>
  <c r="G117" i="3"/>
  <c r="G116" i="3"/>
  <c r="G115" i="3"/>
  <c r="G114" i="3"/>
  <c r="G113" i="3"/>
  <c r="G112" i="3"/>
  <c r="G110" i="3"/>
  <c r="G109" i="3" s="1"/>
  <c r="G108" i="3"/>
  <c r="G107" i="3"/>
  <c r="G106" i="3"/>
  <c r="G105" i="3"/>
  <c r="H105" i="3" s="1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 s="1"/>
  <c r="G84" i="3"/>
  <c r="H84" i="3" s="1"/>
  <c r="G83" i="3"/>
  <c r="H83" i="3" s="1"/>
  <c r="G81" i="3"/>
  <c r="H81" i="3" s="1"/>
  <c r="G80" i="3"/>
  <c r="H80" i="3" s="1"/>
  <c r="G79" i="3"/>
  <c r="H79" i="3" s="1"/>
  <c r="G78" i="3"/>
  <c r="G129" i="3" l="1"/>
  <c r="G77" i="3"/>
  <c r="G111" i="3"/>
  <c r="H138" i="3"/>
  <c r="H137" i="3" s="1"/>
  <c r="G104" i="3"/>
  <c r="G120" i="3"/>
  <c r="H106" i="3"/>
  <c r="G82" i="3"/>
  <c r="G76" i="3" s="1"/>
  <c r="G139" i="3" s="1"/>
  <c r="D39" i="2" l="1"/>
  <c r="J36" i="2"/>
  <c r="D36" i="2"/>
  <c r="M36" i="2"/>
  <c r="G35" i="2"/>
  <c r="G36" i="2" s="1"/>
  <c r="K36" i="2"/>
  <c r="F35" i="2"/>
  <c r="F36" i="2" s="1"/>
  <c r="E35" i="2"/>
  <c r="E36" i="2" s="1"/>
  <c r="D33" i="2"/>
  <c r="H35" i="2" l="1"/>
  <c r="H36" i="2" s="1"/>
  <c r="L36" i="2"/>
  <c r="N21" i="3"/>
  <c r="O21" i="3"/>
  <c r="D86" i="3" s="1"/>
  <c r="N22" i="3"/>
  <c r="D23" i="3" s="1"/>
  <c r="O22" i="3"/>
  <c r="D87" i="3" s="1"/>
  <c r="H87" i="3" s="1"/>
  <c r="N23" i="3"/>
  <c r="O23" i="3"/>
  <c r="D88" i="3" s="1"/>
  <c r="H88" i="3" s="1"/>
  <c r="N24" i="3"/>
  <c r="D25" i="3" s="1"/>
  <c r="O24" i="3"/>
  <c r="D89" i="3" s="1"/>
  <c r="H89" i="3" s="1"/>
  <c r="N25" i="3"/>
  <c r="D26" i="3" s="1"/>
  <c r="O25" i="3"/>
  <c r="N26" i="3"/>
  <c r="O26" i="3"/>
  <c r="D91" i="3" s="1"/>
  <c r="H91" i="3" s="1"/>
  <c r="N27" i="3"/>
  <c r="O27" i="3"/>
  <c r="D92" i="3" s="1"/>
  <c r="H92" i="3" s="1"/>
  <c r="N28" i="3"/>
  <c r="O28" i="3"/>
  <c r="D93" i="3" s="1"/>
  <c r="H93" i="3" s="1"/>
  <c r="N29" i="3"/>
  <c r="O29" i="3"/>
  <c r="D94" i="3" s="1"/>
  <c r="H94" i="3" s="1"/>
  <c r="N30" i="3"/>
  <c r="O30" i="3"/>
  <c r="D95" i="3" s="1"/>
  <c r="H95" i="3" s="1"/>
  <c r="N31" i="3"/>
  <c r="O31" i="3"/>
  <c r="D96" i="3" s="1"/>
  <c r="H96" i="3" s="1"/>
  <c r="N32" i="3"/>
  <c r="O32" i="3"/>
  <c r="N33" i="3"/>
  <c r="D34" i="3" s="1"/>
  <c r="O33" i="3"/>
  <c r="D98" i="3" s="1"/>
  <c r="H98" i="3" s="1"/>
  <c r="N34" i="3"/>
  <c r="O34" i="3"/>
  <c r="D99" i="3" s="1"/>
  <c r="H99" i="3" s="1"/>
  <c r="N35" i="3"/>
  <c r="O35" i="3"/>
  <c r="D100" i="3" s="1"/>
  <c r="H100" i="3" s="1"/>
  <c r="N36" i="3"/>
  <c r="O36" i="3"/>
  <c r="D101" i="3" s="1"/>
  <c r="H101" i="3" s="1"/>
  <c r="N37" i="3"/>
  <c r="O37" i="3"/>
  <c r="D102" i="3" s="1"/>
  <c r="H102" i="3" s="1"/>
  <c r="N40" i="3"/>
  <c r="O40" i="3"/>
  <c r="D107" i="3" s="1"/>
  <c r="N41" i="3"/>
  <c r="O41" i="3"/>
  <c r="D108" i="3" s="1"/>
  <c r="H108" i="3" s="1"/>
  <c r="N43" i="3"/>
  <c r="D46" i="3" s="1"/>
  <c r="O43" i="3"/>
  <c r="D110" i="3" s="1"/>
  <c r="N45" i="3"/>
  <c r="D48" i="3" s="1"/>
  <c r="O45" i="3"/>
  <c r="D112" i="3" s="1"/>
  <c r="N46" i="3"/>
  <c r="O46" i="3"/>
  <c r="D113" i="3" s="1"/>
  <c r="H113" i="3" s="1"/>
  <c r="N47" i="3"/>
  <c r="O47" i="3"/>
  <c r="D114" i="3" s="1"/>
  <c r="H114" i="3" s="1"/>
  <c r="N48" i="3"/>
  <c r="O48" i="3"/>
  <c r="D115" i="3" s="1"/>
  <c r="H115" i="3" s="1"/>
  <c r="N49" i="3"/>
  <c r="O49" i="3"/>
  <c r="D116" i="3" s="1"/>
  <c r="H116" i="3" s="1"/>
  <c r="N50" i="3"/>
  <c r="O50" i="3"/>
  <c r="D117" i="3" s="1"/>
  <c r="H117" i="3" s="1"/>
  <c r="N51" i="3"/>
  <c r="O51" i="3"/>
  <c r="D118" i="3" s="1"/>
  <c r="H118" i="3" s="1"/>
  <c r="N52" i="3"/>
  <c r="O52" i="3"/>
  <c r="D119" i="3" s="1"/>
  <c r="H119" i="3" s="1"/>
  <c r="N54" i="3"/>
  <c r="O54" i="3"/>
  <c r="D121" i="3" s="1"/>
  <c r="H121" i="3" s="1"/>
  <c r="N55" i="3"/>
  <c r="O55" i="3"/>
  <c r="D122" i="3" s="1"/>
  <c r="N56" i="3"/>
  <c r="O56" i="3"/>
  <c r="N57" i="3"/>
  <c r="O57" i="3"/>
  <c r="D124" i="3" s="1"/>
  <c r="H124" i="3" s="1"/>
  <c r="N58" i="3"/>
  <c r="O58" i="3"/>
  <c r="D126" i="3" s="1"/>
  <c r="H126" i="3" s="1"/>
  <c r="N59" i="3"/>
  <c r="O59" i="3"/>
  <c r="D127" i="3" s="1"/>
  <c r="H127" i="3" s="1"/>
  <c r="N60" i="3"/>
  <c r="D64" i="3" s="1"/>
  <c r="O60" i="3"/>
  <c r="N62" i="3"/>
  <c r="O62" i="3"/>
  <c r="D130" i="3" s="1"/>
  <c r="N63" i="3"/>
  <c r="O63" i="3"/>
  <c r="D131" i="3" s="1"/>
  <c r="H131" i="3" s="1"/>
  <c r="N64" i="3"/>
  <c r="O64" i="3"/>
  <c r="D132" i="3" s="1"/>
  <c r="H132" i="3" s="1"/>
  <c r="N65" i="3"/>
  <c r="O65" i="3"/>
  <c r="D133" i="3" s="1"/>
  <c r="H133" i="3" s="1"/>
  <c r="N66" i="3"/>
  <c r="O66" i="3"/>
  <c r="D134" i="3" s="1"/>
  <c r="H134" i="3" s="1"/>
  <c r="N67" i="3"/>
  <c r="O67" i="3"/>
  <c r="D135" i="3" s="1"/>
  <c r="H135" i="3" s="1"/>
  <c r="N68" i="3"/>
  <c r="O68" i="3"/>
  <c r="D136" i="3" s="1"/>
  <c r="H136" i="3" s="1"/>
  <c r="D90" i="3" l="1"/>
  <c r="H90" i="3" s="1"/>
  <c r="D123" i="3"/>
  <c r="H123" i="3" s="1"/>
  <c r="D97" i="3"/>
  <c r="D82" i="3" s="1"/>
  <c r="D128" i="3"/>
  <c r="H128" i="3" s="1"/>
  <c r="H112" i="3"/>
  <c r="H111" i="3" s="1"/>
  <c r="D111" i="3"/>
  <c r="H86" i="3"/>
  <c r="H130" i="3"/>
  <c r="H129" i="3" s="1"/>
  <c r="D129" i="3"/>
  <c r="H122" i="3"/>
  <c r="D109" i="3"/>
  <c r="H110" i="3"/>
  <c r="H109" i="3" s="1"/>
  <c r="H107" i="3"/>
  <c r="H104" i="3" s="1"/>
  <c r="D104" i="3"/>
  <c r="G21" i="1"/>
  <c r="G19" i="1"/>
  <c r="D201" i="3"/>
  <c r="D193" i="3"/>
  <c r="D184" i="3"/>
  <c r="D175" i="3"/>
  <c r="D173" i="3"/>
  <c r="D172" i="3"/>
  <c r="D171" i="3"/>
  <c r="A19" i="1"/>
  <c r="B19" i="1"/>
  <c r="Q19" i="1"/>
  <c r="B20" i="1"/>
  <c r="Q20" i="1"/>
  <c r="B21" i="1"/>
  <c r="C21" i="1"/>
  <c r="Q21" i="1"/>
  <c r="A13" i="5"/>
  <c r="B13" i="5"/>
  <c r="C13" i="5"/>
  <c r="M13" i="5" s="1"/>
  <c r="B14" i="5"/>
  <c r="B15" i="5"/>
  <c r="C15" i="5"/>
  <c r="M15" i="5" s="1"/>
  <c r="D67" i="3"/>
  <c r="D68" i="3"/>
  <c r="D69" i="3"/>
  <c r="D70" i="3"/>
  <c r="D72" i="3"/>
  <c r="D66" i="3"/>
  <c r="D63" i="3"/>
  <c r="D62" i="3"/>
  <c r="D58" i="3"/>
  <c r="D59" i="3"/>
  <c r="D60" i="3"/>
  <c r="D57" i="3"/>
  <c r="D55" i="3"/>
  <c r="D54" i="3"/>
  <c r="D49" i="3"/>
  <c r="D50" i="3"/>
  <c r="D51" i="3"/>
  <c r="D52" i="3"/>
  <c r="D44" i="3"/>
  <c r="D43" i="3"/>
  <c r="D38" i="3"/>
  <c r="D36" i="3"/>
  <c r="D37" i="3"/>
  <c r="D35" i="3"/>
  <c r="D27" i="3"/>
  <c r="D28" i="3"/>
  <c r="D29" i="3"/>
  <c r="D32" i="3"/>
  <c r="D33" i="3"/>
  <c r="D24" i="3"/>
  <c r="D22" i="3"/>
  <c r="D30" i="3"/>
  <c r="D31" i="3"/>
  <c r="D53" i="3"/>
  <c r="D71" i="3"/>
  <c r="F21" i="1"/>
  <c r="E21" i="1"/>
  <c r="D15" i="5"/>
  <c r="N15" i="5" s="1"/>
  <c r="F19" i="1"/>
  <c r="E13" i="5"/>
  <c r="O13" i="5" s="1"/>
  <c r="D13" i="5"/>
  <c r="N13" i="5" s="1"/>
  <c r="B34" i="2"/>
  <c r="B31" i="2"/>
  <c r="E32" i="2"/>
  <c r="F32" i="2"/>
  <c r="G32" i="2"/>
  <c r="H32" i="2"/>
  <c r="I32" i="2"/>
  <c r="B37" i="2"/>
  <c r="A31" i="2"/>
  <c r="A20" i="16" s="1"/>
  <c r="B26" i="7"/>
  <c r="B28" i="7"/>
  <c r="B23" i="7"/>
  <c r="A26" i="7"/>
  <c r="H97" i="3" l="1"/>
  <c r="H82" i="3" s="1"/>
  <c r="H120" i="3"/>
  <c r="H103" i="3" s="1"/>
  <c r="D120" i="3"/>
  <c r="D40" i="3"/>
  <c r="H21" i="1"/>
  <c r="P40" i="2"/>
  <c r="G15" i="5"/>
  <c r="Q15" i="5" s="1"/>
  <c r="J21" i="1"/>
  <c r="D168" i="3"/>
  <c r="D167" i="3" s="1"/>
  <c r="F15" i="5"/>
  <c r="P15" i="5" s="1"/>
  <c r="D103" i="3"/>
  <c r="J138" i="3"/>
  <c r="F13" i="5"/>
  <c r="P13" i="5" s="1"/>
  <c r="E19" i="1"/>
  <c r="J19" i="1" s="1"/>
  <c r="J20" i="1"/>
  <c r="D18" i="3"/>
  <c r="G13" i="5"/>
  <c r="Q13" i="5" s="1"/>
  <c r="D21" i="1"/>
  <c r="I21" i="1" s="1"/>
  <c r="K20" i="1"/>
  <c r="E15" i="5"/>
  <c r="O15" i="5" s="1"/>
  <c r="D19" i="1"/>
  <c r="I19" i="1" s="1"/>
  <c r="L23" i="12"/>
  <c r="D78" i="3" s="1"/>
  <c r="L21" i="1"/>
  <c r="L20" i="1"/>
  <c r="K21" i="1"/>
  <c r="H20" i="1"/>
  <c r="I20" i="1"/>
  <c r="K19" i="1"/>
  <c r="L19" i="1"/>
  <c r="D40" i="2"/>
  <c r="A23" i="7"/>
  <c r="J37" i="2"/>
  <c r="J31" i="2"/>
  <c r="J39" i="2" l="1"/>
  <c r="E37" i="2"/>
  <c r="E39" i="2" s="1"/>
  <c r="H78" i="3"/>
  <c r="H77" i="3" s="1"/>
  <c r="H76" i="3" s="1"/>
  <c r="H139" i="3" s="1"/>
  <c r="D77" i="3"/>
  <c r="D76" i="3" s="1"/>
  <c r="D139" i="3" s="1"/>
  <c r="J33" i="2"/>
  <c r="E31" i="2"/>
  <c r="E33" i="2" s="1"/>
  <c r="E40" i="2" s="1"/>
  <c r="N36" i="2"/>
  <c r="I31" i="2"/>
  <c r="I33" i="2" s="1"/>
  <c r="K31" i="2"/>
  <c r="L31" i="2"/>
  <c r="M31" i="2"/>
  <c r="M33" i="2" s="1"/>
  <c r="I36" i="2"/>
  <c r="L37" i="2"/>
  <c r="I37" i="2"/>
  <c r="I39" i="2" s="1"/>
  <c r="K37" i="2"/>
  <c r="M37" i="2"/>
  <c r="G202" i="3"/>
  <c r="G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4" i="3"/>
  <c r="G173" i="3" s="1"/>
  <c r="G172" i="3"/>
  <c r="H172" i="3" s="1"/>
  <c r="G171" i="3"/>
  <c r="H171" i="3" s="1"/>
  <c r="G170" i="3"/>
  <c r="H170" i="3" s="1"/>
  <c r="G169" i="3"/>
  <c r="H169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D146" i="3"/>
  <c r="G145" i="3"/>
  <c r="H145" i="3" s="1"/>
  <c r="G144" i="3"/>
  <c r="H144" i="3" s="1"/>
  <c r="G143" i="3"/>
  <c r="H143" i="3" s="1"/>
  <c r="G142" i="3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D65" i="3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H42" i="3" s="1"/>
  <c r="G41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G17" i="3"/>
  <c r="H17" i="3" s="1"/>
  <c r="G16" i="3"/>
  <c r="H16" i="3" s="1"/>
  <c r="G15" i="3"/>
  <c r="H15" i="3" s="1"/>
  <c r="G14" i="3"/>
  <c r="J139" i="3" l="1"/>
  <c r="C24" i="16"/>
  <c r="G24" i="16"/>
  <c r="K24" i="16"/>
  <c r="D24" i="16"/>
  <c r="H24" i="16"/>
  <c r="L24" i="16"/>
  <c r="E24" i="16"/>
  <c r="I24" i="16"/>
  <c r="M24" i="16"/>
  <c r="F24" i="16"/>
  <c r="J24" i="16"/>
  <c r="B24" i="16"/>
  <c r="J40" i="2"/>
  <c r="L39" i="2"/>
  <c r="G37" i="2"/>
  <c r="G39" i="2" s="1"/>
  <c r="M39" i="2"/>
  <c r="H37" i="2"/>
  <c r="K39" i="2"/>
  <c r="F37" i="2"/>
  <c r="F39" i="2" s="1"/>
  <c r="L33" i="2"/>
  <c r="G31" i="2"/>
  <c r="G33" i="2" s="1"/>
  <c r="K33" i="2"/>
  <c r="F31" i="2"/>
  <c r="F33" i="2" s="1"/>
  <c r="G13" i="3"/>
  <c r="G18" i="3"/>
  <c r="H41" i="3"/>
  <c r="H40" i="3" s="1"/>
  <c r="G40" i="3"/>
  <c r="D39" i="3"/>
  <c r="I40" i="2"/>
  <c r="H31" i="2"/>
  <c r="H33" i="2" s="1"/>
  <c r="G193" i="3"/>
  <c r="G141" i="3"/>
  <c r="G168" i="3"/>
  <c r="G175" i="3"/>
  <c r="G146" i="3"/>
  <c r="G56" i="3"/>
  <c r="G65" i="3"/>
  <c r="G184" i="3"/>
  <c r="O36" i="2"/>
  <c r="D142" i="3"/>
  <c r="H142" i="3" s="1"/>
  <c r="H141" i="3" s="1"/>
  <c r="H168" i="3"/>
  <c r="H175" i="3"/>
  <c r="H194" i="3"/>
  <c r="H193" i="3" s="1"/>
  <c r="H147" i="3"/>
  <c r="H146" i="3" s="1"/>
  <c r="H174" i="3"/>
  <c r="H173" i="3" s="1"/>
  <c r="H185" i="3"/>
  <c r="H184" i="3" s="1"/>
  <c r="H202" i="3"/>
  <c r="H201" i="3" s="1"/>
  <c r="H47" i="3"/>
  <c r="G47" i="3"/>
  <c r="H66" i="3"/>
  <c r="H19" i="3"/>
  <c r="H18" i="3" s="1"/>
  <c r="H46" i="3"/>
  <c r="H45" i="3" s="1"/>
  <c r="H57" i="3"/>
  <c r="H56" i="3" s="1"/>
  <c r="H74" i="3"/>
  <c r="H73" i="3" s="1"/>
  <c r="F40" i="2" l="1"/>
  <c r="N24" i="16"/>
  <c r="K40" i="2"/>
  <c r="D141" i="3"/>
  <c r="D140" i="3" s="1"/>
  <c r="D203" i="3" s="1"/>
  <c r="O39" i="2"/>
  <c r="L40" i="2"/>
  <c r="H39" i="2"/>
  <c r="N39" i="2" s="1"/>
  <c r="J74" i="3"/>
  <c r="F10" i="2"/>
  <c r="Q36" i="2"/>
  <c r="M40" i="2"/>
  <c r="J202" i="3"/>
  <c r="G167" i="3"/>
  <c r="G12" i="3"/>
  <c r="H140" i="3"/>
  <c r="G140" i="3"/>
  <c r="G40" i="2"/>
  <c r="N33" i="2"/>
  <c r="O33" i="2"/>
  <c r="H65" i="3"/>
  <c r="H39" i="3" s="1"/>
  <c r="H167" i="3"/>
  <c r="Q39" i="2" l="1"/>
  <c r="H40" i="2"/>
  <c r="G203" i="3"/>
  <c r="J206" i="3"/>
  <c r="O40" i="2"/>
  <c r="C10" i="2"/>
  <c r="N40" i="2"/>
  <c r="B10" i="2"/>
  <c r="G75" i="3"/>
  <c r="H203" i="3"/>
  <c r="J203" i="3" s="1"/>
  <c r="Q33" i="2"/>
  <c r="D21" i="16" l="1"/>
  <c r="D25" i="16" s="1"/>
  <c r="H21" i="16"/>
  <c r="H25" i="16" s="1"/>
  <c r="L21" i="16"/>
  <c r="L25" i="16" s="1"/>
  <c r="E21" i="16"/>
  <c r="E25" i="16" s="1"/>
  <c r="I21" i="16"/>
  <c r="I25" i="16" s="1"/>
  <c r="M21" i="16"/>
  <c r="M25" i="16" s="1"/>
  <c r="F21" i="16"/>
  <c r="F25" i="16" s="1"/>
  <c r="J21" i="16"/>
  <c r="J25" i="16" s="1"/>
  <c r="B21" i="16"/>
  <c r="C21" i="16"/>
  <c r="C25" i="16" s="1"/>
  <c r="G21" i="16"/>
  <c r="G25" i="16" s="1"/>
  <c r="K21" i="16"/>
  <c r="K25" i="16" s="1"/>
  <c r="Q40" i="2"/>
  <c r="E10" i="2"/>
  <c r="N21" i="16" l="1"/>
  <c r="N25" i="16" s="1"/>
  <c r="B25" i="16"/>
  <c r="E204" i="3"/>
  <c r="F204" i="3"/>
  <c r="G204" i="3"/>
  <c r="J25" i="2" l="1"/>
  <c r="K25" i="2"/>
  <c r="L25" i="2"/>
  <c r="M25" i="2"/>
  <c r="I25" i="2"/>
  <c r="Q17" i="1"/>
  <c r="B17" i="1"/>
  <c r="H11" i="5"/>
  <c r="I11" i="5"/>
  <c r="J11" i="5"/>
  <c r="K11" i="5"/>
  <c r="L11" i="5"/>
  <c r="B11" i="5"/>
  <c r="P24" i="2"/>
  <c r="B24" i="7" l="1"/>
  <c r="B25" i="7"/>
  <c r="P26" i="2" l="1"/>
  <c r="G25" i="2"/>
  <c r="E25" i="2"/>
  <c r="F25" i="2" l="1"/>
  <c r="D25" i="2"/>
  <c r="H25" i="2"/>
  <c r="I12" i="7" l="1"/>
  <c r="N12" i="7" l="1"/>
  <c r="Q16" i="1"/>
  <c r="R12" i="5"/>
  <c r="R10" i="5"/>
  <c r="H12" i="5"/>
  <c r="I12" i="5"/>
  <c r="J12" i="5"/>
  <c r="K12" i="5"/>
  <c r="L12" i="5"/>
  <c r="J10" i="5"/>
  <c r="K10" i="5"/>
  <c r="L10" i="5"/>
  <c r="I22" i="2" l="1"/>
  <c r="I21" i="2" l="1"/>
  <c r="C12" i="5" l="1"/>
  <c r="M12" i="5" s="1"/>
  <c r="C18" i="1"/>
  <c r="D16" i="1"/>
  <c r="I16" i="1" s="1"/>
  <c r="S10" i="5"/>
  <c r="L14" i="7"/>
  <c r="K14" i="7"/>
  <c r="J14" i="7"/>
  <c r="I14" i="7"/>
  <c r="L12" i="7"/>
  <c r="K12" i="7"/>
  <c r="O14" i="7" l="1"/>
  <c r="N14" i="7"/>
  <c r="P12" i="7"/>
  <c r="P14" i="7"/>
  <c r="Q12" i="7"/>
  <c r="Q14" i="7"/>
  <c r="U10" i="5"/>
  <c r="V10" i="5"/>
  <c r="U12" i="5"/>
  <c r="V12" i="5"/>
  <c r="S12" i="5"/>
  <c r="T12" i="5"/>
  <c r="P21" i="2"/>
  <c r="F16" i="1" l="1"/>
  <c r="K16" i="1" s="1"/>
  <c r="G16" i="1"/>
  <c r="L16" i="1" s="1"/>
  <c r="E12" i="5"/>
  <c r="O12" i="5" s="1"/>
  <c r="E18" i="1"/>
  <c r="G12" i="5"/>
  <c r="Q12" i="5" s="1"/>
  <c r="G18" i="1"/>
  <c r="D12" i="5"/>
  <c r="N12" i="5" s="1"/>
  <c r="D18" i="1"/>
  <c r="F12" i="5"/>
  <c r="P12" i="5" s="1"/>
  <c r="F18" i="1"/>
  <c r="L21" i="2"/>
  <c r="P27" i="2"/>
  <c r="P29" i="2" s="1"/>
  <c r="P23" i="2" l="1"/>
  <c r="P30" i="2" s="1"/>
  <c r="K28" i="2" l="1"/>
  <c r="F28" i="2" s="1"/>
  <c r="K22" i="2"/>
  <c r="F22" i="2" s="1"/>
  <c r="J12" i="7"/>
  <c r="O12" i="7" l="1"/>
  <c r="P41" i="2"/>
  <c r="B9" i="16"/>
  <c r="T10" i="5"/>
  <c r="K21" i="2" l="1"/>
  <c r="F21" i="2" s="1"/>
  <c r="F23" i="2" s="1"/>
  <c r="E16" i="1"/>
  <c r="J16" i="1" s="1"/>
  <c r="E10" i="5"/>
  <c r="O10" i="5" s="1"/>
  <c r="K23" i="2"/>
  <c r="K27" i="2" l="1"/>
  <c r="D9" i="2"/>
  <c r="D12" i="2" s="1"/>
  <c r="F27" i="2" l="1"/>
  <c r="F29" i="2" s="1"/>
  <c r="K29" i="2"/>
  <c r="E4" i="12"/>
  <c r="B11" i="12"/>
  <c r="D14" i="3" l="1"/>
  <c r="L37" i="12" l="1"/>
  <c r="C16" i="1"/>
  <c r="H16" i="1" s="1"/>
  <c r="D13" i="3" l="1"/>
  <c r="D12" i="3" s="1"/>
  <c r="H14" i="3"/>
  <c r="H13" i="3" s="1"/>
  <c r="H12" i="3" s="1"/>
  <c r="H75" i="3" s="1"/>
  <c r="J28" i="2"/>
  <c r="E28" i="2" s="1"/>
  <c r="L28" i="2"/>
  <c r="M28" i="2"/>
  <c r="I28" i="2"/>
  <c r="I27" i="2"/>
  <c r="D27" i="2" s="1"/>
  <c r="J22" i="2"/>
  <c r="E22" i="2" s="1"/>
  <c r="L22" i="2"/>
  <c r="G22" i="2" s="1"/>
  <c r="M22" i="2"/>
  <c r="D22" i="2"/>
  <c r="B27" i="2"/>
  <c r="B21" i="2"/>
  <c r="I10" i="5"/>
  <c r="H10" i="5"/>
  <c r="B12" i="5"/>
  <c r="B18" i="1"/>
  <c r="B16" i="1"/>
  <c r="M27" i="2"/>
  <c r="H27" i="2" s="1"/>
  <c r="M21" i="2"/>
  <c r="H21" i="2" s="1"/>
  <c r="D21" i="2"/>
  <c r="A16" i="1"/>
  <c r="C8" i="2"/>
  <c r="B8" i="2"/>
  <c r="E12" i="16" l="1"/>
  <c r="I12" i="16"/>
  <c r="M12" i="16"/>
  <c r="H12" i="16"/>
  <c r="F12" i="16"/>
  <c r="J12" i="16"/>
  <c r="D12" i="16"/>
  <c r="G12" i="16"/>
  <c r="K12" i="16"/>
  <c r="C12" i="16"/>
  <c r="L12" i="16"/>
  <c r="B12" i="16"/>
  <c r="J75" i="3"/>
  <c r="J207" i="3" s="1"/>
  <c r="H204" i="3"/>
  <c r="D23" i="2"/>
  <c r="H22" i="2"/>
  <c r="M23" i="2"/>
  <c r="D28" i="2"/>
  <c r="I29" i="2"/>
  <c r="H28" i="2"/>
  <c r="M29" i="2"/>
  <c r="G28" i="2"/>
  <c r="I23" i="2"/>
  <c r="G21" i="2"/>
  <c r="L23" i="2"/>
  <c r="L27" i="2"/>
  <c r="L29" i="2" s="1"/>
  <c r="F10" i="5"/>
  <c r="P10" i="5" s="1"/>
  <c r="C10" i="5"/>
  <c r="M10" i="5" s="1"/>
  <c r="G10" i="5"/>
  <c r="Q10" i="5" s="1"/>
  <c r="N12" i="16" l="1"/>
  <c r="B13" i="16"/>
  <c r="G27" i="2"/>
  <c r="J4" i="9" l="1"/>
  <c r="Q18" i="1" l="1"/>
  <c r="H18" i="1" l="1"/>
  <c r="I18" i="1"/>
  <c r="J18" i="1"/>
  <c r="K18" i="1"/>
  <c r="L18" i="1"/>
  <c r="G4" i="5"/>
  <c r="D4" i="1"/>
  <c r="B10" i="5" l="1"/>
  <c r="A10" i="5"/>
  <c r="A21" i="2" l="1"/>
  <c r="A8" i="16" s="1"/>
  <c r="A9" i="2"/>
  <c r="A12" i="3"/>
  <c r="A9" i="5" l="1"/>
  <c r="B9" i="5"/>
  <c r="G23" i="2" l="1"/>
  <c r="H23" i="2"/>
  <c r="G29" i="2"/>
  <c r="D29" i="2"/>
  <c r="H29" i="2"/>
  <c r="F9" i="2" l="1"/>
  <c r="F12" i="2" l="1"/>
  <c r="J27" i="2"/>
  <c r="G10" i="2" l="1"/>
  <c r="H10" i="2" s="1"/>
  <c r="G9" i="2"/>
  <c r="J29" i="2"/>
  <c r="E27" i="2"/>
  <c r="E29" i="2" s="1"/>
  <c r="H9" i="2" l="1"/>
  <c r="H12" i="2" s="1"/>
  <c r="G12" i="2"/>
  <c r="N29" i="2"/>
  <c r="O29" i="2"/>
  <c r="L11" i="2" l="1"/>
  <c r="L10" i="2"/>
  <c r="L9" i="2"/>
  <c r="Q29" i="2"/>
  <c r="L12" i="2" l="1"/>
  <c r="D10" i="5"/>
  <c r="N10" i="5" s="1"/>
  <c r="J21" i="2"/>
  <c r="J23" i="2" s="1"/>
  <c r="E21" i="2" l="1"/>
  <c r="E23" i="2" s="1"/>
  <c r="O23" i="2"/>
  <c r="N23" i="2" l="1"/>
  <c r="Q23" i="2" l="1"/>
  <c r="I10" i="2" l="1"/>
  <c r="D75" i="3" l="1"/>
  <c r="D204" i="3" s="1"/>
  <c r="L13" i="7" l="1"/>
  <c r="M13" i="7"/>
  <c r="I13" i="7"/>
  <c r="R11" i="5"/>
  <c r="K13" i="7"/>
  <c r="J13" i="7"/>
  <c r="P13" i="7" l="1"/>
  <c r="Q13" i="7"/>
  <c r="I24" i="2"/>
  <c r="I26" i="2" s="1"/>
  <c r="C11" i="5"/>
  <c r="M11" i="5" s="1"/>
  <c r="L24" i="2"/>
  <c r="F17" i="1"/>
  <c r="K17" i="1" s="1"/>
  <c r="F11" i="5"/>
  <c r="P11" i="5" s="1"/>
  <c r="U11" i="5"/>
  <c r="S11" i="5"/>
  <c r="O13" i="7"/>
  <c r="N13" i="7"/>
  <c r="T11" i="5"/>
  <c r="C17" i="1"/>
  <c r="H17" i="1" s="1"/>
  <c r="V11" i="5"/>
  <c r="G17" i="1" l="1"/>
  <c r="L17" i="1" s="1"/>
  <c r="D24" i="2"/>
  <c r="D26" i="2" s="1"/>
  <c r="D30" i="2" s="1"/>
  <c r="D41" i="2" s="1"/>
  <c r="G11" i="5"/>
  <c r="Q11" i="5" s="1"/>
  <c r="M24" i="2"/>
  <c r="M26" i="2" s="1"/>
  <c r="M30" i="2" s="1"/>
  <c r="M41" i="2" s="1"/>
  <c r="L26" i="2"/>
  <c r="L30" i="2" s="1"/>
  <c r="L41" i="2" s="1"/>
  <c r="G24" i="2"/>
  <c r="G26" i="2" s="1"/>
  <c r="G30" i="2" s="1"/>
  <c r="G41" i="2" s="1"/>
  <c r="J24" i="2"/>
  <c r="D11" i="5"/>
  <c r="N11" i="5" s="1"/>
  <c r="D17" i="1"/>
  <c r="I17" i="1" s="1"/>
  <c r="E17" i="1"/>
  <c r="J17" i="1" s="1"/>
  <c r="K24" i="2"/>
  <c r="E11" i="5"/>
  <c r="O11" i="5" s="1"/>
  <c r="I30" i="2"/>
  <c r="I41" i="2" s="1"/>
  <c r="H24" i="2" l="1"/>
  <c r="H26" i="2" s="1"/>
  <c r="H30" i="2" s="1"/>
  <c r="H41" i="2" s="1"/>
  <c r="F24" i="2"/>
  <c r="F26" i="2" s="1"/>
  <c r="F30" i="2" s="1"/>
  <c r="F41" i="2" s="1"/>
  <c r="K26" i="2"/>
  <c r="K30" i="2" s="1"/>
  <c r="K41" i="2" s="1"/>
  <c r="J26" i="2"/>
  <c r="E24" i="2"/>
  <c r="E26" i="2" s="1"/>
  <c r="J30" i="2" l="1"/>
  <c r="J41" i="2" s="1"/>
  <c r="O26" i="2"/>
  <c r="O30" i="2" s="1"/>
  <c r="E30" i="2"/>
  <c r="E41" i="2" s="1"/>
  <c r="N26" i="2"/>
  <c r="Q26" i="2" l="1"/>
  <c r="Q30" i="2" s="1"/>
  <c r="Q41" i="2" s="1"/>
  <c r="N30" i="2"/>
  <c r="O41" i="2"/>
  <c r="E9" i="16"/>
  <c r="E13" i="16" s="1"/>
  <c r="H9" i="16"/>
  <c r="H13" i="16" s="1"/>
  <c r="M9" i="16"/>
  <c r="M13" i="16" s="1"/>
  <c r="F9" i="16"/>
  <c r="F13" i="16" s="1"/>
  <c r="G9" i="16"/>
  <c r="G13" i="16" s="1"/>
  <c r="L9" i="16"/>
  <c r="L13" i="16" s="1"/>
  <c r="K9" i="16"/>
  <c r="K13" i="16" s="1"/>
  <c r="C9" i="2"/>
  <c r="I9" i="16"/>
  <c r="I13" i="16" s="1"/>
  <c r="J9" i="16"/>
  <c r="J13" i="16" s="1"/>
  <c r="C12" i="2" l="1"/>
  <c r="N41" i="2"/>
  <c r="C9" i="16"/>
  <c r="B9" i="2"/>
  <c r="D9" i="16"/>
  <c r="D13" i="16" s="1"/>
  <c r="N9" i="16" l="1"/>
  <c r="N13" i="16" s="1"/>
  <c r="C13" i="16"/>
  <c r="B12" i="2"/>
  <c r="E9" i="2"/>
  <c r="I9" i="2" l="1"/>
  <c r="E12" i="2"/>
  <c r="I12" i="2" l="1"/>
</calcChain>
</file>

<file path=xl/sharedStrings.xml><?xml version="1.0" encoding="utf-8"?>
<sst xmlns="http://schemas.openxmlformats.org/spreadsheetml/2006/main" count="771" uniqueCount="330">
  <si>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</si>
  <si>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</si>
  <si>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</si>
  <si>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</si>
  <si>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</si>
  <si>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</si>
  <si>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</si>
  <si>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</si>
  <si>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</si>
  <si>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</si>
  <si>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</si>
  <si>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</si>
  <si>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</si>
  <si>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</si>
  <si>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</si>
  <si>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</si>
  <si>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</si>
  <si>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</si>
  <si>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</si>
  <si>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</si>
  <si>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</si>
  <si>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</si>
  <si>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</si>
  <si>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</si>
  <si>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</si>
  <si>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</si>
  <si>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</si>
  <si>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</si>
  <si>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</si>
  <si>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</si>
  <si>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</si>
  <si>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</si>
  <si>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</si>
  <si>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</si>
  <si>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</si>
  <si>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</si>
  <si>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</si>
  <si>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</si>
  <si>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</si>
  <si>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</si>
  <si>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</si>
  <si>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</si>
  <si>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</si>
  <si>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</si>
  <si>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</si>
  <si>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</si>
  <si>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</si>
  <si>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</si>
  <si>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</si>
  <si>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</si>
  <si>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</si>
  <si>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</si>
  <si>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</si>
  <si>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</si>
  <si>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</si>
  <si>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</si>
  <si>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</si>
  <si>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</si>
  <si>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</si>
  <si>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</si>
  <si>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</si>
  <si>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</si>
  <si>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</si>
  <si>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</si>
  <si>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</si>
  <si>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</si>
  <si>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</si>
  <si>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</si>
  <si>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</si>
  <si>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</si>
  <si>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</si>
  <si>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</si>
  <si>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</si>
  <si>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</si>
  <si>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</si>
  <si>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</si>
  <si>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</si>
  <si>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</si>
  <si>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</si>
  <si>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</si>
  <si>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</si>
  <si>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</si>
  <si>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</si>
  <si>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</si>
  <si>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</si>
  <si>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</si>
  <si>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</si>
  <si>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</si>
  <si>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</si>
  <si>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</si>
  <si>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</si>
  <si>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</si>
  <si>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</si>
  <si>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</si>
  <si>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</si>
  <si>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</si>
  <si>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</si>
  <si>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</si>
  <si>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</si>
  <si>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</si>
  <si>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</si>
  <si>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</si>
  <si>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</si>
  <si>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</si>
  <si>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</si>
  <si>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</si>
  <si>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</si>
  <si>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</si>
  <si>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</si>
  <si>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</si>
  <si>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</si>
  <si>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</si>
  <si>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</si>
  <si>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</si>
  <si>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</si>
  <si>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</si>
  <si>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</si>
  <si>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</si>
  <si>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</si>
  <si>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</si>
  <si>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</si>
  <si>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</si>
  <si>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</si>
  <si>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</si>
  <si>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</si>
  <si>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</si>
  <si>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</si>
  <si>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</si>
  <si>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</si>
  <si>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</si>
  <si>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</si>
  <si>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</si>
  <si>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</si>
  <si>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</si>
  <si>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Jardines Infantiles</t>
  </si>
  <si>
    <t>Ej: Encargado Informática</t>
  </si>
  <si>
    <t>Ej: Encargado RR.HH.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</si>
  <si>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</si>
  <si>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</si>
  <si>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</si>
  <si>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</si>
  <si>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</si>
  <si>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</si>
  <si>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</si>
  <si>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</si>
  <si>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</si>
  <si>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</si>
  <si>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</si>
  <si>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</si>
  <si>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</si>
  <si>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</si>
  <si>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</si>
  <si>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</si>
  <si>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</si>
  <si>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</si>
  <si>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</si>
  <si>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</si>
  <si>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</si>
  <si>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</si>
  <si>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</si>
  <si>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</si>
  <si>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</si>
  <si>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</si>
  <si>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</si>
  <si>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</si>
  <si>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</si>
  <si>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</si>
  <si>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</si>
  <si>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</si>
  <si>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</si>
  <si>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</si>
  <si>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</si>
  <si>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</si>
  <si>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</si>
  <si>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</si>
  <si>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</si>
  <si>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</si>
  <si>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</si>
  <si>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</si>
  <si>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</si>
  <si>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</si>
  <si>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</si>
  <si>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</si>
  <si>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</si>
  <si>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</si>
  <si>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</si>
  <si>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</si>
  <si>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</si>
  <si>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</si>
  <si>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</si>
  <si>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</si>
  <si>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</si>
  <si>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</si>
  <si>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</si>
  <si>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</si>
  <si>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</si>
  <si>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</si>
  <si>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</si>
  <si>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</si>
  <si>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</si>
  <si>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</si>
  <si>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</si>
  <si>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</si>
  <si>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</si>
  <si>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</si>
  <si>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</si>
  <si>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</si>
  <si>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</si>
  <si>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</si>
  <si>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</si>
  <si>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</si>
  <si>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 xml:space="preserve">C) ESTIMACION DE COSTOS DIRECTOS 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</si>
  <si>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</si>
  <si>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</si>
  <si>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</si>
  <si>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</si>
  <si>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</si>
  <si>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</si>
  <si>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TOTAL AFL</t>
  </si>
  <si>
    <t>TOTAL PAF</t>
  </si>
  <si>
    <t>Gasto Total Empresa</t>
  </si>
  <si>
    <t>Media Jornada</t>
  </si>
  <si>
    <t>Nocturna</t>
  </si>
  <si>
    <t>Diurna</t>
  </si>
  <si>
    <t>TOTAL</t>
  </si>
  <si>
    <t>Sala Cuna ABC</t>
  </si>
  <si>
    <t>Jardín Infantil Pequeños Héroes</t>
  </si>
  <si>
    <t>Sala Cuna Pequeños Héroes</t>
  </si>
  <si>
    <t>JI (70%)</t>
  </si>
  <si>
    <t>SC (30%)</t>
  </si>
  <si>
    <t xml:space="preserve"> COSTOS DIRECTOS COMUNES  "JARDIN INFANTIL Y SALA CUNA PEQUEÑOS HÉROES"</t>
  </si>
  <si>
    <t>Sala Cuna Pequeños Héroes Diurna</t>
  </si>
  <si>
    <t>Sala Cuna Pequeños Héroes Nocturna</t>
  </si>
  <si>
    <t>SUPLENCIAS Y REEMPLAZOS (EC o PAC)</t>
  </si>
  <si>
    <t>CALZADO DE PERSONAL DE COCINA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</si>
  <si>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</si>
  <si>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</si>
  <si>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</si>
  <si>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</si>
  <si>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</si>
  <si>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</si>
  <si>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</si>
  <si>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</si>
  <si>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</si>
  <si>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</si>
  <si>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</si>
  <si>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</si>
  <si>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</si>
  <si>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</si>
  <si>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BONOS CÓDIGO DEL TRABAJO</t>
  </si>
  <si>
    <t>COSTOS  DE OPERACION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</si>
  <si>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</si>
  <si>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</si>
  <si>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</si>
  <si>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</si>
  <si>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</si>
  <si>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</si>
  <si>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Total 
Bonos 
anual</t>
  </si>
  <si>
    <t>BIENIQUE</t>
  </si>
  <si>
    <t xml:space="preserve"> Sala Cuna Pequeños Héroes</t>
  </si>
  <si>
    <t>Mensualidad 2024</t>
  </si>
  <si>
    <t>Gasto Total Empresa
2024</t>
  </si>
  <si>
    <t>INSTRUCCIONES</t>
  </si>
  <si>
    <t>Matrícula 2025</t>
  </si>
  <si>
    <t>Mensualidad 2025</t>
  </si>
  <si>
    <t>Meta Ocupación niños 2025</t>
  </si>
  <si>
    <t>Propuesta Mensualidad 2025</t>
  </si>
  <si>
    <t>COSTO DIRECTO ESTIMADO 2025</t>
  </si>
  <si>
    <t>REMUNERACIONES 2024</t>
  </si>
  <si>
    <t>Costo Total anual por Servidor 2024</t>
  </si>
  <si>
    <t>Costo Total por Servidor Reajustado 2025</t>
  </si>
  <si>
    <t>COSTO INDIRECTO ESTIMADO 2025</t>
  </si>
  <si>
    <t>Gasto Total Empresa
2025</t>
  </si>
  <si>
    <t>Tarifa 2025</t>
  </si>
  <si>
    <t xml:space="preserve">MARCELA </t>
  </si>
  <si>
    <t>PALAPE</t>
  </si>
  <si>
    <t>CONTADOR</t>
  </si>
  <si>
    <t>CONSTANZA</t>
  </si>
  <si>
    <t>VENEGAS</t>
  </si>
  <si>
    <t>ANALISTA Y OPERADOR CONTABLE</t>
  </si>
  <si>
    <t xml:space="preserve">BENJAMIN </t>
  </si>
  <si>
    <t>SALAS</t>
  </si>
  <si>
    <t>SECRETARIO DIGITADOR</t>
  </si>
  <si>
    <t>RICARDO</t>
  </si>
  <si>
    <t>AREVALO</t>
  </si>
  <si>
    <t>ADMINISTRATIVO CONTABLE</t>
  </si>
  <si>
    <t>XXXXX</t>
  </si>
  <si>
    <t>XXX</t>
  </si>
  <si>
    <t>ASEADOR</t>
  </si>
  <si>
    <t xml:space="preserve">CLAUDIA </t>
  </si>
  <si>
    <t>COBARRUBIAS</t>
  </si>
  <si>
    <t>NICOLAS</t>
  </si>
  <si>
    <t>VASQUEZ</t>
  </si>
  <si>
    <t>BAVESTRELLO</t>
  </si>
  <si>
    <t>GINO</t>
  </si>
  <si>
    <t>ITO</t>
  </si>
  <si>
    <t>A.HABITACIONAL</t>
  </si>
  <si>
    <t>GONZALEZ</t>
  </si>
  <si>
    <t>ALAMIRO</t>
  </si>
  <si>
    <t>MAESTRO</t>
  </si>
  <si>
    <t>BERARDI</t>
  </si>
  <si>
    <t>JENNIFER</t>
  </si>
  <si>
    <t>ENC CONTRATO- COMERCIAL</t>
  </si>
  <si>
    <t>directora</t>
  </si>
  <si>
    <t>Jardín Infantil EJERCITO</t>
  </si>
  <si>
    <t>Sala Cuna EJERCITO</t>
  </si>
  <si>
    <t>Jardín Infantil PARTICULAR</t>
  </si>
  <si>
    <t>Jardín Infantil FACH</t>
  </si>
  <si>
    <t>NATACHA</t>
  </si>
  <si>
    <t>PAEZ</t>
  </si>
  <si>
    <t>Técnicos</t>
  </si>
  <si>
    <t>VALENTINA</t>
  </si>
  <si>
    <t>AEDO</t>
  </si>
  <si>
    <t xml:space="preserve">Ed. De Párvulos </t>
  </si>
  <si>
    <t>2.-</t>
  </si>
  <si>
    <t>PARVULOS DE JARDIN INFANTIL SE CONSIDERAN 70,  CIFRA REAL A LA FECHA</t>
  </si>
  <si>
    <t>EVALUAR TRASPASO A PAC</t>
  </si>
  <si>
    <t>ÁREA APOYO A. RECREATIVA</t>
  </si>
  <si>
    <t>Asistencia Recreativa</t>
  </si>
  <si>
    <t>Asistencia Comercial</t>
  </si>
  <si>
    <t>se agrega una técnico por renuncia de TT</t>
  </si>
  <si>
    <t>Aliaga</t>
  </si>
  <si>
    <t>educadora</t>
  </si>
  <si>
    <t>PAC</t>
  </si>
  <si>
    <t>Berrios</t>
  </si>
  <si>
    <t>PAc</t>
  </si>
  <si>
    <t>Caballero</t>
  </si>
  <si>
    <t>Bernarda</t>
  </si>
  <si>
    <t>directora (por Sofia)</t>
  </si>
  <si>
    <t>embarazo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</si>
</sst>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 &quot;$&quot;* #,##0_ ;_ &quot;$&quot;* \-#,##0_ ;_ &quot;$&quot;* &quot;-&quot;_ ;_ @_ 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\$* #,##0.00_-;&quot;-$&quot;* #,##0.00_-;_-\$* \-??_-;_-@_-"/>
    <numFmt numFmtId="167" formatCode="\$#,##0_);&quot;($&quot;#,##0\)"/>
    <numFmt numFmtId="168" formatCode="_-&quot;$ &quot;* #,##0_-;&quot;-$ &quot;* #,##0_-;_-&quot;$ &quot;* \-_-;_-@_-"/>
    <numFmt numFmtId="169" formatCode="0\ %"/>
    <numFmt numFmtId="170" formatCode="0.0%"/>
    <numFmt numFmtId="171" formatCode="#,##0_ ;[Red]\-#,##0\ "/>
    <numFmt numFmtId="172" formatCode="_-* #,##0.00_-;\-* #,##0.00_-;_-* \-??_-;_-@_-"/>
    <numFmt numFmtId="173" formatCode="_-\ * #,##0_-;&quot;$ &quot;* #,##0_-;_-\ * \-_-;_-@_-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&quot;$&quot;\ #,##0"/>
    <numFmt numFmtId="178" formatCode="_-&quot;$&quot;* #,##0_-;\-&quot;$&quot;* #,##0_-;_-&quot;$&quot;* &quot;-&quot;??_-;_-@_-"/>
    <numFmt numFmtId="179" formatCode="#,##0_ ;\-#,##0\ "/>
    <numFmt numFmtId="180" formatCode="0.00\ %"/>
    <numFmt numFmtId="181" formatCode="_-\$* #,##0_-;&quot;-$&quot;* #,##0_-;_-\$* \-??_-;_-@_-"/>
    <numFmt numFmtId="182" formatCode="_-[$$-340A]\ * #,##0_-;\-[$$-340A]\ * #,##0_-;_-[$$-340A]\ * &quot;-&quot;??_-;_-@_-"/>
    <numFmt numFmtId="183" formatCode="_-[$€]* #,##0.00_-;\-[$€]* #,##0.00_-;_-[$€]* &quot;-&quot;??_-;_-@_-"/>
    <numFmt numFmtId="184" formatCode="_-[$€-2]\ * #,##0.00_-;\-[$€-2]\ * #,##0.00_-;_-[$€-2]\ * &quot;-&quot;??_-"/>
    <numFmt numFmtId="185" formatCode="_-[$€]* #,##0.00_-;\-[$€]* #,##0.00_-;_-[$€]* \-??_-;_-@_-"/>
    <numFmt numFmtId="186" formatCode="_-[$€-2]\ * #,##0.00_-;\-[$€-2]\ * #,##0.00_-;_-[$€-2]\ * \-??_-"/>
    <numFmt numFmtId="187" formatCode="_-* #,##0.00&quot; €&quot;_-;\-* #,##0.00&quot; €&quot;_-;_-* \-??&quot; €&quot;_-;_-@_-"/>
    <numFmt numFmtId="188" formatCode="_-&quot;$&quot;\ * #,##0_-;\-&quot;$&quot;\ * #,##0_-;_-&quot;$&quot;\ * &quot;-&quot;??_-;_-@_-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4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fgColor auto="1"/>
        <bgColor rgb="FFFFFF00"/>
      </patternFill>
    </fill>
    <fill>
      <patternFill patternType="gray125">
        <bgColor theme="9"/>
      </patternFill>
    </fill>
    <fill>
      <patternFill patternType="solid">
        <fgColor indexed="31"/>
        <bgColor indexed="27"/>
      </patternFill>
    </fill>
    <fill>
      <patternFill patternType="solid">
        <fgColor indexed="43"/>
        <bgColor indexed="47"/>
      </patternFill>
    </fill>
    <fill>
      <patternFill patternType="solid">
        <fgColor indexed="42"/>
        <bgColor indexed="41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3" tint="0.7999816888943144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gray125">
        <fgColor indexed="24"/>
        <bgColor theme="5" tint="0.39997558519241921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4" tint="0.59999389629810485"/>
      </patternFill>
    </fill>
    <fill>
      <patternFill patternType="gray125">
        <bgColor theme="3" tint="0.59999389629810485"/>
      </patternFill>
    </fill>
    <fill>
      <patternFill patternType="gray125">
        <bgColor rgb="FFFFFF00"/>
      </patternFill>
    </fill>
    <fill>
      <patternFill patternType="gray125">
        <bgColor theme="0"/>
      </patternFill>
    </fill>
    <fill>
      <patternFill patternType="gray125">
        <fgColor indexed="24"/>
        <bgColor theme="3" tint="0.39997558519241921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3" tint="0.79995117038483843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5" tint="0.79998168889431442"/>
      </patternFill>
    </fill>
    <fill>
      <patternFill patternType="solid">
        <fgColor theme="9" tint="-0.249977111117893"/>
        <bgColor indexed="64"/>
      </patternFill>
    </fill>
    <fill>
      <patternFill patternType="gray125">
        <bgColor theme="9" tint="-0.249977111117893"/>
      </patternFill>
    </fill>
    <fill>
      <patternFill patternType="solid">
        <fgColor theme="4" tint="0.79998168889431442"/>
        <bgColor theme="4" tint="0.79998168889431442"/>
      </patternFill>
    </fill>
    <fill>
      <patternFill patternType="gray125">
        <fgColor auto="1"/>
        <bgColor theme="4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61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2" fontId="14" fillId="0" borderId="0"/>
    <xf numFmtId="166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9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3" fontId="31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172" fontId="14" fillId="0" borderId="0" applyFill="0" applyBorder="0" applyAlignment="0" applyProtection="0"/>
    <xf numFmtId="166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42" fontId="14" fillId="0" borderId="0" applyFont="0" applyFill="0" applyBorder="0" applyAlignment="0" applyProtection="0"/>
    <xf numFmtId="0" fontId="5" fillId="8" borderId="170" applyNumberFormat="0" applyAlignment="0" applyProtection="0"/>
    <xf numFmtId="0" fontId="5" fillId="8" borderId="166" applyNumberFormat="0" applyAlignment="0" applyProtection="0"/>
    <xf numFmtId="0" fontId="5" fillId="8" borderId="168" applyNumberFormat="0" applyAlignment="0" applyProtection="0"/>
    <xf numFmtId="0" fontId="5" fillId="8" borderId="178" applyNumberFormat="0" applyAlignment="0" applyProtection="0"/>
    <xf numFmtId="0" fontId="5" fillId="8" borderId="172" applyNumberFormat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 applyNumberFormat="0" applyFill="0" applyBorder="0" applyAlignment="0" applyProtection="0"/>
    <xf numFmtId="0" fontId="9" fillId="53" borderId="0" applyNumberFormat="0" applyBorder="0" applyAlignment="0" applyProtection="0"/>
    <xf numFmtId="0" fontId="10" fillId="6" borderId="0" applyNumberFormat="0" applyBorder="0" applyAlignment="0" applyProtection="0"/>
    <xf numFmtId="185" fontId="14" fillId="0" borderId="0" applyFill="0" applyBorder="0" applyAlignment="0" applyProtection="0"/>
    <xf numFmtId="186" fontId="14" fillId="0" borderId="0" applyFill="0" applyBorder="0" applyAlignment="0" applyProtection="0"/>
    <xf numFmtId="186" fontId="14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5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7" fontId="14" fillId="0" borderId="0" applyFill="0" applyBorder="0" applyAlignment="0" applyProtection="0"/>
    <xf numFmtId="0" fontId="5" fillId="8" borderId="185" applyNumberFormat="0" applyAlignment="0" applyProtection="0"/>
    <xf numFmtId="169" fontId="14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9" fontId="14" fillId="0" borderId="0"/>
  </cellStyleXfs>
  <cellXfs count="986">
    <xf numFmtId="0" fontId="0" fillId="0" borderId="0" xfId="0"/>
    <xf numFmtId="169" fontId="0" fillId="0" borderId="0" xfId="16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9" borderId="0" xfId="0" applyFont="1" applyFill="1" applyAlignment="1">
      <alignment horizontal="left" vertical="center"/>
    </xf>
    <xf numFmtId="168" fontId="13" fillId="9" borderId="0" xfId="13" applyNumberFormat="1" applyFont="1" applyFill="1" applyAlignment="1">
      <alignment vertical="center"/>
    </xf>
    <xf numFmtId="166" fontId="13" fillId="0" borderId="0" xfId="13" applyFont="1" applyAlignment="1">
      <alignment vertical="center"/>
    </xf>
    <xf numFmtId="171" fontId="13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8" fontId="13" fillId="0" borderId="0" xfId="0" applyNumberFormat="1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66" fontId="0" fillId="0" borderId="0" xfId="13" applyFont="1" applyAlignment="1">
      <alignment vertical="center"/>
    </xf>
    <xf numFmtId="169" fontId="16" fillId="0" borderId="0" xfId="16" applyFont="1" applyAlignment="1">
      <alignment vertical="center"/>
    </xf>
    <xf numFmtId="174" fontId="0" fillId="0" borderId="0" xfId="12" applyNumberFormat="1" applyFont="1" applyAlignment="1">
      <alignment vertical="center"/>
    </xf>
    <xf numFmtId="0" fontId="0" fillId="11" borderId="0" xfId="0" applyFill="1" applyAlignment="1">
      <alignment horizontal="left" vertical="center"/>
    </xf>
    <xf numFmtId="177" fontId="0" fillId="11" borderId="0" xfId="0" applyNumberFormat="1" applyFill="1" applyAlignment="1">
      <alignment horizontal="right" vertical="center"/>
    </xf>
    <xf numFmtId="0" fontId="0" fillId="11" borderId="0" xfId="0" applyFill="1"/>
    <xf numFmtId="17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right" vertical="center"/>
    </xf>
    <xf numFmtId="177" fontId="13" fillId="11" borderId="0" xfId="0" applyNumberFormat="1" applyFont="1" applyFill="1" applyAlignment="1">
      <alignment horizontal="right" vertical="center"/>
    </xf>
    <xf numFmtId="9" fontId="0" fillId="11" borderId="0" xfId="0" applyNumberFormat="1" applyFill="1" applyAlignment="1">
      <alignment horizontal="center" vertical="center"/>
    </xf>
    <xf numFmtId="177" fontId="0" fillId="0" borderId="0" xfId="0" applyNumberFormat="1"/>
    <xf numFmtId="177" fontId="0" fillId="11" borderId="0" xfId="0" applyNumberFormat="1" applyFill="1"/>
    <xf numFmtId="0" fontId="13" fillId="0" borderId="0" xfId="0" applyFont="1" applyAlignment="1">
      <alignment horizontal="center" vertical="center"/>
    </xf>
    <xf numFmtId="0" fontId="13" fillId="0" borderId="0" xfId="0" applyFont="1"/>
    <xf numFmtId="169" fontId="13" fillId="0" borderId="0" xfId="16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16" applyNumberFormat="1" applyFont="1"/>
    <xf numFmtId="0" fontId="13" fillId="0" borderId="0" xfId="0" applyFont="1" applyAlignment="1">
      <alignment horizontal="center"/>
    </xf>
    <xf numFmtId="177" fontId="13" fillId="0" borderId="0" xfId="0" applyNumberFormat="1" applyFont="1" applyAlignment="1">
      <alignment horizontal="center" vertical="center" wrapText="1"/>
    </xf>
    <xf numFmtId="0" fontId="13" fillId="16" borderId="19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7" fontId="13" fillId="26" borderId="19" xfId="0" applyNumberFormat="1" applyFont="1" applyFill="1" applyBorder="1" applyAlignment="1">
      <alignment horizontal="center" vertical="center"/>
    </xf>
    <xf numFmtId="170" fontId="13" fillId="19" borderId="19" xfId="16" applyNumberFormat="1" applyFont="1" applyFill="1" applyBorder="1" applyAlignment="1">
      <alignment horizontal="center" vertical="center"/>
    </xf>
    <xf numFmtId="169" fontId="15" fillId="19" borderId="6" xfId="16" applyFont="1" applyFill="1" applyBorder="1" applyAlignment="1">
      <alignment horizontal="center" vertical="center"/>
    </xf>
    <xf numFmtId="178" fontId="0" fillId="0" borderId="0" xfId="13" applyNumberFormat="1" applyFont="1" applyAlignment="1">
      <alignment vertical="center"/>
    </xf>
    <xf numFmtId="169" fontId="14" fillId="0" borderId="19" xfId="16" applyBorder="1" applyAlignment="1">
      <alignment horizontal="center" vertical="center"/>
    </xf>
    <xf numFmtId="169" fontId="13" fillId="16" borderId="19" xfId="16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168" fontId="13" fillId="34" borderId="38" xfId="0" applyNumberFormat="1" applyFont="1" applyFill="1" applyBorder="1" applyAlignment="1">
      <alignment horizontal="center" vertical="center" wrapText="1"/>
    </xf>
    <xf numFmtId="168" fontId="13" fillId="34" borderId="41" xfId="0" applyNumberFormat="1" applyFont="1" applyFill="1" applyBorder="1" applyAlignment="1">
      <alignment horizontal="center" vertical="center" wrapText="1"/>
    </xf>
    <xf numFmtId="168" fontId="13" fillId="34" borderId="48" xfId="0" applyNumberFormat="1" applyFont="1" applyFill="1" applyBorder="1" applyAlignment="1">
      <alignment horizontal="center" vertical="center" wrapText="1"/>
    </xf>
    <xf numFmtId="168" fontId="13" fillId="34" borderId="49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9" fontId="29" fillId="0" borderId="0" xfId="16" applyFont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25" fillId="11" borderId="0" xfId="0" applyFont="1" applyFill="1" applyAlignment="1">
      <alignment horizontal="left" vertical="center" indent="2"/>
    </xf>
    <xf numFmtId="0" fontId="25" fillId="0" borderId="0" xfId="0" applyFont="1" applyAlignment="1">
      <alignment horizontal="left" vertical="center" indent="2"/>
    </xf>
    <xf numFmtId="0" fontId="25" fillId="0" borderId="0" xfId="0" applyFont="1" applyAlignment="1">
      <alignment vertical="center"/>
    </xf>
    <xf numFmtId="180" fontId="14" fillId="36" borderId="75" xfId="16" applyNumberFormat="1" applyFill="1" applyBorder="1" applyAlignment="1">
      <alignment horizontal="center" vertical="center"/>
    </xf>
    <xf numFmtId="180" fontId="14" fillId="36" borderId="76" xfId="16" applyNumberFormat="1" applyFill="1" applyBorder="1" applyAlignment="1">
      <alignment horizontal="center" vertical="center"/>
    </xf>
    <xf numFmtId="180" fontId="14" fillId="36" borderId="77" xfId="16" applyNumberFormat="1" applyFill="1" applyBorder="1" applyAlignment="1">
      <alignment horizontal="center" vertical="center"/>
    </xf>
    <xf numFmtId="180" fontId="14" fillId="36" borderId="78" xfId="16" applyNumberFormat="1" applyFill="1" applyBorder="1" applyAlignment="1">
      <alignment horizontal="center" vertical="center"/>
    </xf>
    <xf numFmtId="179" fontId="0" fillId="12" borderId="75" xfId="13" applyNumberFormat="1" applyFont="1" applyFill="1" applyBorder="1" applyAlignment="1" applyProtection="1">
      <alignment horizontal="center" vertical="center"/>
      <protection locked="0"/>
    </xf>
    <xf numFmtId="179" fontId="0" fillId="12" borderId="80" xfId="13" applyNumberFormat="1" applyFont="1" applyFill="1" applyBorder="1" applyAlignment="1" applyProtection="1">
      <alignment horizontal="center" vertical="center"/>
      <protection locked="0"/>
    </xf>
    <xf numFmtId="169" fontId="14" fillId="0" borderId="0" xfId="16"/>
    <xf numFmtId="0" fontId="23" fillId="12" borderId="31" xfId="0" applyFont="1" applyFill="1" applyBorder="1" applyAlignment="1" applyProtection="1">
      <alignment horizontal="center" vertical="center"/>
      <protection locked="0"/>
    </xf>
    <xf numFmtId="178" fontId="0" fillId="12" borderId="77" xfId="13" applyNumberFormat="1" applyFont="1" applyFill="1" applyBorder="1" applyAlignment="1" applyProtection="1">
      <alignment vertical="center"/>
      <protection locked="0"/>
    </xf>
    <xf numFmtId="0" fontId="25" fillId="0" borderId="0" xfId="0" applyFont="1" applyAlignment="1">
      <alignment vertical="center" wrapText="1"/>
    </xf>
    <xf numFmtId="0" fontId="13" fillId="16" borderId="93" xfId="0" applyFont="1" applyFill="1" applyBorder="1" applyAlignment="1">
      <alignment horizontal="center" vertical="center" wrapText="1"/>
    </xf>
    <xf numFmtId="178" fontId="0" fillId="12" borderId="75" xfId="13" applyNumberFormat="1" applyFont="1" applyFill="1" applyBorder="1" applyAlignment="1" applyProtection="1">
      <alignment vertical="center"/>
      <protection locked="0"/>
    </xf>
    <xf numFmtId="177" fontId="23" fillId="28" borderId="42" xfId="0" applyNumberFormat="1" applyFont="1" applyFill="1" applyBorder="1" applyAlignment="1">
      <alignment vertical="center"/>
    </xf>
    <xf numFmtId="168" fontId="0" fillId="12" borderId="76" xfId="13" applyNumberFormat="1" applyFont="1" applyFill="1" applyBorder="1" applyAlignment="1" applyProtection="1">
      <alignment vertical="center"/>
      <protection locked="0"/>
    </xf>
    <xf numFmtId="0" fontId="0" fillId="12" borderId="78" xfId="0" applyFill="1" applyBorder="1" applyAlignment="1" applyProtection="1">
      <alignment horizontal="left" vertical="center"/>
      <protection locked="0"/>
    </xf>
    <xf numFmtId="168" fontId="0" fillId="12" borderId="79" xfId="13" applyNumberFormat="1" applyFont="1" applyFill="1" applyBorder="1" applyAlignment="1" applyProtection="1">
      <alignment vertical="center"/>
      <protection locked="0"/>
    </xf>
    <xf numFmtId="0" fontId="0" fillId="12" borderId="82" xfId="0" applyFill="1" applyBorder="1" applyAlignment="1" applyProtection="1">
      <alignment horizontal="left" vertical="center"/>
      <protection locked="0"/>
    </xf>
    <xf numFmtId="168" fontId="0" fillId="12" borderId="81" xfId="13" applyNumberFormat="1" applyFont="1" applyFill="1" applyBorder="1" applyAlignment="1" applyProtection="1">
      <alignment vertical="center"/>
      <protection locked="0"/>
    </xf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168" fontId="0" fillId="12" borderId="77" xfId="13" applyNumberFormat="1" applyFont="1" applyFill="1" applyBorder="1" applyAlignment="1" applyProtection="1">
      <alignment vertical="center"/>
      <protection locked="0"/>
    </xf>
    <xf numFmtId="176" fontId="19" fillId="12" borderId="77" xfId="12" applyNumberFormat="1" applyFont="1" applyFill="1" applyBorder="1" applyAlignment="1" applyProtection="1">
      <alignment vertical="center"/>
      <protection locked="0"/>
    </xf>
    <xf numFmtId="168" fontId="19" fillId="12" borderId="77" xfId="13" applyNumberFormat="1" applyFont="1" applyFill="1" applyBorder="1" applyAlignment="1" applyProtection="1">
      <alignment vertical="center"/>
      <protection locked="0"/>
    </xf>
    <xf numFmtId="0" fontId="13" fillId="17" borderId="77" xfId="0" applyFont="1" applyFill="1" applyBorder="1" applyAlignment="1">
      <alignment horizontal="center" vertical="center" wrapText="1"/>
    </xf>
    <xf numFmtId="174" fontId="13" fillId="17" borderId="77" xfId="12" applyNumberFormat="1" applyFont="1" applyFill="1" applyBorder="1" applyAlignment="1">
      <alignment horizontal="center" vertical="center" wrapText="1"/>
    </xf>
    <xf numFmtId="0" fontId="11" fillId="17" borderId="77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168" fontId="0" fillId="0" borderId="0" xfId="0" applyNumberFormat="1" applyAlignment="1">
      <alignment vertical="center"/>
    </xf>
    <xf numFmtId="168" fontId="13" fillId="0" borderId="0" xfId="0" applyNumberFormat="1" applyFont="1" applyAlignment="1">
      <alignment vertical="center"/>
    </xf>
    <xf numFmtId="0" fontId="0" fillId="12" borderId="44" xfId="0" applyFill="1" applyBorder="1" applyAlignment="1" applyProtection="1">
      <alignment horizontal="left" vertical="center"/>
      <protection locked="0"/>
    </xf>
    <xf numFmtId="179" fontId="0" fillId="12" borderId="110" xfId="13" applyNumberFormat="1" applyFont="1" applyFill="1" applyBorder="1" applyAlignment="1" applyProtection="1">
      <alignment horizontal="center" vertical="center"/>
      <protection locked="0"/>
    </xf>
    <xf numFmtId="168" fontId="0" fillId="0" borderId="117" xfId="0" applyNumberFormat="1" applyBorder="1" applyAlignment="1">
      <alignment vertical="center"/>
    </xf>
    <xf numFmtId="168" fontId="13" fillId="39" borderId="120" xfId="0" applyNumberFormat="1" applyFont="1" applyFill="1" applyBorder="1" applyAlignment="1">
      <alignment vertical="center"/>
    </xf>
    <xf numFmtId="168" fontId="13" fillId="39" borderId="82" xfId="13" applyNumberFormat="1" applyFont="1" applyFill="1" applyBorder="1" applyAlignment="1">
      <alignment vertical="center"/>
    </xf>
    <xf numFmtId="168" fontId="13" fillId="39" borderId="81" xfId="13" applyNumberFormat="1" applyFont="1" applyFill="1" applyBorder="1" applyAlignment="1">
      <alignment vertical="center"/>
    </xf>
    <xf numFmtId="0" fontId="13" fillId="15" borderId="106" xfId="0" applyFont="1" applyFill="1" applyBorder="1" applyAlignment="1">
      <alignment horizontal="center" vertical="center" wrapText="1"/>
    </xf>
    <xf numFmtId="168" fontId="18" fillId="35" borderId="66" xfId="0" applyNumberFormat="1" applyFont="1" applyFill="1" applyBorder="1" applyAlignment="1">
      <alignment horizontal="center" vertical="center" wrapText="1"/>
    </xf>
    <xf numFmtId="168" fontId="18" fillId="35" borderId="129" xfId="0" applyNumberFormat="1" applyFont="1" applyFill="1" applyBorder="1" applyAlignment="1">
      <alignment horizontal="center" vertical="center" wrapText="1"/>
    </xf>
    <xf numFmtId="0" fontId="18" fillId="35" borderId="65" xfId="0" applyFont="1" applyFill="1" applyBorder="1" applyAlignment="1">
      <alignment horizontal="center" vertical="center" wrapText="1"/>
    </xf>
    <xf numFmtId="0" fontId="18" fillId="25" borderId="130" xfId="0" applyFont="1" applyFill="1" applyBorder="1" applyAlignment="1">
      <alignment horizontal="center" vertical="center" wrapText="1"/>
    </xf>
    <xf numFmtId="0" fontId="18" fillId="25" borderId="128" xfId="0" applyFont="1" applyFill="1" applyBorder="1" applyAlignment="1">
      <alignment horizontal="center" vertical="center" wrapText="1"/>
    </xf>
    <xf numFmtId="0" fontId="18" fillId="25" borderId="66" xfId="0" applyFont="1" applyFill="1" applyBorder="1" applyAlignment="1">
      <alignment horizontal="center" vertical="center" wrapText="1"/>
    </xf>
    <xf numFmtId="0" fontId="13" fillId="15" borderId="69" xfId="0" applyFont="1" applyFill="1" applyBorder="1" applyAlignment="1">
      <alignment horizontal="center" vertical="center" wrapText="1"/>
    </xf>
    <xf numFmtId="0" fontId="13" fillId="0" borderId="131" xfId="0" applyFont="1" applyBorder="1" applyAlignment="1">
      <alignment horizontal="left" vertical="center"/>
    </xf>
    <xf numFmtId="168" fontId="0" fillId="29" borderId="112" xfId="13" applyNumberFormat="1" applyFont="1" applyFill="1" applyBorder="1" applyAlignment="1">
      <alignment vertical="center"/>
    </xf>
    <xf numFmtId="168" fontId="0" fillId="29" borderId="117" xfId="13" applyNumberFormat="1" applyFont="1" applyFill="1" applyBorder="1" applyAlignment="1">
      <alignment vertical="center"/>
    </xf>
    <xf numFmtId="168" fontId="13" fillId="29" borderId="132" xfId="13" applyNumberFormat="1" applyFont="1" applyFill="1" applyBorder="1" applyAlignment="1">
      <alignment vertical="center"/>
    </xf>
    <xf numFmtId="168" fontId="0" fillId="19" borderId="133" xfId="13" applyNumberFormat="1" applyFont="1" applyFill="1" applyBorder="1" applyAlignment="1">
      <alignment vertical="center"/>
    </xf>
    <xf numFmtId="168" fontId="0" fillId="19" borderId="134" xfId="13" applyNumberFormat="1" applyFont="1" applyFill="1" applyBorder="1" applyAlignment="1">
      <alignment vertical="center"/>
    </xf>
    <xf numFmtId="168" fontId="13" fillId="19" borderId="112" xfId="13" applyNumberFormat="1" applyFont="1" applyFill="1" applyBorder="1" applyAlignment="1">
      <alignment vertical="center"/>
    </xf>
    <xf numFmtId="168" fontId="13" fillId="0" borderId="135" xfId="13" applyNumberFormat="1" applyFont="1" applyBorder="1" applyAlignment="1">
      <alignment vertical="center"/>
    </xf>
    <xf numFmtId="0" fontId="13" fillId="15" borderId="136" xfId="0" applyFont="1" applyFill="1" applyBorder="1" applyAlignment="1">
      <alignment horizontal="center" vertical="center"/>
    </xf>
    <xf numFmtId="168" fontId="22" fillId="15" borderId="137" xfId="13" applyNumberFormat="1" applyFont="1" applyFill="1" applyBorder="1" applyAlignment="1">
      <alignment vertical="center"/>
    </xf>
    <xf numFmtId="179" fontId="0" fillId="12" borderId="141" xfId="13" applyNumberFormat="1" applyFont="1" applyFill="1" applyBorder="1" applyAlignment="1" applyProtection="1">
      <alignment horizontal="center" vertical="center"/>
      <protection locked="0"/>
    </xf>
    <xf numFmtId="179" fontId="0" fillId="12" borderId="114" xfId="13" applyNumberFormat="1" applyFont="1" applyFill="1" applyBorder="1" applyAlignment="1" applyProtection="1">
      <alignment horizontal="center" vertical="center"/>
      <protection locked="0"/>
    </xf>
    <xf numFmtId="179" fontId="0" fillId="12" borderId="89" xfId="13" applyNumberFormat="1" applyFont="1" applyFill="1" applyBorder="1" applyAlignment="1" applyProtection="1">
      <alignment horizontal="center" vertical="center"/>
      <protection locked="0"/>
    </xf>
    <xf numFmtId="0" fontId="0" fillId="0" borderId="97" xfId="0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0" fontId="0" fillId="0" borderId="99" xfId="0" applyBorder="1" applyAlignment="1">
      <alignment horizontal="left" vertical="center"/>
    </xf>
    <xf numFmtId="167" fontId="0" fillId="0" borderId="83" xfId="13" applyNumberFormat="1" applyFont="1" applyBorder="1" applyAlignment="1">
      <alignment vertical="center"/>
    </xf>
    <xf numFmtId="167" fontId="0" fillId="0" borderId="146" xfId="13" applyNumberFormat="1" applyFont="1" applyBorder="1" applyAlignment="1">
      <alignment vertical="center"/>
    </xf>
    <xf numFmtId="167" fontId="0" fillId="0" borderId="84" xfId="13" applyNumberFormat="1" applyFont="1" applyBorder="1" applyAlignment="1">
      <alignment vertical="center"/>
    </xf>
    <xf numFmtId="168" fontId="0" fillId="29" borderId="77" xfId="13" applyNumberFormat="1" applyFont="1" applyFill="1" applyBorder="1" applyAlignment="1">
      <alignment vertical="center"/>
    </xf>
    <xf numFmtId="168" fontId="0" fillId="29" borderId="44" xfId="13" applyNumberFormat="1" applyFont="1" applyFill="1" applyBorder="1" applyAlignment="1">
      <alignment vertical="center"/>
    </xf>
    <xf numFmtId="168" fontId="0" fillId="29" borderId="75" xfId="13" applyNumberFormat="1" applyFont="1" applyFill="1" applyBorder="1" applyAlignment="1">
      <alignment vertical="center"/>
    </xf>
    <xf numFmtId="168" fontId="0" fillId="29" borderId="76" xfId="13" applyNumberFormat="1" applyFont="1" applyFill="1" applyBorder="1" applyAlignment="1">
      <alignment vertical="center"/>
    </xf>
    <xf numFmtId="168" fontId="0" fillId="29" borderId="78" xfId="13" applyNumberFormat="1" applyFont="1" applyFill="1" applyBorder="1" applyAlignment="1">
      <alignment vertical="center"/>
    </xf>
    <xf numFmtId="168" fontId="0" fillId="29" borderId="79" xfId="13" applyNumberFormat="1" applyFont="1" applyFill="1" applyBorder="1" applyAlignment="1">
      <alignment vertical="center"/>
    </xf>
    <xf numFmtId="168" fontId="0" fillId="29" borderId="47" xfId="13" applyNumberFormat="1" applyFont="1" applyFill="1" applyBorder="1" applyAlignment="1">
      <alignment vertical="center"/>
    </xf>
    <xf numFmtId="168" fontId="0" fillId="0" borderId="82" xfId="13" applyNumberFormat="1" applyFont="1" applyBorder="1" applyAlignment="1">
      <alignment vertical="center"/>
    </xf>
    <xf numFmtId="170" fontId="0" fillId="0" borderId="82" xfId="0" applyNumberFormat="1" applyBorder="1" applyAlignment="1">
      <alignment horizontal="center" vertical="center"/>
    </xf>
    <xf numFmtId="170" fontId="0" fillId="0" borderId="81" xfId="0" applyNumberFormat="1" applyBorder="1" applyAlignment="1">
      <alignment horizontal="center" vertical="center"/>
    </xf>
    <xf numFmtId="168" fontId="13" fillId="34" borderId="147" xfId="0" applyNumberFormat="1" applyFont="1" applyFill="1" applyBorder="1" applyAlignment="1">
      <alignment horizontal="center" vertical="center" wrapText="1"/>
    </xf>
    <xf numFmtId="168" fontId="13" fillId="34" borderId="148" xfId="0" applyNumberFormat="1" applyFont="1" applyFill="1" applyBorder="1" applyAlignment="1">
      <alignment horizontal="center" vertical="center" wrapText="1"/>
    </xf>
    <xf numFmtId="168" fontId="13" fillId="34" borderId="149" xfId="0" applyNumberFormat="1" applyFont="1" applyFill="1" applyBorder="1" applyAlignment="1">
      <alignment horizontal="center" vertical="center" wrapText="1"/>
    </xf>
    <xf numFmtId="168" fontId="13" fillId="15" borderId="150" xfId="0" applyNumberFormat="1" applyFont="1" applyFill="1" applyBorder="1" applyAlignment="1">
      <alignment horizontal="center" vertical="center" wrapText="1"/>
    </xf>
    <xf numFmtId="168" fontId="13" fillId="15" borderId="148" xfId="0" applyNumberFormat="1" applyFont="1" applyFill="1" applyBorder="1" applyAlignment="1">
      <alignment horizontal="center" vertical="center" wrapText="1"/>
    </xf>
    <xf numFmtId="168" fontId="13" fillId="15" borderId="151" xfId="0" applyNumberFormat="1" applyFont="1" applyFill="1" applyBorder="1" applyAlignment="1">
      <alignment horizontal="center" vertical="center" wrapText="1"/>
    </xf>
    <xf numFmtId="0" fontId="13" fillId="15" borderId="147" xfId="0" applyFont="1" applyFill="1" applyBorder="1" applyAlignment="1">
      <alignment horizontal="center" vertical="center"/>
    </xf>
    <xf numFmtId="0" fontId="13" fillId="15" borderId="152" xfId="0" applyFont="1" applyFill="1" applyBorder="1" applyAlignment="1">
      <alignment horizontal="center" vertical="center"/>
    </xf>
    <xf numFmtId="167" fontId="0" fillId="0" borderId="153" xfId="13" applyNumberFormat="1" applyFont="1" applyBorder="1" applyAlignment="1">
      <alignment vertical="center"/>
    </xf>
    <xf numFmtId="167" fontId="0" fillId="0" borderId="154" xfId="13" applyNumberFormat="1" applyFont="1" applyBorder="1" applyAlignment="1">
      <alignment vertical="center"/>
    </xf>
    <xf numFmtId="167" fontId="0" fillId="0" borderId="155" xfId="13" applyNumberFormat="1" applyFont="1" applyBorder="1" applyAlignment="1">
      <alignment vertical="center"/>
    </xf>
    <xf numFmtId="180" fontId="14" fillId="36" borderId="44" xfId="16" applyNumberFormat="1" applyFill="1" applyBorder="1" applyAlignment="1">
      <alignment horizontal="center" vertical="center"/>
    </xf>
    <xf numFmtId="180" fontId="14" fillId="36" borderId="79" xfId="16" applyNumberFormat="1" applyFill="1" applyBorder="1" applyAlignment="1">
      <alignment horizontal="center" vertical="center"/>
    </xf>
    <xf numFmtId="168" fontId="0" fillId="29" borderId="97" xfId="13" applyNumberFormat="1" applyFont="1" applyFill="1" applyBorder="1" applyAlignment="1">
      <alignment vertical="center"/>
    </xf>
    <xf numFmtId="168" fontId="0" fillId="29" borderId="98" xfId="13" applyNumberFormat="1" applyFont="1" applyFill="1" applyBorder="1" applyAlignment="1">
      <alignment vertical="center"/>
    </xf>
    <xf numFmtId="168" fontId="0" fillId="29" borderId="99" xfId="13" applyNumberFormat="1" applyFont="1" applyFill="1" applyBorder="1" applyAlignment="1">
      <alignment vertical="center"/>
    </xf>
    <xf numFmtId="0" fontId="18" fillId="33" borderId="26" xfId="0" applyFont="1" applyFill="1" applyBorder="1" applyAlignment="1">
      <alignment horizontal="center" vertical="center" wrapText="1"/>
    </xf>
    <xf numFmtId="0" fontId="18" fillId="47" borderId="27" xfId="0" applyFont="1" applyFill="1" applyBorder="1" applyAlignment="1">
      <alignment vertical="center"/>
    </xf>
    <xf numFmtId="167" fontId="18" fillId="47" borderId="77" xfId="13" applyNumberFormat="1" applyFont="1" applyFill="1" applyBorder="1" applyAlignment="1">
      <alignment vertical="center"/>
    </xf>
    <xf numFmtId="0" fontId="11" fillId="23" borderId="117" xfId="0" applyFont="1" applyFill="1" applyBorder="1" applyAlignment="1">
      <alignment horizontal="left" vertical="center"/>
    </xf>
    <xf numFmtId="168" fontId="11" fillId="23" borderId="77" xfId="13" applyNumberFormat="1" applyFont="1" applyFill="1" applyBorder="1" applyAlignment="1">
      <alignment horizontal="center" vertical="center"/>
    </xf>
    <xf numFmtId="168" fontId="13" fillId="40" borderId="77" xfId="13" applyNumberFormat="1" applyFont="1" applyFill="1" applyBorder="1" applyAlignment="1">
      <alignment vertical="center"/>
    </xf>
    <xf numFmtId="168" fontId="11" fillId="23" borderId="134" xfId="13" applyNumberFormat="1" applyFont="1" applyFill="1" applyBorder="1" applyAlignment="1">
      <alignment horizontal="center" vertical="center"/>
    </xf>
    <xf numFmtId="0" fontId="13" fillId="20" borderId="107" xfId="0" applyFont="1" applyFill="1" applyBorder="1" applyAlignment="1">
      <alignment horizontal="center" vertical="center" wrapText="1"/>
    </xf>
    <xf numFmtId="0" fontId="11" fillId="20" borderId="117" xfId="0" applyFont="1" applyFill="1" applyBorder="1" applyAlignment="1">
      <alignment horizontal="left" vertical="center"/>
    </xf>
    <xf numFmtId="168" fontId="11" fillId="20" borderId="77" xfId="13" applyNumberFormat="1" applyFont="1" applyFill="1" applyBorder="1" applyAlignment="1">
      <alignment horizontal="center" vertical="center"/>
    </xf>
    <xf numFmtId="168" fontId="13" fillId="41" borderId="77" xfId="13" applyNumberFormat="1" applyFont="1" applyFill="1" applyBorder="1" applyAlignment="1">
      <alignment vertical="center"/>
    </xf>
    <xf numFmtId="168" fontId="11" fillId="20" borderId="107" xfId="13" applyNumberFormat="1" applyFont="1" applyFill="1" applyBorder="1" applyAlignment="1">
      <alignment horizontal="center" vertical="center"/>
    </xf>
    <xf numFmtId="1" fontId="0" fillId="0" borderId="107" xfId="0" applyNumberFormat="1" applyBorder="1" applyAlignment="1">
      <alignment horizontal="center" vertical="center" wrapText="1"/>
    </xf>
    <xf numFmtId="175" fontId="19" fillId="0" borderId="117" xfId="0" applyNumberFormat="1" applyFont="1" applyBorder="1" applyAlignment="1">
      <alignment horizontal="left"/>
    </xf>
    <xf numFmtId="168" fontId="0" fillId="44" borderId="77" xfId="13" applyNumberFormat="1" applyFont="1" applyFill="1" applyBorder="1" applyAlignment="1">
      <alignment vertical="center"/>
    </xf>
    <xf numFmtId="168" fontId="19" fillId="29" borderId="77" xfId="13" applyNumberFormat="1" applyFont="1" applyFill="1" applyBorder="1" applyAlignment="1">
      <alignment vertical="center"/>
    </xf>
    <xf numFmtId="168" fontId="11" fillId="28" borderId="134" xfId="13" applyNumberFormat="1" applyFont="1" applyFill="1" applyBorder="1" applyAlignment="1">
      <alignment vertical="center"/>
    </xf>
    <xf numFmtId="1" fontId="0" fillId="0" borderId="109" xfId="0" applyNumberFormat="1" applyBorder="1"/>
    <xf numFmtId="175" fontId="30" fillId="0" borderId="117" xfId="0" applyNumberFormat="1" applyFont="1" applyBorder="1" applyAlignment="1">
      <alignment horizontal="left"/>
    </xf>
    <xf numFmtId="168" fontId="11" fillId="23" borderId="107" xfId="13" applyNumberFormat="1" applyFont="1" applyFill="1" applyBorder="1" applyAlignment="1">
      <alignment horizontal="center" vertical="center"/>
    </xf>
    <xf numFmtId="168" fontId="11" fillId="20" borderId="77" xfId="13" applyNumberFormat="1" applyFont="1" applyFill="1" applyBorder="1" applyAlignment="1">
      <alignment vertical="center"/>
    </xf>
    <xf numFmtId="168" fontId="11" fillId="20" borderId="134" xfId="13" applyNumberFormat="1" applyFont="1" applyFill="1" applyBorder="1" applyAlignment="1">
      <alignment vertical="center"/>
    </xf>
    <xf numFmtId="1" fontId="0" fillId="42" borderId="107" xfId="0" applyNumberFormat="1" applyFill="1" applyBorder="1" applyAlignment="1">
      <alignment horizontal="center" vertical="center" wrapText="1"/>
    </xf>
    <xf numFmtId="168" fontId="0" fillId="28" borderId="77" xfId="13" applyNumberFormat="1" applyFont="1" applyFill="1" applyBorder="1" applyAlignment="1">
      <alignment vertical="center"/>
    </xf>
    <xf numFmtId="167" fontId="13" fillId="31" borderId="158" xfId="13" applyNumberFormat="1" applyFont="1" applyFill="1" applyBorder="1" applyAlignment="1">
      <alignment vertical="center"/>
    </xf>
    <xf numFmtId="175" fontId="19" fillId="0" borderId="160" xfId="0" applyNumberFormat="1" applyFont="1" applyBorder="1" applyAlignment="1">
      <alignment horizontal="left"/>
    </xf>
    <xf numFmtId="168" fontId="11" fillId="28" borderId="161" xfId="13" applyNumberFormat="1" applyFont="1" applyFill="1" applyBorder="1" applyAlignment="1">
      <alignment vertical="center"/>
    </xf>
    <xf numFmtId="0" fontId="13" fillId="31" borderId="159" xfId="0" applyFont="1" applyFill="1" applyBorder="1" applyAlignment="1">
      <alignment vertical="center"/>
    </xf>
    <xf numFmtId="167" fontId="13" fillId="31" borderId="77" xfId="13" applyNumberFormat="1" applyFont="1" applyFill="1" applyBorder="1" applyAlignment="1">
      <alignment vertical="center"/>
    </xf>
    <xf numFmtId="167" fontId="13" fillId="32" borderId="77" xfId="13" applyNumberFormat="1" applyFont="1" applyFill="1" applyBorder="1" applyAlignment="1">
      <alignment vertical="center"/>
    </xf>
    <xf numFmtId="181" fontId="14" fillId="28" borderId="77" xfId="13" applyNumberFormat="1" applyFill="1" applyBorder="1"/>
    <xf numFmtId="178" fontId="0" fillId="12" borderId="20" xfId="13" applyNumberFormat="1" applyFont="1" applyFill="1" applyBorder="1" applyAlignment="1" applyProtection="1">
      <alignment vertical="center"/>
      <protection locked="0"/>
    </xf>
    <xf numFmtId="0" fontId="0" fillId="12" borderId="81" xfId="0" applyFill="1" applyBorder="1" applyAlignment="1" applyProtection="1">
      <alignment horizontal="left" vertical="center"/>
      <protection locked="0"/>
    </xf>
    <xf numFmtId="0" fontId="0" fillId="0" borderId="164" xfId="0" applyBorder="1" applyAlignment="1">
      <alignment horizontal="left" vertical="center"/>
    </xf>
    <xf numFmtId="0" fontId="13" fillId="0" borderId="165" xfId="0" applyFont="1" applyBorder="1" applyAlignment="1">
      <alignment horizontal="left" vertical="center"/>
    </xf>
    <xf numFmtId="0" fontId="13" fillId="21" borderId="179" xfId="0" applyFont="1" applyFill="1" applyBorder="1" applyAlignment="1">
      <alignment horizontal="center" vertical="center"/>
    </xf>
    <xf numFmtId="1" fontId="0" fillId="0" borderId="180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0" fontId="13" fillId="30" borderId="181" xfId="0" applyFont="1" applyFill="1" applyBorder="1" applyAlignment="1">
      <alignment horizontal="center" vertical="center" wrapText="1"/>
    </xf>
    <xf numFmtId="42" fontId="0" fillId="44" borderId="163" xfId="31" applyFont="1" applyFill="1" applyBorder="1" applyAlignment="1" applyProtection="1">
      <alignment horizontal="center" vertical="center"/>
    </xf>
    <xf numFmtId="175" fontId="19" fillId="0" borderId="117" xfId="0" applyNumberFormat="1" applyFont="1" applyBorder="1" applyAlignment="1">
      <alignment horizontal="left" wrapText="1"/>
    </xf>
    <xf numFmtId="178" fontId="0" fillId="12" borderId="163" xfId="13" applyNumberFormat="1" applyFont="1" applyFill="1" applyBorder="1" applyAlignment="1" applyProtection="1">
      <alignment vertical="center"/>
      <protection locked="0"/>
    </xf>
    <xf numFmtId="178" fontId="0" fillId="12" borderId="80" xfId="13" applyNumberFormat="1" applyFont="1" applyFill="1" applyBorder="1" applyAlignment="1" applyProtection="1">
      <alignment vertical="center"/>
      <protection locked="0"/>
    </xf>
    <xf numFmtId="168" fontId="0" fillId="29" borderId="82" xfId="13" applyNumberFormat="1" applyFont="1" applyFill="1" applyBorder="1" applyAlignment="1">
      <alignment vertical="center"/>
    </xf>
    <xf numFmtId="168" fontId="0" fillId="29" borderId="80" xfId="13" applyNumberFormat="1" applyFont="1" applyFill="1" applyBorder="1" applyAlignment="1">
      <alignment vertical="center"/>
    </xf>
    <xf numFmtId="168" fontId="0" fillId="29" borderId="81" xfId="13" applyNumberFormat="1" applyFont="1" applyFill="1" applyBorder="1" applyAlignment="1">
      <alignment vertical="center"/>
    </xf>
    <xf numFmtId="180" fontId="14" fillId="36" borderId="82" xfId="16" applyNumberFormat="1" applyFill="1" applyBorder="1" applyAlignment="1">
      <alignment horizontal="center" vertical="center"/>
    </xf>
    <xf numFmtId="180" fontId="14" fillId="36" borderId="80" xfId="16" applyNumberFormat="1" applyFill="1" applyBorder="1" applyAlignment="1">
      <alignment horizontal="center" vertical="center"/>
    </xf>
    <xf numFmtId="0" fontId="0" fillId="12" borderId="174" xfId="0" applyFill="1" applyBorder="1" applyAlignment="1" applyProtection="1">
      <alignment horizontal="left" vertical="center"/>
      <protection locked="0"/>
    </xf>
    <xf numFmtId="180" fontId="14" fillId="36" borderId="81" xfId="16" applyNumberFormat="1" applyFill="1" applyBorder="1" applyAlignment="1">
      <alignment horizontal="center" vertical="center"/>
    </xf>
    <xf numFmtId="168" fontId="14" fillId="0" borderId="173" xfId="13" applyNumberFormat="1" applyBorder="1" applyAlignment="1">
      <alignment vertical="center"/>
    </xf>
    <xf numFmtId="178" fontId="0" fillId="44" borderId="174" xfId="13" applyNumberFormat="1" applyFont="1" applyFill="1" applyBorder="1" applyAlignment="1">
      <alignment vertical="center"/>
    </xf>
    <xf numFmtId="178" fontId="0" fillId="44" borderId="110" xfId="13" applyNumberFormat="1" applyFont="1" applyFill="1" applyBorder="1" applyAlignment="1">
      <alignment vertical="center"/>
    </xf>
    <xf numFmtId="168" fontId="14" fillId="1" borderId="174" xfId="13" applyNumberFormat="1" applyFill="1" applyBorder="1" applyAlignment="1">
      <alignment vertical="center"/>
    </xf>
    <xf numFmtId="168" fontId="14" fillId="0" borderId="174" xfId="13" applyNumberFormat="1" applyBorder="1" applyAlignment="1">
      <alignment vertical="center"/>
    </xf>
    <xf numFmtId="168" fontId="14" fillId="0" borderId="175" xfId="13" applyNumberFormat="1" applyBorder="1" applyAlignment="1">
      <alignment vertical="center"/>
    </xf>
    <xf numFmtId="168" fontId="0" fillId="0" borderId="187" xfId="0" applyNumberFormat="1" applyBorder="1" applyAlignment="1">
      <alignment vertical="center"/>
    </xf>
    <xf numFmtId="168" fontId="14" fillId="1" borderId="186" xfId="13" applyNumberFormat="1" applyFill="1" applyBorder="1" applyAlignment="1">
      <alignment vertical="center"/>
    </xf>
    <xf numFmtId="173" fontId="0" fillId="0" borderId="186" xfId="12" applyNumberFormat="1" applyFont="1" applyBorder="1" applyAlignment="1">
      <alignment vertical="center"/>
    </xf>
    <xf numFmtId="173" fontId="0" fillId="0" borderId="188" xfId="12" applyNumberFormat="1" applyFont="1" applyBorder="1" applyAlignment="1">
      <alignment vertical="center"/>
    </xf>
    <xf numFmtId="168" fontId="13" fillId="39" borderId="189" xfId="0" applyNumberFormat="1" applyFont="1" applyFill="1" applyBorder="1" applyAlignment="1">
      <alignment vertical="center"/>
    </xf>
    <xf numFmtId="168" fontId="13" fillId="39" borderId="190" xfId="13" applyNumberFormat="1" applyFont="1" applyFill="1" applyBorder="1" applyAlignment="1">
      <alignment vertical="center"/>
    </xf>
    <xf numFmtId="173" fontId="0" fillId="0" borderId="191" xfId="12" applyNumberFormat="1" applyFont="1" applyBorder="1" applyAlignment="1">
      <alignment vertical="center"/>
    </xf>
    <xf numFmtId="168" fontId="11" fillId="55" borderId="77" xfId="13" applyNumberFormat="1" applyFont="1" applyFill="1" applyBorder="1" applyAlignment="1">
      <alignment vertical="center"/>
    </xf>
    <xf numFmtId="176" fontId="14" fillId="12" borderId="186" xfId="12" applyNumberFormat="1" applyFill="1" applyBorder="1"/>
    <xf numFmtId="168" fontId="11" fillId="29" borderId="77" xfId="13" applyNumberFormat="1" applyFont="1" applyFill="1" applyBorder="1" applyAlignment="1">
      <alignment vertical="center"/>
    </xf>
    <xf numFmtId="176" fontId="19" fillId="29" borderId="77" xfId="12" applyNumberFormat="1" applyFont="1" applyFill="1" applyBorder="1" applyAlignment="1">
      <alignment vertical="center"/>
    </xf>
    <xf numFmtId="168" fontId="19" fillId="57" borderId="77" xfId="13" applyNumberFormat="1" applyFont="1" applyFill="1" applyBorder="1" applyAlignment="1">
      <alignment vertical="center"/>
    </xf>
    <xf numFmtId="168" fontId="19" fillId="58" borderId="77" xfId="13" applyNumberFormat="1" applyFont="1" applyFill="1" applyBorder="1" applyAlignment="1">
      <alignment vertical="center"/>
    </xf>
    <xf numFmtId="181" fontId="13" fillId="19" borderId="186" xfId="13" applyNumberFormat="1" applyFont="1" applyFill="1" applyBorder="1" applyAlignment="1">
      <alignment horizontal="center"/>
    </xf>
    <xf numFmtId="168" fontId="11" fillId="40" borderId="77" xfId="13" applyNumberFormat="1" applyFont="1" applyFill="1" applyBorder="1" applyAlignment="1">
      <alignment vertical="center"/>
    </xf>
    <xf numFmtId="0" fontId="11" fillId="20" borderId="184" xfId="0" applyFont="1" applyFill="1" applyBorder="1" applyAlignment="1">
      <alignment horizontal="left" vertical="center"/>
    </xf>
    <xf numFmtId="181" fontId="13" fillId="19" borderId="186" xfId="13" applyNumberFormat="1" applyFont="1" applyFill="1" applyBorder="1" applyAlignment="1" applyProtection="1">
      <alignment horizontal="center"/>
      <protection locked="0"/>
    </xf>
    <xf numFmtId="181" fontId="14" fillId="12" borderId="186" xfId="13" applyNumberFormat="1" applyFill="1" applyBorder="1" applyProtection="1">
      <protection locked="0"/>
    </xf>
    <xf numFmtId="42" fontId="0" fillId="48" borderId="163" xfId="31" applyFont="1" applyFill="1" applyBorder="1" applyAlignment="1" applyProtection="1">
      <alignment horizontal="center" vertical="center"/>
      <protection locked="0"/>
    </xf>
    <xf numFmtId="181" fontId="14" fillId="12" borderId="0" xfId="13" applyNumberFormat="1" applyFill="1" applyProtection="1">
      <protection locked="0"/>
    </xf>
    <xf numFmtId="42" fontId="0" fillId="12" borderId="163" xfId="31" applyFont="1" applyFill="1" applyBorder="1" applyAlignment="1" applyProtection="1">
      <alignment horizontal="center" vertical="center"/>
      <protection locked="0"/>
    </xf>
    <xf numFmtId="168" fontId="11" fillId="40" borderId="77" xfId="13" applyNumberFormat="1" applyFont="1" applyFill="1" applyBorder="1" applyAlignment="1" applyProtection="1">
      <alignment vertical="center"/>
      <protection locked="0"/>
    </xf>
    <xf numFmtId="0" fontId="11" fillId="20" borderId="117" xfId="0" applyFont="1" applyFill="1" applyBorder="1" applyAlignment="1" applyProtection="1">
      <alignment horizontal="left" vertical="center"/>
      <protection locked="0"/>
    </xf>
    <xf numFmtId="168" fontId="11" fillId="59" borderId="77" xfId="13" applyNumberFormat="1" applyFont="1" applyFill="1" applyBorder="1" applyAlignment="1">
      <alignment vertical="center"/>
    </xf>
    <xf numFmtId="168" fontId="11" fillId="60" borderId="77" xfId="13" applyNumberFormat="1" applyFont="1" applyFill="1" applyBorder="1" applyAlignment="1">
      <alignment vertical="center"/>
    </xf>
    <xf numFmtId="0" fontId="0" fillId="12" borderId="173" xfId="0" applyFill="1" applyBorder="1" applyAlignment="1" applyProtection="1">
      <alignment horizontal="left" vertical="center"/>
      <protection locked="0"/>
    </xf>
    <xf numFmtId="0" fontId="0" fillId="12" borderId="175" xfId="0" applyFill="1" applyBorder="1" applyAlignment="1" applyProtection="1">
      <alignment horizontal="left" vertical="center"/>
      <protection locked="0"/>
    </xf>
    <xf numFmtId="0" fontId="0" fillId="12" borderId="191" xfId="0" applyFill="1" applyBorder="1" applyAlignment="1" applyProtection="1">
      <alignment horizontal="left" vertical="center"/>
      <protection locked="0"/>
    </xf>
    <xf numFmtId="0" fontId="0" fillId="12" borderId="186" xfId="0" applyFill="1" applyBorder="1" applyAlignment="1" applyProtection="1">
      <alignment horizontal="left" vertical="center"/>
      <protection locked="0"/>
    </xf>
    <xf numFmtId="0" fontId="0" fillId="12" borderId="188" xfId="0" applyFill="1" applyBorder="1" applyAlignment="1" applyProtection="1">
      <alignment horizontal="left" vertical="center"/>
      <protection locked="0"/>
    </xf>
    <xf numFmtId="0" fontId="0" fillId="12" borderId="190" xfId="0" applyFill="1" applyBorder="1" applyAlignment="1" applyProtection="1">
      <alignment horizontal="left" vertical="center"/>
      <protection locked="0"/>
    </xf>
    <xf numFmtId="0" fontId="0" fillId="12" borderId="60" xfId="0" applyFill="1" applyBorder="1" applyAlignment="1" applyProtection="1">
      <alignment horizontal="left" vertical="center"/>
      <protection locked="0"/>
    </xf>
    <xf numFmtId="0" fontId="0" fillId="12" borderId="169" xfId="0" applyFill="1" applyBorder="1" applyAlignment="1" applyProtection="1">
      <alignment horizontal="left" vertical="center"/>
      <protection locked="0"/>
    </xf>
    <xf numFmtId="0" fontId="0" fillId="12" borderId="103" xfId="0" applyFill="1" applyBorder="1" applyAlignment="1" applyProtection="1">
      <alignment horizontal="left" vertical="center"/>
      <protection locked="0"/>
    </xf>
    <xf numFmtId="168" fontId="13" fillId="34" borderId="195" xfId="0" applyNumberFormat="1" applyFont="1" applyFill="1" applyBorder="1" applyAlignment="1">
      <alignment horizontal="center" vertical="center" wrapText="1"/>
    </xf>
    <xf numFmtId="168" fontId="13" fillId="34" borderId="196" xfId="0" applyNumberFormat="1" applyFont="1" applyFill="1" applyBorder="1" applyAlignment="1">
      <alignment horizontal="center" vertical="center" wrapText="1"/>
    </xf>
    <xf numFmtId="168" fontId="13" fillId="34" borderId="197" xfId="0" applyNumberFormat="1" applyFont="1" applyFill="1" applyBorder="1" applyAlignment="1">
      <alignment horizontal="center" vertical="center" wrapText="1"/>
    </xf>
    <xf numFmtId="168" fontId="13" fillId="39" borderId="198" xfId="13" applyNumberFormat="1" applyFont="1" applyFill="1" applyBorder="1" applyAlignment="1">
      <alignment vertical="center"/>
    </xf>
    <xf numFmtId="168" fontId="13" fillId="39" borderId="199" xfId="13" applyNumberFormat="1" applyFont="1" applyFill="1" applyBorder="1" applyAlignment="1">
      <alignment vertical="center"/>
    </xf>
    <xf numFmtId="168" fontId="0" fillId="0" borderId="169" xfId="13" applyNumberFormat="1" applyFont="1" applyBorder="1" applyAlignment="1">
      <alignment vertical="center"/>
    </xf>
    <xf numFmtId="168" fontId="0" fillId="0" borderId="173" xfId="13" applyNumberFormat="1" applyFont="1" applyBorder="1" applyAlignment="1">
      <alignment vertical="center"/>
    </xf>
    <xf numFmtId="168" fontId="22" fillId="31" borderId="55" xfId="13" applyNumberFormat="1" applyFont="1" applyFill="1" applyBorder="1" applyAlignment="1">
      <alignment vertical="center" wrapText="1"/>
    </xf>
    <xf numFmtId="168" fontId="14" fillId="1" borderId="191" xfId="13" applyNumberFormat="1" applyFill="1" applyBorder="1" applyAlignment="1">
      <alignment vertical="center"/>
    </xf>
    <xf numFmtId="173" fontId="0" fillId="0" borderId="200" xfId="12" applyNumberFormat="1" applyFont="1" applyBorder="1" applyAlignment="1">
      <alignment vertical="center"/>
    </xf>
    <xf numFmtId="168" fontId="13" fillId="39" borderId="201" xfId="13" applyNumberFormat="1" applyFont="1" applyFill="1" applyBorder="1" applyAlignment="1">
      <alignment vertical="center"/>
    </xf>
    <xf numFmtId="168" fontId="0" fillId="0" borderId="174" xfId="13" applyNumberFormat="1" applyFont="1" applyBorder="1" applyAlignment="1">
      <alignment vertical="center"/>
    </xf>
    <xf numFmtId="168" fontId="0" fillId="0" borderId="175" xfId="13" applyNumberFormat="1" applyFont="1" applyBorder="1" applyAlignment="1">
      <alignment vertical="center"/>
    </xf>
    <xf numFmtId="0" fontId="13" fillId="61" borderId="179" xfId="0" applyFont="1" applyFill="1" applyBorder="1" applyAlignment="1">
      <alignment horizontal="center" vertical="center"/>
    </xf>
    <xf numFmtId="0" fontId="11" fillId="62" borderId="117" xfId="0" applyFont="1" applyFill="1" applyBorder="1" applyAlignment="1">
      <alignment horizontal="left" vertical="center"/>
    </xf>
    <xf numFmtId="168" fontId="11" fillId="62" borderId="77" xfId="13" applyNumberFormat="1" applyFont="1" applyFill="1" applyBorder="1" applyAlignment="1">
      <alignment horizontal="center" vertical="center"/>
    </xf>
    <xf numFmtId="168" fontId="11" fillId="24" borderId="77" xfId="13" applyNumberFormat="1" applyFont="1" applyFill="1" applyBorder="1" applyAlignment="1">
      <alignment vertical="center"/>
    </xf>
    <xf numFmtId="168" fontId="13" fillId="24" borderId="77" xfId="13" applyNumberFormat="1" applyFont="1" applyFill="1" applyBorder="1" applyAlignment="1">
      <alignment vertical="center"/>
    </xf>
    <xf numFmtId="168" fontId="11" fillId="62" borderId="134" xfId="13" applyNumberFormat="1" applyFont="1" applyFill="1" applyBorder="1" applyAlignment="1">
      <alignment horizontal="center" vertical="center"/>
    </xf>
    <xf numFmtId="0" fontId="13" fillId="63" borderId="107" xfId="0" applyFont="1" applyFill="1" applyBorder="1" applyAlignment="1">
      <alignment horizontal="center" vertical="center" wrapText="1"/>
    </xf>
    <xf numFmtId="0" fontId="11" fillId="63" borderId="117" xfId="0" applyFont="1" applyFill="1" applyBorder="1" applyAlignment="1">
      <alignment horizontal="left" vertical="center"/>
    </xf>
    <xf numFmtId="168" fontId="11" fillId="63" borderId="77" xfId="13" applyNumberFormat="1" applyFont="1" applyFill="1" applyBorder="1" applyAlignment="1">
      <alignment horizontal="center" vertical="center"/>
    </xf>
    <xf numFmtId="168" fontId="11" fillId="22" borderId="77" xfId="13" applyNumberFormat="1" applyFont="1" applyFill="1" applyBorder="1" applyAlignment="1">
      <alignment vertical="center"/>
    </xf>
    <xf numFmtId="168" fontId="13" fillId="22" borderId="77" xfId="13" applyNumberFormat="1" applyFont="1" applyFill="1" applyBorder="1" applyAlignment="1">
      <alignment vertical="center"/>
    </xf>
    <xf numFmtId="168" fontId="11" fillId="63" borderId="107" xfId="13" applyNumberFormat="1" applyFont="1" applyFill="1" applyBorder="1" applyAlignment="1">
      <alignment horizontal="center" vertical="center"/>
    </xf>
    <xf numFmtId="1" fontId="0" fillId="1" borderId="107" xfId="0" applyNumberFormat="1" applyFill="1" applyBorder="1" applyAlignment="1">
      <alignment horizontal="center" vertical="center" wrapText="1"/>
    </xf>
    <xf numFmtId="175" fontId="19" fillId="1" borderId="117" xfId="0" applyNumberFormat="1" applyFont="1" applyFill="1" applyBorder="1" applyAlignment="1">
      <alignment horizontal="left"/>
    </xf>
    <xf numFmtId="168" fontId="0" fillId="64" borderId="77" xfId="13" applyNumberFormat="1" applyFont="1" applyFill="1" applyBorder="1" applyAlignment="1">
      <alignment vertical="center"/>
    </xf>
    <xf numFmtId="168" fontId="19" fillId="1" borderId="77" xfId="13" applyNumberFormat="1" applyFont="1" applyFill="1" applyBorder="1" applyAlignment="1">
      <alignment vertical="center"/>
    </xf>
    <xf numFmtId="176" fontId="19" fillId="1" borderId="77" xfId="12" applyNumberFormat="1" applyFont="1" applyFill="1" applyBorder="1" applyAlignment="1">
      <alignment vertical="center"/>
    </xf>
    <xf numFmtId="168" fontId="19" fillId="56" borderId="77" xfId="13" applyNumberFormat="1" applyFont="1" applyFill="1" applyBorder="1" applyAlignment="1">
      <alignment vertical="center"/>
    </xf>
    <xf numFmtId="168" fontId="11" fillId="65" borderId="134" xfId="13" applyNumberFormat="1" applyFont="1" applyFill="1" applyBorder="1" applyAlignment="1">
      <alignment vertical="center"/>
    </xf>
    <xf numFmtId="168" fontId="0" fillId="66" borderId="77" xfId="13" applyNumberFormat="1" applyFont="1" applyFill="1" applyBorder="1" applyAlignment="1">
      <alignment vertical="center"/>
    </xf>
    <xf numFmtId="168" fontId="19" fillId="66" borderId="77" xfId="13" applyNumberFormat="1" applyFont="1" applyFill="1" applyBorder="1" applyAlignment="1">
      <alignment vertical="center"/>
    </xf>
    <xf numFmtId="176" fontId="19" fillId="66" borderId="77" xfId="12" applyNumberFormat="1" applyFont="1" applyFill="1" applyBorder="1" applyAlignment="1">
      <alignment vertical="center"/>
    </xf>
    <xf numFmtId="1" fontId="0" fillId="1" borderId="180" xfId="0" applyNumberFormat="1" applyFill="1" applyBorder="1" applyAlignment="1">
      <alignment horizontal="center"/>
    </xf>
    <xf numFmtId="1" fontId="0" fillId="1" borderId="109" xfId="0" applyNumberFormat="1" applyFill="1" applyBorder="1"/>
    <xf numFmtId="175" fontId="30" fillId="1" borderId="117" xfId="0" applyNumberFormat="1" applyFont="1" applyFill="1" applyBorder="1" applyAlignment="1">
      <alignment horizontal="left"/>
    </xf>
    <xf numFmtId="168" fontId="0" fillId="51" borderId="77" xfId="13" applyNumberFormat="1" applyFont="1" applyFill="1" applyBorder="1" applyAlignment="1">
      <alignment vertical="center"/>
    </xf>
    <xf numFmtId="168" fontId="19" fillId="51" borderId="77" xfId="13" applyNumberFormat="1" applyFont="1" applyFill="1" applyBorder="1" applyAlignment="1">
      <alignment vertical="center"/>
    </xf>
    <xf numFmtId="176" fontId="19" fillId="51" borderId="77" xfId="12" applyNumberFormat="1" applyFont="1" applyFill="1" applyBorder="1" applyAlignment="1">
      <alignment vertical="center"/>
    </xf>
    <xf numFmtId="168" fontId="11" fillId="62" borderId="107" xfId="13" applyNumberFormat="1" applyFont="1" applyFill="1" applyBorder="1" applyAlignment="1">
      <alignment horizontal="center" vertical="center"/>
    </xf>
    <xf numFmtId="168" fontId="11" fillId="63" borderId="77" xfId="13" applyNumberFormat="1" applyFont="1" applyFill="1" applyBorder="1" applyAlignment="1">
      <alignment vertical="center"/>
    </xf>
    <xf numFmtId="168" fontId="11" fillId="63" borderId="134" xfId="13" applyNumberFormat="1" applyFont="1" applyFill="1" applyBorder="1" applyAlignment="1">
      <alignment vertical="center"/>
    </xf>
    <xf numFmtId="1" fontId="0" fillId="67" borderId="107" xfId="0" applyNumberFormat="1" applyFill="1" applyBorder="1" applyAlignment="1">
      <alignment horizontal="center" vertical="center" wrapText="1"/>
    </xf>
    <xf numFmtId="168" fontId="11" fillId="50" borderId="77" xfId="13" applyNumberFormat="1" applyFont="1" applyFill="1" applyBorder="1" applyAlignment="1">
      <alignment vertical="center"/>
    </xf>
    <xf numFmtId="1" fontId="0" fillId="1" borderId="2" xfId="0" applyNumberFormat="1" applyFill="1" applyBorder="1" applyAlignment="1">
      <alignment horizontal="center" vertical="center" wrapText="1"/>
    </xf>
    <xf numFmtId="175" fontId="19" fillId="1" borderId="160" xfId="0" applyNumberFormat="1" applyFont="1" applyFill="1" applyBorder="1" applyAlignment="1">
      <alignment horizontal="left"/>
    </xf>
    <xf numFmtId="168" fontId="11" fillId="65" borderId="161" xfId="13" applyNumberFormat="1" applyFont="1" applyFill="1" applyBorder="1" applyAlignment="1">
      <alignment vertical="center"/>
    </xf>
    <xf numFmtId="0" fontId="13" fillId="68" borderId="181" xfId="0" applyFont="1" applyFill="1" applyBorder="1" applyAlignment="1">
      <alignment horizontal="center" vertical="center" wrapText="1"/>
    </xf>
    <xf numFmtId="0" fontId="13" fillId="69" borderId="159" xfId="0" applyFont="1" applyFill="1" applyBorder="1" applyAlignment="1">
      <alignment vertical="center"/>
    </xf>
    <xf numFmtId="167" fontId="13" fillId="69" borderId="77" xfId="13" applyNumberFormat="1" applyFont="1" applyFill="1" applyBorder="1" applyAlignment="1">
      <alignment vertical="center"/>
    </xf>
    <xf numFmtId="167" fontId="13" fillId="69" borderId="158" xfId="13" applyNumberFormat="1" applyFont="1" applyFill="1" applyBorder="1" applyAlignment="1">
      <alignment vertical="center"/>
    </xf>
    <xf numFmtId="168" fontId="0" fillId="65" borderId="77" xfId="13" applyNumberFormat="1" applyFont="1" applyFill="1" applyBorder="1" applyAlignment="1">
      <alignment vertical="center"/>
    </xf>
    <xf numFmtId="181" fontId="14" fillId="65" borderId="77" xfId="13" applyNumberFormat="1" applyFill="1" applyBorder="1"/>
    <xf numFmtId="0" fontId="0" fillId="12" borderId="169" xfId="0" applyFill="1" applyBorder="1" applyProtection="1">
      <protection locked="0"/>
    </xf>
    <xf numFmtId="177" fontId="22" fillId="28" borderId="55" xfId="0" applyNumberFormat="1" applyFont="1" applyFill="1" applyBorder="1" applyAlignment="1">
      <alignment horizontal="center" vertical="center"/>
    </xf>
    <xf numFmtId="168" fontId="14" fillId="56" borderId="163" xfId="13" applyNumberFormat="1" applyFill="1" applyBorder="1" applyAlignment="1">
      <alignment vertical="center"/>
    </xf>
    <xf numFmtId="168" fontId="13" fillId="34" borderId="205" xfId="0" applyNumberFormat="1" applyFont="1" applyFill="1" applyBorder="1" applyAlignment="1">
      <alignment horizontal="center" vertical="center" wrapText="1"/>
    </xf>
    <xf numFmtId="168" fontId="13" fillId="15" borderId="193" xfId="0" applyNumberFormat="1" applyFont="1" applyFill="1" applyBorder="1" applyAlignment="1">
      <alignment horizontal="center" vertical="center" wrapText="1"/>
    </xf>
    <xf numFmtId="168" fontId="13" fillId="15" borderId="206" xfId="0" applyNumberFormat="1" applyFont="1" applyFill="1" applyBorder="1" applyAlignment="1">
      <alignment horizontal="center" vertical="center" wrapText="1"/>
    </xf>
    <xf numFmtId="168" fontId="13" fillId="15" borderId="197" xfId="0" applyNumberFormat="1" applyFont="1" applyFill="1" applyBorder="1" applyAlignment="1">
      <alignment horizontal="center" vertical="center" wrapText="1"/>
    </xf>
    <xf numFmtId="170" fontId="0" fillId="44" borderId="174" xfId="13" applyNumberFormat="1" applyFont="1" applyFill="1" applyBorder="1" applyAlignment="1">
      <alignment horizontal="center" vertical="center"/>
    </xf>
    <xf numFmtId="170" fontId="0" fillId="44" borderId="186" xfId="13" applyNumberFormat="1" applyFont="1" applyFill="1" applyBorder="1" applyAlignment="1">
      <alignment horizontal="center" vertical="center"/>
    </xf>
    <xf numFmtId="170" fontId="0" fillId="44" borderId="190" xfId="13" applyNumberFormat="1" applyFont="1" applyFill="1" applyBorder="1" applyAlignment="1">
      <alignment horizontal="center" vertical="center"/>
    </xf>
    <xf numFmtId="168" fontId="0" fillId="70" borderId="78" xfId="13" applyNumberFormat="1" applyFont="1" applyFill="1" applyBorder="1" applyAlignment="1">
      <alignment vertical="center"/>
    </xf>
    <xf numFmtId="168" fontId="0" fillId="70" borderId="77" xfId="13" applyNumberFormat="1" applyFont="1" applyFill="1" applyBorder="1" applyAlignment="1">
      <alignment vertical="center"/>
    </xf>
    <xf numFmtId="0" fontId="11" fillId="20" borderId="186" xfId="0" applyFont="1" applyFill="1" applyBorder="1" applyAlignment="1">
      <alignment horizontal="left" vertical="center"/>
    </xf>
    <xf numFmtId="0" fontId="11" fillId="20" borderId="186" xfId="0" applyFont="1" applyFill="1" applyBorder="1" applyAlignment="1" applyProtection="1">
      <alignment horizontal="left" vertical="center"/>
      <protection locked="0"/>
    </xf>
    <xf numFmtId="0" fontId="11" fillId="20" borderId="108" xfId="0" applyFont="1" applyFill="1" applyBorder="1" applyAlignment="1">
      <alignment horizontal="left" vertical="center"/>
    </xf>
    <xf numFmtId="181" fontId="13" fillId="19" borderId="119" xfId="13" applyNumberFormat="1" applyFont="1" applyFill="1" applyBorder="1" applyAlignment="1" applyProtection="1">
      <alignment horizontal="center"/>
      <protection locked="0"/>
    </xf>
    <xf numFmtId="181" fontId="13" fillId="19" borderId="119" xfId="13" applyNumberFormat="1" applyFont="1" applyFill="1" applyBorder="1" applyAlignment="1">
      <alignment horizontal="center"/>
    </xf>
    <xf numFmtId="0" fontId="13" fillId="21" borderId="186" xfId="0" applyFont="1" applyFill="1" applyBorder="1" applyAlignment="1">
      <alignment horizontal="left" vertical="center"/>
    </xf>
    <xf numFmtId="0" fontId="11" fillId="23" borderId="186" xfId="0" applyFont="1" applyFill="1" applyBorder="1" applyAlignment="1">
      <alignment horizontal="left" vertical="center"/>
    </xf>
    <xf numFmtId="173" fontId="0" fillId="1" borderId="186" xfId="12" applyNumberFormat="1" applyFont="1" applyFill="1" applyBorder="1" applyAlignment="1">
      <alignment vertical="center"/>
    </xf>
    <xf numFmtId="173" fontId="0" fillId="1" borderId="200" xfId="12" applyNumberFormat="1" applyFont="1" applyFill="1" applyBorder="1" applyAlignment="1">
      <alignment vertical="center"/>
    </xf>
    <xf numFmtId="173" fontId="0" fillId="1" borderId="188" xfId="12" applyNumberFormat="1" applyFont="1" applyFill="1" applyBorder="1" applyAlignment="1">
      <alignment vertical="center"/>
    </xf>
    <xf numFmtId="168" fontId="0" fillId="0" borderId="65" xfId="0" applyNumberFormat="1" applyBorder="1" applyAlignment="1">
      <alignment vertical="center"/>
    </xf>
    <xf numFmtId="168" fontId="13" fillId="15" borderId="195" xfId="0" applyNumberFormat="1" applyFont="1" applyFill="1" applyBorder="1" applyAlignment="1">
      <alignment horizontal="center" vertical="center" wrapText="1"/>
    </xf>
    <xf numFmtId="168" fontId="13" fillId="15" borderId="196" xfId="0" applyNumberFormat="1" applyFont="1" applyFill="1" applyBorder="1" applyAlignment="1">
      <alignment horizontal="center" vertical="center" wrapText="1"/>
    </xf>
    <xf numFmtId="170" fontId="0" fillId="0" borderId="173" xfId="0" applyNumberFormat="1" applyBorder="1" applyAlignment="1">
      <alignment horizontal="center" vertical="center"/>
    </xf>
    <xf numFmtId="170" fontId="0" fillId="0" borderId="174" xfId="0" applyNumberFormat="1" applyBorder="1" applyAlignment="1">
      <alignment horizontal="center" vertical="center"/>
    </xf>
    <xf numFmtId="170" fontId="0" fillId="0" borderId="175" xfId="0" applyNumberFormat="1" applyBorder="1" applyAlignment="1">
      <alignment horizontal="center" vertical="center"/>
    </xf>
    <xf numFmtId="168" fontId="0" fillId="0" borderId="191" xfId="13" applyNumberFormat="1" applyFont="1" applyBorder="1" applyAlignment="1">
      <alignment vertical="center"/>
    </xf>
    <xf numFmtId="168" fontId="0" fillId="0" borderId="186" xfId="13" applyNumberFormat="1" applyFont="1" applyBorder="1" applyAlignment="1">
      <alignment vertical="center"/>
    </xf>
    <xf numFmtId="170" fontId="0" fillId="0" borderId="191" xfId="0" applyNumberFormat="1" applyBorder="1" applyAlignment="1">
      <alignment horizontal="center" vertical="center"/>
    </xf>
    <xf numFmtId="170" fontId="0" fillId="0" borderId="186" xfId="0" applyNumberFormat="1" applyBorder="1" applyAlignment="1">
      <alignment horizontal="center" vertical="center"/>
    </xf>
    <xf numFmtId="170" fontId="0" fillId="0" borderId="188" xfId="0" applyNumberFormat="1" applyBorder="1" applyAlignment="1">
      <alignment horizontal="center" vertical="center"/>
    </xf>
    <xf numFmtId="168" fontId="0" fillId="0" borderId="190" xfId="13" applyNumberFormat="1" applyFont="1" applyBorder="1" applyAlignment="1">
      <alignment vertical="center"/>
    </xf>
    <xf numFmtId="170" fontId="0" fillId="0" borderId="190" xfId="0" applyNumberFormat="1" applyBorder="1" applyAlignment="1">
      <alignment horizontal="center" vertical="center"/>
    </xf>
    <xf numFmtId="168" fontId="0" fillId="1" borderId="191" xfId="13" applyNumberFormat="1" applyFont="1" applyFill="1" applyBorder="1" applyAlignment="1">
      <alignment vertical="center"/>
    </xf>
    <xf numFmtId="168" fontId="0" fillId="1" borderId="186" xfId="13" applyNumberFormat="1" applyFont="1" applyFill="1" applyBorder="1" applyAlignment="1">
      <alignment vertical="center"/>
    </xf>
    <xf numFmtId="168" fontId="0" fillId="1" borderId="188" xfId="13" applyNumberFormat="1" applyFont="1" applyFill="1" applyBorder="1" applyAlignment="1">
      <alignment vertical="center"/>
    </xf>
    <xf numFmtId="168" fontId="0" fillId="70" borderId="112" xfId="13" applyNumberFormat="1" applyFont="1" applyFill="1" applyBorder="1" applyAlignment="1">
      <alignment vertical="center"/>
    </xf>
    <xf numFmtId="168" fontId="0" fillId="70" borderId="117" xfId="13" applyNumberFormat="1" applyFont="1" applyFill="1" applyBorder="1" applyAlignment="1">
      <alignment vertical="center"/>
    </xf>
    <xf numFmtId="168" fontId="13" fillId="70" borderId="132" xfId="13" applyNumberFormat="1" applyFont="1" applyFill="1" applyBorder="1" applyAlignment="1">
      <alignment vertical="center"/>
    </xf>
    <xf numFmtId="168" fontId="0" fillId="72" borderId="133" xfId="13" applyNumberFormat="1" applyFont="1" applyFill="1" applyBorder="1" applyAlignment="1">
      <alignment vertical="center"/>
    </xf>
    <xf numFmtId="168" fontId="0" fillId="72" borderId="134" xfId="13" applyNumberFormat="1" applyFont="1" applyFill="1" applyBorder="1" applyAlignment="1">
      <alignment vertical="center"/>
    </xf>
    <xf numFmtId="168" fontId="13" fillId="72" borderId="112" xfId="13" applyNumberFormat="1" applyFont="1" applyFill="1" applyBorder="1" applyAlignment="1">
      <alignment vertical="center"/>
    </xf>
    <xf numFmtId="168" fontId="13" fillId="1" borderId="135" xfId="13" applyNumberFormat="1" applyFont="1" applyFill="1" applyBorder="1" applyAlignment="1">
      <alignment vertical="center"/>
    </xf>
    <xf numFmtId="178" fontId="0" fillId="29" borderId="173" xfId="13" applyNumberFormat="1" applyFont="1" applyFill="1" applyBorder="1" applyAlignment="1">
      <alignment vertical="center"/>
    </xf>
    <xf numFmtId="178" fontId="0" fillId="29" borderId="174" xfId="13" applyNumberFormat="1" applyFont="1" applyFill="1" applyBorder="1" applyAlignment="1">
      <alignment vertical="center"/>
    </xf>
    <xf numFmtId="178" fontId="0" fillId="29" borderId="175" xfId="13" applyNumberFormat="1" applyFont="1" applyFill="1" applyBorder="1" applyAlignment="1">
      <alignment vertical="center"/>
    </xf>
    <xf numFmtId="178" fontId="0" fillId="29" borderId="191" xfId="13" applyNumberFormat="1" applyFont="1" applyFill="1" applyBorder="1" applyAlignment="1">
      <alignment vertical="center"/>
    </xf>
    <xf numFmtId="178" fontId="0" fillId="29" borderId="186" xfId="13" applyNumberFormat="1" applyFont="1" applyFill="1" applyBorder="1" applyAlignment="1">
      <alignment vertical="center"/>
    </xf>
    <xf numFmtId="178" fontId="0" fillId="29" borderId="188" xfId="13" applyNumberFormat="1" applyFont="1" applyFill="1" applyBorder="1" applyAlignment="1">
      <alignment vertical="center"/>
    </xf>
    <xf numFmtId="178" fontId="0" fillId="29" borderId="82" xfId="13" applyNumberFormat="1" applyFont="1" applyFill="1" applyBorder="1" applyAlignment="1">
      <alignment vertical="center"/>
    </xf>
    <xf numFmtId="178" fontId="0" fillId="29" borderId="190" xfId="13" applyNumberFormat="1" applyFont="1" applyFill="1" applyBorder="1" applyAlignment="1">
      <alignment vertical="center"/>
    </xf>
    <xf numFmtId="178" fontId="0" fillId="29" borderId="81" xfId="13" applyNumberFormat="1" applyFont="1" applyFill="1" applyBorder="1" applyAlignment="1">
      <alignment vertical="center"/>
    </xf>
    <xf numFmtId="178" fontId="0" fillId="0" borderId="0" xfId="0" applyNumberFormat="1"/>
    <xf numFmtId="0" fontId="13" fillId="66" borderId="77" xfId="0" applyFont="1" applyFill="1" applyBorder="1" applyAlignment="1">
      <alignment horizontal="center" vertical="center"/>
    </xf>
    <xf numFmtId="0" fontId="13" fillId="12" borderId="77" xfId="0" applyFont="1" applyFill="1" applyBorder="1" applyAlignment="1">
      <alignment horizontal="center" vertical="center"/>
    </xf>
    <xf numFmtId="168" fontId="13" fillId="73" borderId="77" xfId="13" applyNumberFormat="1" applyFont="1" applyFill="1" applyBorder="1" applyAlignment="1">
      <alignment horizontal="center" vertical="center"/>
    </xf>
    <xf numFmtId="168" fontId="13" fillId="74" borderId="77" xfId="13" applyNumberFormat="1" applyFont="1" applyFill="1" applyBorder="1" applyAlignment="1">
      <alignment horizontal="center" vertical="center"/>
    </xf>
    <xf numFmtId="0" fontId="1" fillId="42" borderId="0" xfId="58" applyFill="1"/>
    <xf numFmtId="0" fontId="37" fillId="71" borderId="210" xfId="58" applyFont="1" applyFill="1" applyBorder="1" applyAlignment="1">
      <alignment horizontal="center" vertical="center"/>
    </xf>
    <xf numFmtId="0" fontId="37" fillId="75" borderId="210" xfId="58" applyFont="1" applyFill="1" applyBorder="1" applyAlignment="1">
      <alignment horizontal="center" vertical="center" wrapText="1"/>
    </xf>
    <xf numFmtId="0" fontId="37" fillId="42" borderId="0" xfId="58" applyFont="1" applyFill="1" applyAlignment="1">
      <alignment horizontal="right"/>
    </xf>
    <xf numFmtId="1" fontId="38" fillId="42" borderId="210" xfId="59" applyNumberFormat="1" applyFont="1" applyFill="1" applyBorder="1" applyAlignment="1">
      <alignment horizontal="center" vertical="center"/>
    </xf>
    <xf numFmtId="1" fontId="38" fillId="42" borderId="0" xfId="59" applyNumberFormat="1" applyFont="1" applyFill="1" applyBorder="1" applyAlignment="1">
      <alignment horizontal="center" vertical="center"/>
    </xf>
    <xf numFmtId="0" fontId="37" fillId="45" borderId="0" xfId="58" applyFont="1" applyFill="1" applyAlignment="1">
      <alignment horizontal="left" vertical="center" indent="1"/>
    </xf>
    <xf numFmtId="0" fontId="1" fillId="42" borderId="0" xfId="58" applyFill="1" applyAlignment="1">
      <alignment horizontal="left" indent="2"/>
    </xf>
    <xf numFmtId="188" fontId="1" fillId="42" borderId="0" xfId="58" applyNumberFormat="1" applyFill="1"/>
    <xf numFmtId="188" fontId="37" fillId="42" borderId="0" xfId="58" applyNumberFormat="1" applyFont="1" applyFill="1"/>
    <xf numFmtId="0" fontId="37" fillId="71" borderId="186" xfId="58" applyFont="1" applyFill="1" applyBorder="1" applyAlignment="1">
      <alignment horizontal="left" indent="2"/>
    </xf>
    <xf numFmtId="188" fontId="37" fillId="71" borderId="186" xfId="58" applyNumberFormat="1" applyFont="1" applyFill="1" applyBorder="1"/>
    <xf numFmtId="178" fontId="0" fillId="44" borderId="190" xfId="13" applyNumberFormat="1" applyFont="1" applyFill="1" applyBorder="1" applyAlignment="1">
      <alignment vertical="center"/>
    </xf>
    <xf numFmtId="0" fontId="0" fillId="44" borderId="47" xfId="0" applyFill="1" applyBorder="1" applyAlignment="1">
      <alignment horizontal="left" vertical="center"/>
    </xf>
    <xf numFmtId="0" fontId="0" fillId="44" borderId="113" xfId="0" applyFill="1" applyBorder="1" applyAlignment="1">
      <alignment horizontal="left" vertical="center"/>
    </xf>
    <xf numFmtId="0" fontId="0" fillId="44" borderId="201" xfId="0" applyFill="1" applyBorder="1" applyAlignment="1">
      <alignment horizontal="left" vertical="center"/>
    </xf>
    <xf numFmtId="0" fontId="0" fillId="44" borderId="200" xfId="0" applyFill="1" applyBorder="1" applyAlignment="1">
      <alignment horizontal="left" vertical="center"/>
    </xf>
    <xf numFmtId="168" fontId="13" fillId="15" borderId="211" xfId="0" applyNumberFormat="1" applyFont="1" applyFill="1" applyBorder="1" applyAlignment="1">
      <alignment horizontal="center" vertical="center" wrapText="1"/>
    </xf>
    <xf numFmtId="170" fontId="0" fillId="12" borderId="171" xfId="13" applyNumberFormat="1" applyFont="1" applyFill="1" applyBorder="1" applyAlignment="1" applyProtection="1">
      <alignment horizontal="center" vertical="center"/>
      <protection locked="0"/>
    </xf>
    <xf numFmtId="170" fontId="0" fillId="12" borderId="212" xfId="13" applyNumberFormat="1" applyFont="1" applyFill="1" applyBorder="1" applyAlignment="1" applyProtection="1">
      <alignment horizontal="center" vertical="center"/>
      <protection locked="0"/>
    </xf>
    <xf numFmtId="170" fontId="0" fillId="12" borderId="192" xfId="13" applyNumberFormat="1" applyFont="1" applyFill="1" applyBorder="1" applyAlignment="1" applyProtection="1">
      <alignment horizontal="center" vertical="center"/>
      <protection locked="0"/>
    </xf>
    <xf numFmtId="178" fontId="0" fillId="44" borderId="173" xfId="13" applyNumberFormat="1" applyFont="1" applyFill="1" applyBorder="1" applyAlignment="1">
      <alignment vertical="center"/>
    </xf>
    <xf numFmtId="178" fontId="0" fillId="44" borderId="175" xfId="13" applyNumberFormat="1" applyFont="1" applyFill="1" applyBorder="1" applyAlignment="1">
      <alignment vertical="center"/>
    </xf>
    <xf numFmtId="178" fontId="0" fillId="44" borderId="102" xfId="13" applyNumberFormat="1" applyFont="1" applyFill="1" applyBorder="1" applyAlignment="1">
      <alignment vertical="center"/>
    </xf>
    <xf numFmtId="178" fontId="0" fillId="44" borderId="111" xfId="13" applyNumberFormat="1" applyFont="1" applyFill="1" applyBorder="1" applyAlignment="1">
      <alignment vertical="center"/>
    </xf>
    <xf numFmtId="178" fontId="0" fillId="44" borderId="82" xfId="13" applyNumberFormat="1" applyFont="1" applyFill="1" applyBorder="1" applyAlignment="1">
      <alignment vertical="center"/>
    </xf>
    <xf numFmtId="178" fontId="0" fillId="44" borderId="81" xfId="13" applyNumberFormat="1" applyFont="1" applyFill="1" applyBorder="1" applyAlignment="1">
      <alignment vertical="center"/>
    </xf>
    <xf numFmtId="168" fontId="13" fillId="15" borderId="205" xfId="0" applyNumberFormat="1" applyFont="1" applyFill="1" applyBorder="1" applyAlignment="1">
      <alignment horizontal="center" vertical="center" wrapText="1"/>
    </xf>
    <xf numFmtId="170" fontId="0" fillId="44" borderId="47" xfId="13" applyNumberFormat="1" applyFont="1" applyFill="1" applyBorder="1" applyAlignment="1">
      <alignment horizontal="center" vertical="center"/>
    </xf>
    <xf numFmtId="170" fontId="0" fillId="44" borderId="200" xfId="13" applyNumberFormat="1" applyFont="1" applyFill="1" applyBorder="1" applyAlignment="1">
      <alignment horizontal="center" vertical="center"/>
    </xf>
    <xf numFmtId="170" fontId="0" fillId="44" borderId="201" xfId="13" applyNumberFormat="1" applyFont="1" applyFill="1" applyBorder="1" applyAlignment="1">
      <alignment horizontal="center" vertical="center"/>
    </xf>
    <xf numFmtId="179" fontId="0" fillId="56" borderId="114" xfId="13" applyNumberFormat="1" applyFont="1" applyFill="1" applyBorder="1" applyAlignment="1">
      <alignment horizontal="center" vertical="center"/>
    </xf>
    <xf numFmtId="179" fontId="0" fillId="56" borderId="7" xfId="13" applyNumberFormat="1" applyFont="1" applyFill="1" applyBorder="1" applyAlignment="1">
      <alignment horizontal="center" vertical="center"/>
    </xf>
    <xf numFmtId="168" fontId="13" fillId="34" borderId="51" xfId="0" applyNumberFormat="1" applyFont="1" applyFill="1" applyBorder="1" applyAlignment="1">
      <alignment horizontal="center" vertical="center" wrapText="1"/>
    </xf>
    <xf numFmtId="179" fontId="0" fillId="12" borderId="47" xfId="13" applyNumberFormat="1" applyFont="1" applyFill="1" applyBorder="1" applyAlignment="1" applyProtection="1">
      <alignment horizontal="center" vertical="center"/>
      <protection locked="0"/>
    </xf>
    <xf numFmtId="179" fontId="0" fillId="12" borderId="113" xfId="13" applyNumberFormat="1" applyFont="1" applyFill="1" applyBorder="1" applyAlignment="1" applyProtection="1">
      <alignment horizontal="center" vertical="center"/>
      <protection locked="0"/>
    </xf>
    <xf numFmtId="179" fontId="0" fillId="12" borderId="201" xfId="13" applyNumberFormat="1" applyFont="1" applyFill="1" applyBorder="1" applyAlignment="1" applyProtection="1">
      <alignment horizontal="center" vertical="center"/>
      <protection locked="0"/>
    </xf>
    <xf numFmtId="179" fontId="0" fillId="56" borderId="113" xfId="13" applyNumberFormat="1" applyFont="1" applyFill="1" applyBorder="1" applyAlignment="1">
      <alignment horizontal="center" vertical="center"/>
    </xf>
    <xf numFmtId="179" fontId="0" fillId="29" borderId="216" xfId="0" applyNumberFormat="1" applyFill="1" applyBorder="1"/>
    <xf numFmtId="0" fontId="13" fillId="16" borderId="176" xfId="0" applyFont="1" applyFill="1" applyBorder="1" applyAlignment="1">
      <alignment horizontal="center" vertical="center" wrapText="1"/>
    </xf>
    <xf numFmtId="179" fontId="13" fillId="29" borderId="97" xfId="0" applyNumberFormat="1" applyFont="1" applyFill="1" applyBorder="1" applyAlignment="1">
      <alignment vertical="center"/>
    </xf>
    <xf numFmtId="179" fontId="13" fillId="29" borderId="85" xfId="0" applyNumberFormat="1" applyFont="1" applyFill="1" applyBorder="1" applyAlignment="1">
      <alignment vertical="center"/>
    </xf>
    <xf numFmtId="179" fontId="13" fillId="29" borderId="99" xfId="0" applyNumberFormat="1" applyFont="1" applyFill="1" applyBorder="1" applyAlignment="1">
      <alignment vertical="center"/>
    </xf>
    <xf numFmtId="179" fontId="13" fillId="56" borderId="85" xfId="0" applyNumberFormat="1" applyFont="1" applyFill="1" applyBorder="1" applyAlignment="1">
      <alignment vertical="center"/>
    </xf>
    <xf numFmtId="168" fontId="0" fillId="29" borderId="200" xfId="13" applyNumberFormat="1" applyFont="1" applyFill="1" applyBorder="1" applyAlignment="1">
      <alignment vertical="center"/>
    </xf>
    <xf numFmtId="168" fontId="0" fillId="29" borderId="201" xfId="13" applyNumberFormat="1" applyFont="1" applyFill="1" applyBorder="1" applyAlignment="1">
      <alignment vertical="center"/>
    </xf>
    <xf numFmtId="168" fontId="0" fillId="70" borderId="200" xfId="13" applyNumberFormat="1" applyFont="1" applyFill="1" applyBorder="1" applyAlignment="1">
      <alignment vertical="center"/>
    </xf>
    <xf numFmtId="167" fontId="0" fillId="0" borderId="218" xfId="13" applyNumberFormat="1" applyFont="1" applyBorder="1" applyAlignment="1">
      <alignment vertical="center"/>
    </xf>
    <xf numFmtId="168" fontId="0" fillId="29" borderId="60" xfId="13" applyNumberFormat="1" applyFont="1" applyFill="1" applyBorder="1" applyAlignment="1">
      <alignment vertical="center"/>
    </xf>
    <xf numFmtId="168" fontId="0" fillId="29" borderId="169" xfId="13" applyNumberFormat="1" applyFont="1" applyFill="1" applyBorder="1" applyAlignment="1">
      <alignment vertical="center"/>
    </xf>
    <xf numFmtId="168" fontId="0" fillId="29" borderId="219" xfId="13" applyNumberFormat="1" applyFont="1" applyFill="1" applyBorder="1" applyAlignment="1">
      <alignment vertical="center"/>
    </xf>
    <xf numFmtId="168" fontId="0" fillId="29" borderId="173" xfId="13" applyNumberFormat="1" applyFont="1" applyFill="1" applyBorder="1" applyAlignment="1">
      <alignment vertical="center"/>
    </xf>
    <xf numFmtId="168" fontId="0" fillId="29" borderId="174" xfId="13" applyNumberFormat="1" applyFont="1" applyFill="1" applyBorder="1" applyAlignment="1">
      <alignment vertical="center"/>
    </xf>
    <xf numFmtId="167" fontId="0" fillId="0" borderId="213" xfId="13" applyNumberFormat="1" applyFont="1" applyBorder="1" applyAlignment="1">
      <alignment vertical="center"/>
    </xf>
    <xf numFmtId="168" fontId="0" fillId="29" borderId="191" xfId="13" applyNumberFormat="1" applyFont="1" applyFill="1" applyBorder="1" applyAlignment="1">
      <alignment vertical="center"/>
    </xf>
    <xf numFmtId="168" fontId="0" fillId="29" borderId="186" xfId="13" applyNumberFormat="1" applyFont="1" applyFill="1" applyBorder="1" applyAlignment="1">
      <alignment vertical="center"/>
    </xf>
    <xf numFmtId="168" fontId="0" fillId="29" borderId="190" xfId="13" applyNumberFormat="1" applyFont="1" applyFill="1" applyBorder="1" applyAlignment="1">
      <alignment vertical="center"/>
    </xf>
    <xf numFmtId="168" fontId="0" fillId="0" borderId="188" xfId="13" applyNumberFormat="1" applyFont="1" applyBorder="1" applyAlignment="1">
      <alignment vertical="center"/>
    </xf>
    <xf numFmtId="168" fontId="0" fillId="0" borderId="81" xfId="13" applyNumberFormat="1" applyFont="1" applyBorder="1" applyAlignment="1">
      <alignment vertical="center"/>
    </xf>
    <xf numFmtId="168" fontId="0" fillId="42" borderId="60" xfId="13" applyNumberFormat="1" applyFont="1" applyFill="1" applyBorder="1" applyAlignment="1">
      <alignment vertical="center"/>
    </xf>
    <xf numFmtId="168" fontId="0" fillId="42" borderId="169" xfId="13" applyNumberFormat="1" applyFont="1" applyFill="1" applyBorder="1" applyAlignment="1">
      <alignment vertical="center"/>
    </xf>
    <xf numFmtId="168" fontId="0" fillId="42" borderId="103" xfId="13" applyNumberFormat="1" applyFont="1" applyFill="1" applyBorder="1" applyAlignment="1">
      <alignment vertical="center"/>
    </xf>
    <xf numFmtId="168" fontId="0" fillId="67" borderId="191" xfId="13" applyNumberFormat="1" applyFont="1" applyFill="1" applyBorder="1" applyAlignment="1">
      <alignment vertical="center"/>
    </xf>
    <xf numFmtId="168" fontId="0" fillId="67" borderId="186" xfId="13" applyNumberFormat="1" applyFont="1" applyFill="1" applyBorder="1" applyAlignment="1">
      <alignment vertical="center"/>
    </xf>
    <xf numFmtId="168" fontId="0" fillId="67" borderId="188" xfId="13" applyNumberFormat="1" applyFont="1" applyFill="1" applyBorder="1" applyAlignment="1">
      <alignment vertical="center"/>
    </xf>
    <xf numFmtId="168" fontId="0" fillId="42" borderId="82" xfId="13" applyNumberFormat="1" applyFont="1" applyFill="1" applyBorder="1" applyAlignment="1">
      <alignment vertical="center"/>
    </xf>
    <xf numFmtId="168" fontId="0" fillId="42" borderId="190" xfId="13" applyNumberFormat="1" applyFont="1" applyFill="1" applyBorder="1" applyAlignment="1">
      <alignment vertical="center"/>
    </xf>
    <xf numFmtId="168" fontId="0" fillId="42" borderId="81" xfId="13" applyNumberFormat="1" applyFont="1" applyFill="1" applyBorder="1" applyAlignment="1">
      <alignment vertical="center"/>
    </xf>
    <xf numFmtId="168" fontId="0" fillId="42" borderId="173" xfId="13" applyNumberFormat="1" applyFont="1" applyFill="1" applyBorder="1" applyAlignment="1">
      <alignment vertical="center"/>
    </xf>
    <xf numFmtId="168" fontId="0" fillId="42" borderId="174" xfId="13" applyNumberFormat="1" applyFont="1" applyFill="1" applyBorder="1" applyAlignment="1">
      <alignment vertical="center"/>
    </xf>
    <xf numFmtId="168" fontId="0" fillId="42" borderId="175" xfId="13" applyNumberFormat="1" applyFont="1" applyFill="1" applyBorder="1" applyAlignment="1">
      <alignment vertical="center"/>
    </xf>
    <xf numFmtId="168" fontId="0" fillId="42" borderId="191" xfId="13" applyNumberFormat="1" applyFont="1" applyFill="1" applyBorder="1" applyAlignment="1">
      <alignment vertical="center"/>
    </xf>
    <xf numFmtId="168" fontId="0" fillId="42" borderId="186" xfId="13" applyNumberFormat="1" applyFont="1" applyFill="1" applyBorder="1" applyAlignment="1">
      <alignment vertical="center"/>
    </xf>
    <xf numFmtId="168" fontId="0" fillId="42" borderId="188" xfId="13" applyNumberFormat="1" applyFont="1" applyFill="1" applyBorder="1" applyAlignment="1">
      <alignment vertical="center"/>
    </xf>
    <xf numFmtId="178" fontId="0" fillId="12" borderId="182" xfId="13" applyNumberFormat="1" applyFont="1" applyFill="1" applyBorder="1" applyAlignment="1" applyProtection="1">
      <alignment vertical="center"/>
      <protection locked="0"/>
    </xf>
    <xf numFmtId="178" fontId="0" fillId="12" borderId="16" xfId="13" applyNumberFormat="1" applyFont="1" applyFill="1" applyBorder="1" applyAlignment="1" applyProtection="1">
      <alignment vertical="center"/>
      <protection locked="0"/>
    </xf>
    <xf numFmtId="178" fontId="0" fillId="12" borderId="221" xfId="13" applyNumberFormat="1" applyFont="1" applyFill="1" applyBorder="1" applyAlignment="1" applyProtection="1">
      <alignment vertical="center"/>
      <protection locked="0"/>
    </xf>
    <xf numFmtId="177" fontId="0" fillId="29" borderId="97" xfId="0" applyNumberFormat="1" applyFill="1" applyBorder="1" applyAlignment="1">
      <alignment vertical="center"/>
    </xf>
    <xf numFmtId="177" fontId="0" fillId="29" borderId="222" xfId="0" applyNumberFormat="1" applyFill="1" applyBorder="1" applyAlignment="1">
      <alignment vertical="center"/>
    </xf>
    <xf numFmtId="177" fontId="0" fillId="29" borderId="223" xfId="0" applyNumberFormat="1" applyFill="1" applyBorder="1" applyAlignment="1">
      <alignment vertical="center"/>
    </xf>
    <xf numFmtId="177" fontId="0" fillId="29" borderId="99" xfId="0" applyNumberFormat="1" applyFill="1" applyBorder="1" applyAlignment="1">
      <alignment vertical="center"/>
    </xf>
    <xf numFmtId="177" fontId="0" fillId="56" borderId="97" xfId="0" applyNumberFormat="1" applyFill="1" applyBorder="1" applyAlignment="1">
      <alignment vertical="center"/>
    </xf>
    <xf numFmtId="177" fontId="0" fillId="56" borderId="222" xfId="0" applyNumberFormat="1" applyFill="1" applyBorder="1" applyAlignment="1">
      <alignment vertical="center"/>
    </xf>
    <xf numFmtId="177" fontId="0" fillId="56" borderId="99" xfId="0" applyNumberFormat="1" applyFill="1" applyBorder="1" applyAlignment="1">
      <alignment vertical="center"/>
    </xf>
    <xf numFmtId="0" fontId="0" fillId="56" borderId="173" xfId="0" applyFill="1" applyBorder="1" applyAlignment="1">
      <alignment horizontal="left" vertical="center"/>
    </xf>
    <xf numFmtId="0" fontId="0" fillId="56" borderId="174" xfId="0" applyFill="1" applyBorder="1" applyAlignment="1">
      <alignment horizontal="left" vertical="center"/>
    </xf>
    <xf numFmtId="0" fontId="0" fillId="56" borderId="175" xfId="0" applyFill="1" applyBorder="1" applyAlignment="1">
      <alignment horizontal="left" vertical="center"/>
    </xf>
    <xf numFmtId="178" fontId="0" fillId="56" borderId="220" xfId="13" applyNumberFormat="1" applyFont="1" applyFill="1" applyBorder="1" applyAlignment="1">
      <alignment vertical="center"/>
    </xf>
    <xf numFmtId="178" fontId="0" fillId="56" borderId="174" xfId="13" applyNumberFormat="1" applyFont="1" applyFill="1" applyBorder="1" applyAlignment="1">
      <alignment vertical="center"/>
    </xf>
    <xf numFmtId="0" fontId="0" fillId="56" borderId="191" xfId="0" applyFill="1" applyBorder="1" applyAlignment="1">
      <alignment horizontal="left" vertical="center"/>
    </xf>
    <xf numFmtId="0" fontId="0" fillId="56" borderId="186" xfId="0" applyFill="1" applyBorder="1" applyAlignment="1">
      <alignment horizontal="left" vertical="center"/>
    </xf>
    <xf numFmtId="0" fontId="0" fillId="56" borderId="188" xfId="0" applyFill="1" applyBorder="1" applyAlignment="1">
      <alignment horizontal="left" vertical="center"/>
    </xf>
    <xf numFmtId="178" fontId="0" fillId="56" borderId="182" xfId="13" applyNumberFormat="1" applyFont="1" applyFill="1" applyBorder="1" applyAlignment="1">
      <alignment vertical="center"/>
    </xf>
    <xf numFmtId="178" fontId="0" fillId="56" borderId="163" xfId="13" applyNumberFormat="1" applyFont="1" applyFill="1" applyBorder="1" applyAlignment="1">
      <alignment vertical="center"/>
    </xf>
    <xf numFmtId="0" fontId="0" fillId="56" borderId="82" xfId="0" applyFill="1" applyBorder="1" applyAlignment="1">
      <alignment horizontal="left" vertical="center"/>
    </xf>
    <xf numFmtId="0" fontId="0" fillId="56" borderId="190" xfId="0" applyFill="1" applyBorder="1" applyAlignment="1">
      <alignment horizontal="left" vertical="center"/>
    </xf>
    <xf numFmtId="0" fontId="0" fillId="56" borderId="81" xfId="0" applyFill="1" applyBorder="1" applyAlignment="1">
      <alignment horizontal="left" vertical="center"/>
    </xf>
    <xf numFmtId="178" fontId="0" fillId="56" borderId="221" xfId="13" applyNumberFormat="1" applyFont="1" applyFill="1" applyBorder="1" applyAlignment="1">
      <alignment vertical="center"/>
    </xf>
    <xf numFmtId="178" fontId="0" fillId="56" borderId="80" xfId="13" applyNumberFormat="1" applyFont="1" applyFill="1" applyBorder="1" applyAlignment="1">
      <alignment vertical="center"/>
    </xf>
    <xf numFmtId="168" fontId="14" fillId="56" borderId="191" xfId="13" applyNumberFormat="1" applyFill="1" applyBorder="1" applyAlignment="1">
      <alignment vertical="center"/>
    </xf>
    <xf numFmtId="167" fontId="0" fillId="0" borderId="106" xfId="13" applyNumberFormat="1" applyFont="1" applyBorder="1" applyAlignment="1">
      <alignment vertical="center"/>
    </xf>
    <xf numFmtId="167" fontId="0" fillId="0" borderId="224" xfId="13" applyNumberFormat="1" applyFont="1" applyBorder="1" applyAlignment="1">
      <alignment vertical="center"/>
    </xf>
    <xf numFmtId="167" fontId="0" fillId="0" borderId="225" xfId="13" applyNumberFormat="1" applyFont="1" applyBorder="1" applyAlignment="1">
      <alignment vertical="center"/>
    </xf>
    <xf numFmtId="180" fontId="14" fillId="36" borderId="171" xfId="16" applyNumberFormat="1" applyFill="1" applyBorder="1" applyAlignment="1">
      <alignment horizontal="center" vertical="center"/>
    </xf>
    <xf numFmtId="180" fontId="14" fillId="36" borderId="212" xfId="16" applyNumberFormat="1" applyFill="1" applyBorder="1" applyAlignment="1">
      <alignment horizontal="center" vertical="center"/>
    </xf>
    <xf numFmtId="180" fontId="14" fillId="36" borderId="192" xfId="16" applyNumberFormat="1" applyFill="1" applyBorder="1" applyAlignment="1">
      <alignment horizontal="center" vertical="center"/>
    </xf>
    <xf numFmtId="168" fontId="0" fillId="29" borderId="198" xfId="13" applyNumberFormat="1" applyFont="1" applyFill="1" applyBorder="1" applyAlignment="1">
      <alignment vertical="center"/>
    </xf>
    <xf numFmtId="168" fontId="0" fillId="29" borderId="209" xfId="13" applyNumberFormat="1" applyFont="1" applyFill="1" applyBorder="1" applyAlignment="1">
      <alignment vertical="center"/>
    </xf>
    <xf numFmtId="168" fontId="0" fillId="29" borderId="199" xfId="13" applyNumberFormat="1" applyFont="1" applyFill="1" applyBorder="1" applyAlignment="1">
      <alignment vertical="center"/>
    </xf>
    <xf numFmtId="168" fontId="14" fillId="56" borderId="186" xfId="13" applyNumberFormat="1" applyFill="1" applyBorder="1" applyAlignment="1">
      <alignment vertical="center"/>
    </xf>
    <xf numFmtId="168" fontId="0" fillId="29" borderId="175" xfId="13" applyNumberFormat="1" applyFont="1" applyFill="1" applyBorder="1" applyAlignment="1">
      <alignment vertical="center"/>
    </xf>
    <xf numFmtId="168" fontId="14" fillId="56" borderId="188" xfId="13" applyNumberFormat="1" applyFill="1" applyBorder="1" applyAlignment="1">
      <alignment vertical="center"/>
    </xf>
    <xf numFmtId="168" fontId="13" fillId="39" borderId="209" xfId="13" applyNumberFormat="1" applyFont="1" applyFill="1" applyBorder="1" applyAlignment="1">
      <alignment vertical="center"/>
    </xf>
    <xf numFmtId="168" fontId="13" fillId="39" borderId="226" xfId="13" applyNumberFormat="1" applyFont="1" applyFill="1" applyBorder="1" applyAlignment="1">
      <alignment vertical="center"/>
    </xf>
    <xf numFmtId="168" fontId="14" fillId="1" borderId="60" xfId="13" applyNumberFormat="1" applyFill="1" applyBorder="1" applyAlignment="1">
      <alignment vertical="center"/>
    </xf>
    <xf numFmtId="168" fontId="14" fillId="0" borderId="169" xfId="13" applyNumberFormat="1" applyBorder="1" applyAlignment="1">
      <alignment vertical="center"/>
    </xf>
    <xf numFmtId="168" fontId="14" fillId="0" borderId="219" xfId="13" applyNumberFormat="1" applyBorder="1" applyAlignment="1">
      <alignment vertical="center"/>
    </xf>
    <xf numFmtId="168" fontId="14" fillId="0" borderId="103" xfId="13" applyNumberFormat="1" applyBorder="1" applyAlignment="1">
      <alignment vertical="center"/>
    </xf>
    <xf numFmtId="168" fontId="22" fillId="31" borderId="45" xfId="13" applyNumberFormat="1" applyFont="1" applyFill="1" applyBorder="1" applyAlignment="1">
      <alignment vertical="center" wrapText="1"/>
    </xf>
    <xf numFmtId="168" fontId="22" fillId="31" borderId="228" xfId="13" applyNumberFormat="1" applyFont="1" applyFill="1" applyBorder="1" applyAlignment="1">
      <alignment vertical="center" wrapText="1"/>
    </xf>
    <xf numFmtId="168" fontId="22" fillId="31" borderId="46" xfId="13" applyNumberFormat="1" applyFont="1" applyFill="1" applyBorder="1" applyAlignment="1">
      <alignment vertical="center" wrapText="1"/>
    </xf>
    <xf numFmtId="168" fontId="14" fillId="0" borderId="230" xfId="13" applyNumberFormat="1" applyBorder="1" applyAlignment="1">
      <alignment vertical="center"/>
    </xf>
    <xf numFmtId="168" fontId="22" fillId="31" borderId="231" xfId="13" applyNumberFormat="1" applyFont="1" applyFill="1" applyBorder="1" applyAlignment="1">
      <alignment vertical="center" wrapText="1"/>
    </xf>
    <xf numFmtId="168" fontId="22" fillId="31" borderId="232" xfId="13" applyNumberFormat="1" applyFont="1" applyFill="1" applyBorder="1" applyAlignment="1">
      <alignment vertical="center" wrapText="1"/>
    </xf>
    <xf numFmtId="168" fontId="13" fillId="34" borderId="206" xfId="0" applyNumberFormat="1" applyFont="1" applyFill="1" applyBorder="1" applyAlignment="1">
      <alignment horizontal="center" vertical="center" wrapText="1"/>
    </xf>
    <xf numFmtId="168" fontId="14" fillId="0" borderId="171" xfId="13" applyNumberFormat="1" applyBorder="1" applyAlignment="1">
      <alignment vertical="center"/>
    </xf>
    <xf numFmtId="173" fontId="0" fillId="0" borderId="212" xfId="12" applyNumberFormat="1" applyFont="1" applyBorder="1" applyAlignment="1">
      <alignment vertical="center"/>
    </xf>
    <xf numFmtId="168" fontId="13" fillId="39" borderId="235" xfId="13" applyNumberFormat="1" applyFont="1" applyFill="1" applyBorder="1" applyAlignment="1">
      <alignment vertical="center"/>
    </xf>
    <xf numFmtId="168" fontId="13" fillId="39" borderId="192" xfId="13" applyNumberFormat="1" applyFont="1" applyFill="1" applyBorder="1" applyAlignment="1">
      <alignment vertical="center"/>
    </xf>
    <xf numFmtId="168" fontId="0" fillId="0" borderId="227" xfId="13" applyNumberFormat="1" applyFont="1" applyBorder="1" applyAlignment="1">
      <alignment vertical="center"/>
    </xf>
    <xf numFmtId="168" fontId="14" fillId="0" borderId="227" xfId="13" applyNumberFormat="1" applyBorder="1" applyAlignment="1">
      <alignment vertical="center"/>
    </xf>
    <xf numFmtId="168" fontId="14" fillId="1" borderId="171" xfId="13" applyNumberFormat="1" applyFill="1" applyBorder="1" applyAlignment="1">
      <alignment vertical="center"/>
    </xf>
    <xf numFmtId="173" fontId="0" fillId="1" borderId="212" xfId="12" applyNumberFormat="1" applyFont="1" applyFill="1" applyBorder="1" applyAlignment="1">
      <alignment vertical="center"/>
    </xf>
    <xf numFmtId="168" fontId="0" fillId="0" borderId="171" xfId="13" applyNumberFormat="1" applyFont="1" applyBorder="1" applyAlignment="1">
      <alignment vertical="center"/>
    </xf>
    <xf numFmtId="168" fontId="14" fillId="1" borderId="188" xfId="13" applyNumberFormat="1" applyFill="1" applyBorder="1" applyAlignment="1">
      <alignment vertical="center"/>
    </xf>
    <xf numFmtId="168" fontId="0" fillId="0" borderId="219" xfId="13" applyNumberFormat="1" applyFont="1" applyBorder="1" applyAlignment="1">
      <alignment vertical="center"/>
    </xf>
    <xf numFmtId="168" fontId="14" fillId="1" borderId="230" xfId="13" applyNumberFormat="1" applyFill="1" applyBorder="1" applyAlignment="1">
      <alignment vertical="center"/>
    </xf>
    <xf numFmtId="168" fontId="0" fillId="0" borderId="230" xfId="13" applyNumberFormat="1" applyFont="1" applyBorder="1" applyAlignment="1">
      <alignment vertical="center"/>
    </xf>
    <xf numFmtId="168" fontId="0" fillId="10" borderId="173" xfId="13" applyNumberFormat="1" applyFont="1" applyFill="1" applyBorder="1" applyAlignment="1">
      <alignment horizontal="right" vertical="center"/>
    </xf>
    <xf numFmtId="168" fontId="0" fillId="10" borderId="191" xfId="13" applyNumberFormat="1" applyFont="1" applyFill="1" applyBorder="1" applyAlignment="1">
      <alignment horizontal="right" vertical="center"/>
    </xf>
    <xf numFmtId="168" fontId="13" fillId="39" borderId="82" xfId="13" applyNumberFormat="1" applyFont="1" applyFill="1" applyBorder="1" applyAlignment="1">
      <alignment horizontal="right" vertical="center"/>
    </xf>
    <xf numFmtId="168" fontId="13" fillId="39" borderId="198" xfId="13" applyNumberFormat="1" applyFont="1" applyFill="1" applyBorder="1" applyAlignment="1">
      <alignment horizontal="right" vertical="center"/>
    </xf>
    <xf numFmtId="168" fontId="0" fillId="10" borderId="60" xfId="13" applyNumberFormat="1" applyFont="1" applyFill="1" applyBorder="1" applyAlignment="1">
      <alignment horizontal="right" vertical="center"/>
    </xf>
    <xf numFmtId="168" fontId="22" fillId="31" borderId="61" xfId="13" applyNumberFormat="1" applyFont="1" applyFill="1" applyBorder="1" applyAlignment="1">
      <alignment vertical="center" wrapText="1"/>
    </xf>
    <xf numFmtId="168" fontId="22" fillId="31" borderId="204" xfId="13" applyNumberFormat="1" applyFont="1" applyFill="1" applyBorder="1" applyAlignment="1">
      <alignment vertical="center" wrapText="1"/>
    </xf>
    <xf numFmtId="168" fontId="22" fillId="31" borderId="92" xfId="13" applyNumberFormat="1" applyFont="1" applyFill="1" applyBorder="1" applyAlignment="1">
      <alignment vertical="center" wrapText="1"/>
    </xf>
    <xf numFmtId="168" fontId="22" fillId="31" borderId="203" xfId="13" applyNumberFormat="1" applyFont="1" applyFill="1" applyBorder="1" applyAlignment="1">
      <alignment vertical="center" wrapText="1"/>
    </xf>
    <xf numFmtId="168" fontId="22" fillId="31" borderId="62" xfId="13" applyNumberFormat="1" applyFont="1" applyFill="1" applyBorder="1" applyAlignment="1">
      <alignment vertical="center" wrapText="1"/>
    </xf>
    <xf numFmtId="168" fontId="0" fillId="10" borderId="230" xfId="13" applyNumberFormat="1" applyFont="1" applyFill="1" applyBorder="1" applyAlignment="1">
      <alignment horizontal="right" vertical="center"/>
    </xf>
    <xf numFmtId="168" fontId="0" fillId="10" borderId="200" xfId="13" applyNumberFormat="1" applyFont="1" applyFill="1" applyBorder="1" applyAlignment="1">
      <alignment horizontal="right" vertical="center"/>
    </xf>
    <xf numFmtId="168" fontId="13" fillId="39" borderId="201" xfId="13" applyNumberFormat="1" applyFont="1" applyFill="1" applyBorder="1" applyAlignment="1">
      <alignment horizontal="right" vertical="center"/>
    </xf>
    <xf numFmtId="168" fontId="13" fillId="39" borderId="226" xfId="13" applyNumberFormat="1" applyFont="1" applyFill="1" applyBorder="1" applyAlignment="1">
      <alignment horizontal="right" vertical="center"/>
    </xf>
    <xf numFmtId="168" fontId="0" fillId="10" borderId="219" xfId="13" applyNumberFormat="1" applyFont="1" applyFill="1" applyBorder="1" applyAlignment="1">
      <alignment horizontal="right" vertical="center"/>
    </xf>
    <xf numFmtId="168" fontId="13" fillId="39" borderId="90" xfId="13" applyNumberFormat="1" applyFont="1" applyFill="1" applyBorder="1" applyAlignment="1">
      <alignment horizontal="right" vertical="center"/>
    </xf>
    <xf numFmtId="168" fontId="13" fillId="39" borderId="238" xfId="13" applyNumberFormat="1" applyFont="1" applyFill="1" applyBorder="1" applyAlignment="1">
      <alignment horizontal="right" vertical="center"/>
    </xf>
    <xf numFmtId="168" fontId="22" fillId="31" borderId="216" xfId="13" applyNumberFormat="1" applyFont="1" applyFill="1" applyBorder="1" applyAlignment="1">
      <alignment vertical="center" wrapText="1"/>
    </xf>
    <xf numFmtId="168" fontId="22" fillId="31" borderId="50" xfId="13" applyNumberFormat="1" applyFont="1" applyFill="1" applyBorder="1" applyAlignment="1">
      <alignment vertical="center" wrapText="1"/>
    </xf>
    <xf numFmtId="168" fontId="14" fillId="42" borderId="97" xfId="13" applyNumberFormat="1" applyFill="1" applyBorder="1" applyAlignment="1">
      <alignment vertical="center"/>
    </xf>
    <xf numFmtId="173" fontId="0" fillId="12" borderId="222" xfId="12" applyNumberFormat="1" applyFont="1" applyFill="1" applyBorder="1" applyAlignment="1" applyProtection="1">
      <alignment vertical="center"/>
      <protection locked="0"/>
    </xf>
    <xf numFmtId="168" fontId="13" fillId="39" borderId="99" xfId="13" applyNumberFormat="1" applyFont="1" applyFill="1" applyBorder="1" applyAlignment="1">
      <alignment vertical="center"/>
    </xf>
    <xf numFmtId="168" fontId="13" fillId="39" borderId="223" xfId="13" applyNumberFormat="1" applyFont="1" applyFill="1" applyBorder="1" applyAlignment="1">
      <alignment vertical="center"/>
    </xf>
    <xf numFmtId="168" fontId="0" fillId="10" borderId="202" xfId="13" applyNumberFormat="1" applyFont="1" applyFill="1" applyBorder="1" applyAlignment="1">
      <alignment horizontal="right" vertical="center"/>
    </xf>
    <xf numFmtId="168" fontId="0" fillId="10" borderId="222" xfId="13" applyNumberFormat="1" applyFont="1" applyFill="1" applyBorder="1" applyAlignment="1">
      <alignment horizontal="right" vertical="center"/>
    </xf>
    <xf numFmtId="168" fontId="13" fillId="76" borderId="99" xfId="13" applyNumberFormat="1" applyFont="1" applyFill="1" applyBorder="1" applyAlignment="1">
      <alignment vertical="center"/>
    </xf>
    <xf numFmtId="168" fontId="0" fillId="10" borderId="97" xfId="13" applyNumberFormat="1" applyFont="1" applyFill="1" applyBorder="1" applyAlignment="1">
      <alignment horizontal="right" vertical="center"/>
    </xf>
    <xf numFmtId="168" fontId="13" fillId="76" borderId="223" xfId="13" applyNumberFormat="1" applyFont="1" applyFill="1" applyBorder="1" applyAlignment="1">
      <alignment vertical="center"/>
    </xf>
    <xf numFmtId="168" fontId="22" fillId="31" borderId="42" xfId="13" applyNumberFormat="1" applyFont="1" applyFill="1" applyBorder="1" applyAlignment="1">
      <alignment vertical="center" wrapText="1"/>
    </xf>
    <xf numFmtId="178" fontId="30" fillId="44" borderId="82" xfId="13" applyNumberFormat="1" applyFont="1" applyFill="1" applyBorder="1" applyAlignment="1">
      <alignment vertical="center"/>
    </xf>
    <xf numFmtId="178" fontId="30" fillId="44" borderId="190" xfId="13" applyNumberFormat="1" applyFont="1" applyFill="1" applyBorder="1" applyAlignment="1">
      <alignment vertical="center"/>
    </xf>
    <xf numFmtId="178" fontId="30" fillId="44" borderId="81" xfId="13" applyNumberFormat="1" applyFont="1" applyFill="1" applyBorder="1" applyAlignment="1">
      <alignment vertical="center"/>
    </xf>
    <xf numFmtId="176" fontId="14" fillId="77" borderId="186" xfId="12" applyNumberFormat="1" applyFill="1" applyBorder="1"/>
    <xf numFmtId="168" fontId="0" fillId="77" borderId="77" xfId="13" applyNumberFormat="1" applyFont="1" applyFill="1" applyBorder="1" applyAlignment="1">
      <alignment vertical="center"/>
    </xf>
    <xf numFmtId="0" fontId="0" fillId="78" borderId="0" xfId="0" applyFill="1"/>
    <xf numFmtId="0" fontId="13" fillId="78" borderId="0" xfId="0" applyFont="1" applyFill="1" applyAlignment="1">
      <alignment horizontal="center" vertical="center"/>
    </xf>
    <xf numFmtId="0" fontId="0" fillId="78" borderId="0" xfId="0" applyFill="1" applyAlignment="1">
      <alignment horizontal="center" vertical="center"/>
    </xf>
    <xf numFmtId="178" fontId="30" fillId="64" borderId="213" xfId="13" applyNumberFormat="1" applyFont="1" applyFill="1" applyBorder="1" applyAlignment="1">
      <alignment vertical="center"/>
    </xf>
    <xf numFmtId="178" fontId="30" fillId="64" borderId="214" xfId="13" applyNumberFormat="1" applyFont="1" applyFill="1" applyBorder="1" applyAlignment="1">
      <alignment vertical="center"/>
    </xf>
    <xf numFmtId="178" fontId="30" fillId="64" borderId="215" xfId="13" applyNumberFormat="1" applyFont="1" applyFill="1" applyBorder="1" applyAlignment="1">
      <alignment vertical="center"/>
    </xf>
    <xf numFmtId="0" fontId="0" fillId="12" borderId="219" xfId="0" applyFill="1" applyBorder="1" applyProtection="1">
      <protection locked="0"/>
    </xf>
    <xf numFmtId="0" fontId="0" fillId="12" borderId="186" xfId="0" applyFill="1" applyBorder="1" applyProtection="1">
      <protection locked="0"/>
    </xf>
    <xf numFmtId="0" fontId="0" fillId="12" borderId="200" xfId="0" applyFill="1" applyBorder="1" applyProtection="1">
      <protection locked="0"/>
    </xf>
    <xf numFmtId="0" fontId="0" fillId="12" borderId="190" xfId="0" applyFill="1" applyBorder="1" applyProtection="1">
      <protection locked="0"/>
    </xf>
    <xf numFmtId="0" fontId="0" fillId="12" borderId="201" xfId="0" applyFill="1" applyBorder="1" applyProtection="1">
      <protection locked="0"/>
    </xf>
    <xf numFmtId="178" fontId="0" fillId="12" borderId="240" xfId="13" applyNumberFormat="1" applyFont="1" applyFill="1" applyBorder="1" applyAlignment="1" applyProtection="1">
      <alignment vertical="center"/>
      <protection locked="0"/>
    </xf>
    <xf numFmtId="178" fontId="0" fillId="12" borderId="214" xfId="13" applyNumberFormat="1" applyFont="1" applyFill="1" applyBorder="1" applyAlignment="1" applyProtection="1">
      <alignment vertical="center"/>
      <protection locked="0"/>
    </xf>
    <xf numFmtId="179" fontId="0" fillId="12" borderId="241" xfId="13" applyNumberFormat="1" applyFont="1" applyFill="1" applyBorder="1" applyAlignment="1" applyProtection="1">
      <alignment horizontal="center" vertical="center"/>
      <protection locked="0"/>
    </xf>
    <xf numFmtId="179" fontId="0" fillId="12" borderId="174" xfId="13" applyNumberFormat="1" applyFont="1" applyFill="1" applyBorder="1" applyAlignment="1" applyProtection="1">
      <alignment horizontal="center" vertical="center"/>
      <protection locked="0"/>
    </xf>
    <xf numFmtId="179" fontId="0" fillId="12" borderId="230" xfId="13" applyNumberFormat="1" applyFont="1" applyFill="1" applyBorder="1" applyAlignment="1" applyProtection="1">
      <alignment horizontal="center" vertical="center"/>
      <protection locked="0"/>
    </xf>
    <xf numFmtId="179" fontId="0" fillId="12" borderId="192" xfId="13" applyNumberFormat="1" applyFont="1" applyFill="1" applyBorder="1" applyAlignment="1" applyProtection="1">
      <alignment horizontal="center" vertical="center"/>
      <protection locked="0"/>
    </xf>
    <xf numFmtId="179" fontId="0" fillId="12" borderId="190" xfId="13" applyNumberFormat="1" applyFont="1" applyFill="1" applyBorder="1" applyAlignment="1" applyProtection="1">
      <alignment horizontal="center" vertical="center"/>
      <protection locked="0"/>
    </xf>
    <xf numFmtId="168" fontId="0" fillId="12" borderId="186" xfId="13" applyNumberFormat="1" applyFont="1" applyFill="1" applyBorder="1" applyAlignment="1" applyProtection="1">
      <alignment vertical="center"/>
      <protection locked="0"/>
    </xf>
    <xf numFmtId="168" fontId="19" fillId="12" borderId="186" xfId="13" applyNumberFormat="1" applyFont="1" applyFill="1" applyBorder="1" applyAlignment="1" applyProtection="1">
      <alignment vertical="center"/>
      <protection locked="0"/>
    </xf>
    <xf numFmtId="176" fontId="19" fillId="12" borderId="186" xfId="12" applyNumberFormat="1" applyFont="1" applyFill="1" applyBorder="1" applyAlignment="1" applyProtection="1">
      <alignment vertical="center"/>
      <protection locked="0"/>
    </xf>
    <xf numFmtId="168" fontId="19" fillId="29" borderId="77" xfId="13" applyNumberFormat="1" applyFont="1" applyFill="1" applyBorder="1" applyAlignment="1" applyProtection="1">
      <alignment vertical="center"/>
      <protection locked="0"/>
    </xf>
    <xf numFmtId="168" fontId="11" fillId="29" borderId="77" xfId="13" applyNumberFormat="1" applyFont="1" applyFill="1" applyBorder="1" applyAlignment="1" applyProtection="1">
      <alignment vertical="center"/>
      <protection locked="0"/>
    </xf>
    <xf numFmtId="176" fontId="14" fillId="29" borderId="186" xfId="12" applyNumberFormat="1" applyFill="1" applyBorder="1" applyProtection="1">
      <protection locked="0"/>
    </xf>
    <xf numFmtId="176" fontId="14" fillId="12" borderId="186" xfId="12" applyNumberFormat="1" applyFill="1" applyBorder="1" applyProtection="1">
      <protection locked="0"/>
    </xf>
    <xf numFmtId="168" fontId="19" fillId="57" borderId="77" xfId="13" applyNumberFormat="1" applyFont="1" applyFill="1" applyBorder="1" applyAlignment="1" applyProtection="1">
      <alignment vertical="center"/>
      <protection locked="0"/>
    </xf>
    <xf numFmtId="176" fontId="14" fillId="57" borderId="186" xfId="12" applyNumberFormat="1" applyFill="1" applyBorder="1" applyProtection="1">
      <protection locked="0"/>
    </xf>
    <xf numFmtId="168" fontId="11" fillId="59" borderId="77" xfId="13" applyNumberFormat="1" applyFont="1" applyFill="1" applyBorder="1" applyAlignment="1" applyProtection="1">
      <alignment vertical="center"/>
      <protection locked="0"/>
    </xf>
    <xf numFmtId="168" fontId="19" fillId="58" borderId="77" xfId="13" applyNumberFormat="1" applyFont="1" applyFill="1" applyBorder="1" applyAlignment="1" applyProtection="1">
      <alignment vertical="center"/>
      <protection locked="0"/>
    </xf>
    <xf numFmtId="176" fontId="19" fillId="29" borderId="77" xfId="12" applyNumberFormat="1" applyFont="1" applyFill="1" applyBorder="1" applyAlignment="1" applyProtection="1">
      <alignment vertical="center"/>
      <protection locked="0"/>
    </xf>
    <xf numFmtId="168" fontId="11" fillId="60" borderId="77" xfId="13" applyNumberFormat="1" applyFont="1" applyFill="1" applyBorder="1" applyAlignment="1" applyProtection="1">
      <alignment vertical="center"/>
      <protection locked="0"/>
    </xf>
    <xf numFmtId="0" fontId="29" fillId="0" borderId="0" xfId="0" applyFont="1"/>
    <xf numFmtId="0" fontId="13" fillId="0" borderId="0" xfId="28" applyFont="1" applyAlignment="1">
      <alignment vertical="center"/>
    </xf>
    <xf numFmtId="0" fontId="13" fillId="0" borderId="0" xfId="28" applyFont="1" applyAlignment="1">
      <alignment horizontal="center" vertical="center"/>
    </xf>
    <xf numFmtId="0" fontId="14" fillId="0" borderId="0" xfId="28" applyAlignment="1">
      <alignment vertical="center"/>
    </xf>
    <xf numFmtId="169" fontId="16" fillId="0" borderId="0" xfId="60" applyFont="1" applyAlignment="1">
      <alignment vertical="center"/>
    </xf>
    <xf numFmtId="0" fontId="13" fillId="0" borderId="52" xfId="28" applyFont="1" applyBorder="1" applyAlignment="1">
      <alignment horizontal="right" vertical="center"/>
    </xf>
    <xf numFmtId="0" fontId="23" fillId="12" borderId="187" xfId="28" applyFont="1" applyFill="1" applyBorder="1" applyAlignment="1" applyProtection="1">
      <alignment horizontal="center" vertical="center"/>
      <protection locked="0"/>
    </xf>
    <xf numFmtId="0" fontId="23" fillId="0" borderId="51" xfId="28" applyFont="1" applyBorder="1" applyAlignment="1">
      <alignment horizontal="center" vertical="center"/>
    </xf>
    <xf numFmtId="0" fontId="23" fillId="0" borderId="0" xfId="28" applyFont="1" applyAlignment="1">
      <alignment horizontal="center" vertical="center"/>
    </xf>
    <xf numFmtId="169" fontId="0" fillId="0" borderId="0" xfId="60" applyFont="1"/>
    <xf numFmtId="0" fontId="13" fillId="0" borderId="0" xfId="28" applyFont="1" applyAlignment="1">
      <alignment horizontal="right" vertical="center"/>
    </xf>
    <xf numFmtId="0" fontId="14" fillId="11" borderId="0" xfId="28" applyFill="1"/>
    <xf numFmtId="0" fontId="14" fillId="11" borderId="0" xfId="28" applyFill="1" applyAlignment="1">
      <alignment horizontal="left" vertical="center"/>
    </xf>
    <xf numFmtId="177" fontId="13" fillId="11" borderId="0" xfId="28" applyNumberFormat="1" applyFont="1" applyFill="1" applyAlignment="1">
      <alignment horizontal="right" vertical="center"/>
    </xf>
    <xf numFmtId="0" fontId="14" fillId="11" borderId="177" xfId="28" applyFill="1" applyBorder="1"/>
    <xf numFmtId="0" fontId="14" fillId="11" borderId="34" xfId="28" applyFill="1" applyBorder="1"/>
    <xf numFmtId="0" fontId="14" fillId="11" borderId="244" xfId="28" applyFill="1" applyBorder="1"/>
    <xf numFmtId="0" fontId="14" fillId="11" borderId="87" xfId="28" applyFill="1" applyBorder="1"/>
    <xf numFmtId="0" fontId="14" fillId="11" borderId="53" xfId="28" applyFill="1" applyBorder="1"/>
    <xf numFmtId="0" fontId="25" fillId="0" borderId="0" xfId="28" applyFont="1" applyAlignment="1">
      <alignment horizontal="left" vertical="center" indent="2"/>
    </xf>
    <xf numFmtId="0" fontId="25" fillId="0" borderId="0" xfId="28" applyFont="1" applyAlignment="1">
      <alignment vertical="center"/>
    </xf>
    <xf numFmtId="0" fontId="25" fillId="0" borderId="87" xfId="28" applyFont="1" applyBorder="1" applyAlignment="1">
      <alignment vertical="center"/>
    </xf>
    <xf numFmtId="177" fontId="14" fillId="26" borderId="186" xfId="28" applyNumberFormat="1" applyFill="1" applyBorder="1" applyAlignment="1">
      <alignment horizontal="center" vertical="center"/>
    </xf>
    <xf numFmtId="170" fontId="13" fillId="19" borderId="186" xfId="60" applyNumberFormat="1" applyFont="1" applyFill="1" applyBorder="1" applyAlignment="1">
      <alignment horizontal="center" vertical="center"/>
    </xf>
    <xf numFmtId="0" fontId="13" fillId="16" borderId="190" xfId="28" applyFont="1" applyFill="1" applyBorder="1" applyAlignment="1">
      <alignment horizontal="center" vertical="center" wrapText="1"/>
    </xf>
    <xf numFmtId="0" fontId="13" fillId="16" borderId="201" xfId="28" applyFont="1" applyFill="1" applyBorder="1" applyAlignment="1">
      <alignment horizontal="center" vertical="center" wrapText="1"/>
    </xf>
    <xf numFmtId="0" fontId="13" fillId="16" borderId="81" xfId="28" applyFont="1" applyFill="1" applyBorder="1" applyAlignment="1">
      <alignment horizontal="center" vertical="center" wrapText="1"/>
    </xf>
    <xf numFmtId="0" fontId="10" fillId="14" borderId="198" xfId="28" applyFont="1" applyFill="1" applyBorder="1" applyAlignment="1">
      <alignment horizontal="center" vertical="center"/>
    </xf>
    <xf numFmtId="0" fontId="10" fillId="14" borderId="201" xfId="28" applyFont="1" applyFill="1" applyBorder="1" applyAlignment="1">
      <alignment horizontal="center" vertical="center"/>
    </xf>
    <xf numFmtId="0" fontId="10" fillId="46" borderId="198" xfId="28" applyFont="1" applyFill="1" applyBorder="1" applyAlignment="1">
      <alignment horizontal="center" vertical="center"/>
    </xf>
    <xf numFmtId="0" fontId="10" fillId="46" borderId="81" xfId="28" applyFont="1" applyFill="1" applyBorder="1" applyAlignment="1">
      <alignment horizontal="center" vertical="center"/>
    </xf>
    <xf numFmtId="0" fontId="10" fillId="45" borderId="29" xfId="28" applyFont="1" applyFill="1" applyBorder="1" applyAlignment="1">
      <alignment horizontal="center" vertical="center"/>
    </xf>
    <xf numFmtId="0" fontId="10" fillId="45" borderId="201" xfId="28" applyFont="1" applyFill="1" applyBorder="1" applyAlignment="1">
      <alignment horizontal="center" vertical="center"/>
    </xf>
    <xf numFmtId="0" fontId="10" fillId="14" borderId="82" xfId="28" applyFont="1" applyFill="1" applyBorder="1" applyAlignment="1">
      <alignment horizontal="center" vertical="center"/>
    </xf>
    <xf numFmtId="0" fontId="10" fillId="46" borderId="82" xfId="28" applyFont="1" applyFill="1" applyBorder="1" applyAlignment="1">
      <alignment horizontal="center" vertical="center"/>
    </xf>
    <xf numFmtId="0" fontId="10" fillId="45" borderId="192" xfId="28" applyFont="1" applyFill="1" applyBorder="1" applyAlignment="1">
      <alignment horizontal="center" vertical="center"/>
    </xf>
    <xf numFmtId="0" fontId="10" fillId="45" borderId="81" xfId="28" applyFont="1" applyFill="1" applyBorder="1" applyAlignment="1">
      <alignment horizontal="center" vertical="center"/>
    </xf>
    <xf numFmtId="0" fontId="10" fillId="14" borderId="93" xfId="28" applyFont="1" applyFill="1" applyBorder="1" applyAlignment="1">
      <alignment horizontal="center" vertical="center"/>
    </xf>
    <xf numFmtId="0" fontId="10" fillId="46" borderId="93" xfId="28" applyFont="1" applyFill="1" applyBorder="1" applyAlignment="1">
      <alignment horizontal="center" vertical="center"/>
    </xf>
    <xf numFmtId="0" fontId="10" fillId="45" borderId="198" xfId="28" applyFont="1" applyFill="1" applyBorder="1" applyAlignment="1">
      <alignment horizontal="center" vertical="center"/>
    </xf>
    <xf numFmtId="0" fontId="10" fillId="45" borderId="93" xfId="28" applyFont="1" applyFill="1" applyBorder="1" applyAlignment="1">
      <alignment horizontal="center" vertical="center"/>
    </xf>
    <xf numFmtId="0" fontId="14" fillId="12" borderId="227" xfId="28" applyFill="1" applyBorder="1" applyAlignment="1" applyProtection="1">
      <alignment horizontal="left" vertical="center"/>
      <protection locked="0"/>
    </xf>
    <xf numFmtId="0" fontId="14" fillId="12" borderId="169" xfId="28" applyFill="1" applyBorder="1" applyAlignment="1" applyProtection="1">
      <alignment horizontal="left" vertical="center"/>
      <protection locked="0"/>
    </xf>
    <xf numFmtId="0" fontId="14" fillId="12" borderId="169" xfId="28" applyFill="1" applyBorder="1" applyProtection="1">
      <protection locked="0"/>
    </xf>
    <xf numFmtId="0" fontId="14" fillId="12" borderId="219" xfId="28" applyFill="1" applyBorder="1" applyProtection="1">
      <protection locked="0"/>
    </xf>
    <xf numFmtId="178" fontId="0" fillId="12" borderId="169" xfId="25" applyNumberFormat="1" applyFont="1" applyFill="1" applyBorder="1" applyAlignment="1" applyProtection="1">
      <alignment vertical="center"/>
      <protection locked="0"/>
    </xf>
    <xf numFmtId="178" fontId="0" fillId="12" borderId="219" xfId="25" applyNumberFormat="1" applyFont="1" applyFill="1" applyBorder="1" applyAlignment="1" applyProtection="1">
      <alignment vertical="center"/>
      <protection locked="0"/>
    </xf>
    <xf numFmtId="177" fontId="14" fillId="29" borderId="202" xfId="28" applyNumberFormat="1" applyFill="1" applyBorder="1" applyAlignment="1">
      <alignment horizontal="right" vertical="center"/>
    </xf>
    <xf numFmtId="177" fontId="14" fillId="0" borderId="97" xfId="28" applyNumberFormat="1" applyBorder="1" applyAlignment="1">
      <alignment horizontal="right" vertical="center"/>
    </xf>
    <xf numFmtId="9" fontId="14" fillId="12" borderId="97" xfId="28" applyNumberFormat="1" applyFill="1" applyBorder="1" applyAlignment="1" applyProtection="1">
      <alignment horizontal="center" vertical="center"/>
      <protection locked="0"/>
    </xf>
    <xf numFmtId="177" fontId="14" fillId="0" borderId="240" xfId="28" applyNumberFormat="1" applyBorder="1" applyAlignment="1">
      <alignment horizontal="right" vertical="center"/>
    </xf>
    <xf numFmtId="169" fontId="0" fillId="12" borderId="97" xfId="60" applyFont="1" applyFill="1" applyBorder="1" applyAlignment="1" applyProtection="1">
      <alignment horizontal="center" vertical="center"/>
      <protection locked="0"/>
    </xf>
    <xf numFmtId="9" fontId="14" fillId="26" borderId="222" xfId="28" applyNumberFormat="1" applyFill="1" applyBorder="1" applyAlignment="1">
      <alignment horizontal="center" vertical="center"/>
    </xf>
    <xf numFmtId="0" fontId="13" fillId="21" borderId="186" xfId="28" applyFont="1" applyFill="1" applyBorder="1" applyAlignment="1">
      <alignment horizontal="center" vertical="center"/>
    </xf>
    <xf numFmtId="0" fontId="11" fillId="23" borderId="186" xfId="28" applyFont="1" applyFill="1" applyBorder="1" applyAlignment="1">
      <alignment horizontal="left" vertical="center"/>
    </xf>
    <xf numFmtId="168" fontId="11" fillId="23" borderId="186" xfId="25" applyNumberFormat="1" applyFont="1" applyFill="1" applyBorder="1" applyAlignment="1">
      <alignment horizontal="center" vertical="center"/>
    </xf>
    <xf numFmtId="169" fontId="30" fillId="0" borderId="246" xfId="60" applyFont="1" applyBorder="1" applyAlignment="1">
      <alignment horizontal="center" vertical="center"/>
    </xf>
    <xf numFmtId="177" fontId="14" fillId="27" borderId="62" xfId="28" applyNumberFormat="1" applyFill="1" applyBorder="1" applyAlignment="1">
      <alignment horizontal="right" vertical="center"/>
    </xf>
    <xf numFmtId="177" fontId="14" fillId="27" borderId="92" xfId="28" applyNumberFormat="1" applyFill="1" applyBorder="1" applyAlignment="1">
      <alignment horizontal="right" vertical="center"/>
    </xf>
    <xf numFmtId="169" fontId="30" fillId="0" borderId="203" xfId="60" applyFont="1" applyBorder="1" applyAlignment="1">
      <alignment horizontal="center" vertical="center"/>
    </xf>
    <xf numFmtId="9" fontId="14" fillId="42" borderId="173" xfId="28" applyNumberFormat="1" applyFill="1" applyBorder="1" applyAlignment="1">
      <alignment horizontal="center" vertical="center"/>
    </xf>
    <xf numFmtId="177" fontId="14" fillId="26" borderId="174" xfId="28" applyNumberFormat="1" applyFill="1" applyBorder="1" applyAlignment="1">
      <alignment horizontal="right" vertical="center"/>
    </xf>
    <xf numFmtId="9" fontId="14" fillId="42" borderId="174" xfId="28" applyNumberFormat="1" applyFill="1" applyBorder="1" applyAlignment="1">
      <alignment horizontal="center" vertical="center"/>
    </xf>
    <xf numFmtId="169" fontId="0" fillId="42" borderId="174" xfId="60" applyFont="1" applyFill="1" applyBorder="1" applyAlignment="1">
      <alignment horizontal="center" vertical="center"/>
    </xf>
    <xf numFmtId="177" fontId="14" fillId="26" borderId="175" xfId="28" applyNumberFormat="1" applyFill="1" applyBorder="1" applyAlignment="1">
      <alignment horizontal="right" vertical="center"/>
    </xf>
    <xf numFmtId="0" fontId="14" fillId="12" borderId="212" xfId="28" applyFill="1" applyBorder="1" applyAlignment="1" applyProtection="1">
      <alignment horizontal="left" vertical="center"/>
      <protection locked="0"/>
    </xf>
    <xf numFmtId="0" fontId="14" fillId="12" borderId="186" xfId="28" applyFill="1" applyBorder="1" applyAlignment="1" applyProtection="1">
      <alignment horizontal="left" vertical="center"/>
      <protection locked="0"/>
    </xf>
    <xf numFmtId="0" fontId="14" fillId="12" borderId="186" xfId="28" applyFill="1" applyBorder="1" applyProtection="1">
      <protection locked="0"/>
    </xf>
    <xf numFmtId="0" fontId="14" fillId="12" borderId="200" xfId="28" applyFill="1" applyBorder="1" applyProtection="1">
      <protection locked="0"/>
    </xf>
    <xf numFmtId="178" fontId="0" fillId="12" borderId="186" xfId="25" applyNumberFormat="1" applyFont="1" applyFill="1" applyBorder="1" applyAlignment="1" applyProtection="1">
      <alignment vertical="center"/>
      <protection locked="0"/>
    </xf>
    <xf numFmtId="178" fontId="0" fillId="12" borderId="200" xfId="25" applyNumberFormat="1" applyFont="1" applyFill="1" applyBorder="1" applyAlignment="1" applyProtection="1">
      <alignment vertical="center"/>
      <protection locked="0"/>
    </xf>
    <xf numFmtId="177" fontId="14" fillId="29" borderId="222" xfId="28" applyNumberFormat="1" applyFill="1" applyBorder="1" applyAlignment="1">
      <alignment horizontal="right" vertical="center"/>
    </xf>
    <xf numFmtId="177" fontId="14" fillId="0" borderId="222" xfId="28" applyNumberFormat="1" applyBorder="1" applyAlignment="1">
      <alignment horizontal="right" vertical="center"/>
    </xf>
    <xf numFmtId="9" fontId="14" fillId="12" borderId="222" xfId="28" applyNumberFormat="1" applyFill="1" applyBorder="1" applyAlignment="1" applyProtection="1">
      <alignment horizontal="center" vertical="center"/>
      <protection locked="0"/>
    </xf>
    <xf numFmtId="177" fontId="14" fillId="0" borderId="214" xfId="28" applyNumberFormat="1" applyBorder="1" applyAlignment="1">
      <alignment horizontal="right" vertical="center"/>
    </xf>
    <xf numFmtId="169" fontId="0" fillId="12" borderId="222" xfId="60" applyFont="1" applyFill="1" applyBorder="1" applyAlignment="1" applyProtection="1">
      <alignment horizontal="center" vertical="center"/>
      <protection locked="0"/>
    </xf>
    <xf numFmtId="0" fontId="13" fillId="20" borderId="186" xfId="28" applyFont="1" applyFill="1" applyBorder="1" applyAlignment="1">
      <alignment horizontal="center" vertical="center" wrapText="1"/>
    </xf>
    <xf numFmtId="0" fontId="11" fillId="20" borderId="186" xfId="28" applyFont="1" applyFill="1" applyBorder="1" applyAlignment="1">
      <alignment horizontal="left" vertical="center"/>
    </xf>
    <xf numFmtId="168" fontId="11" fillId="20" borderId="186" xfId="25" applyNumberFormat="1" applyFont="1" applyFill="1" applyBorder="1" applyAlignment="1">
      <alignment horizontal="center" vertical="center"/>
    </xf>
    <xf numFmtId="1" fontId="14" fillId="0" borderId="186" xfId="28" applyNumberFormat="1" applyBorder="1" applyAlignment="1">
      <alignment horizontal="center" vertical="center" wrapText="1"/>
    </xf>
    <xf numFmtId="175" fontId="19" fillId="0" borderId="186" xfId="28" applyNumberFormat="1" applyFont="1" applyBorder="1" applyAlignment="1">
      <alignment horizontal="left"/>
    </xf>
    <xf numFmtId="168" fontId="0" fillId="12" borderId="186" xfId="25" applyNumberFormat="1" applyFont="1" applyFill="1" applyBorder="1" applyAlignment="1" applyProtection="1">
      <alignment vertical="center"/>
      <protection locked="0"/>
    </xf>
    <xf numFmtId="0" fontId="14" fillId="11" borderId="167" xfId="28" applyFill="1" applyBorder="1"/>
    <xf numFmtId="0" fontId="14" fillId="11" borderId="91" xfId="28" applyFill="1" applyBorder="1"/>
    <xf numFmtId="0" fontId="14" fillId="11" borderId="50" xfId="28" applyFill="1" applyBorder="1"/>
    <xf numFmtId="168" fontId="11" fillId="20" borderId="186" xfId="25" applyNumberFormat="1" applyFont="1" applyFill="1" applyBorder="1" applyAlignment="1" applyProtection="1">
      <alignment horizontal="center" vertical="center"/>
      <protection locked="0"/>
    </xf>
    <xf numFmtId="0" fontId="14" fillId="12" borderId="192" xfId="28" applyFill="1" applyBorder="1" applyAlignment="1" applyProtection="1">
      <alignment horizontal="left" vertical="center"/>
      <protection locked="0"/>
    </xf>
    <xf numFmtId="0" fontId="14" fillId="12" borderId="190" xfId="28" applyFill="1" applyBorder="1" applyAlignment="1" applyProtection="1">
      <alignment horizontal="left" vertical="center"/>
      <protection locked="0"/>
    </xf>
    <xf numFmtId="0" fontId="14" fillId="12" borderId="190" xfId="28" applyFill="1" applyBorder="1" applyProtection="1">
      <protection locked="0"/>
    </xf>
    <xf numFmtId="0" fontId="14" fillId="12" borderId="201" xfId="28" applyFill="1" applyBorder="1" applyProtection="1">
      <protection locked="0"/>
    </xf>
    <xf numFmtId="178" fontId="0" fillId="12" borderId="190" xfId="25" applyNumberFormat="1" applyFont="1" applyFill="1" applyBorder="1" applyAlignment="1" applyProtection="1">
      <alignment vertical="center"/>
      <protection locked="0"/>
    </xf>
    <xf numFmtId="178" fontId="0" fillId="12" borderId="201" xfId="25" applyNumberFormat="1" applyFont="1" applyFill="1" applyBorder="1" applyAlignment="1" applyProtection="1">
      <alignment vertical="center"/>
      <protection locked="0"/>
    </xf>
    <xf numFmtId="177" fontId="14" fillId="29" borderId="99" xfId="28" applyNumberFormat="1" applyFill="1" applyBorder="1" applyAlignment="1">
      <alignment horizontal="right" vertical="center"/>
    </xf>
    <xf numFmtId="177" fontId="14" fillId="0" borderId="99" xfId="28" applyNumberFormat="1" applyBorder="1" applyAlignment="1">
      <alignment horizontal="right" vertical="center"/>
    </xf>
    <xf numFmtId="9" fontId="14" fillId="12" borderId="99" xfId="28" applyNumberFormat="1" applyFill="1" applyBorder="1" applyAlignment="1" applyProtection="1">
      <alignment horizontal="center" vertical="center"/>
      <protection locked="0"/>
    </xf>
    <xf numFmtId="177" fontId="14" fillId="0" borderId="221" xfId="28" applyNumberFormat="1" applyBorder="1" applyAlignment="1">
      <alignment horizontal="right" vertical="center"/>
    </xf>
    <xf numFmtId="169" fontId="0" fillId="12" borderId="99" xfId="60" applyFont="1" applyFill="1" applyBorder="1" applyAlignment="1" applyProtection="1">
      <alignment horizontal="center" vertical="center"/>
      <protection locked="0"/>
    </xf>
    <xf numFmtId="9" fontId="14" fillId="26" borderId="99" xfId="28" applyNumberFormat="1" applyFill="1" applyBorder="1" applyAlignment="1">
      <alignment horizontal="center" vertical="center"/>
    </xf>
    <xf numFmtId="0" fontId="14" fillId="12" borderId="241" xfId="28" applyFill="1" applyBorder="1" applyAlignment="1" applyProtection="1">
      <alignment horizontal="left" vertical="center"/>
      <protection locked="0"/>
    </xf>
    <xf numFmtId="0" fontId="14" fillId="12" borderId="174" xfId="28" applyFill="1" applyBorder="1" applyAlignment="1" applyProtection="1">
      <alignment horizontal="left" vertical="center"/>
      <protection locked="0"/>
    </xf>
    <xf numFmtId="0" fontId="14" fillId="12" borderId="174" xfId="28" applyFill="1" applyBorder="1" applyProtection="1">
      <protection locked="0"/>
    </xf>
    <xf numFmtId="0" fontId="14" fillId="12" borderId="230" xfId="28" applyFill="1" applyBorder="1" applyProtection="1">
      <protection locked="0"/>
    </xf>
    <xf numFmtId="178" fontId="0" fillId="12" borderId="174" xfId="25" applyNumberFormat="1" applyFont="1" applyFill="1" applyBorder="1" applyAlignment="1" applyProtection="1">
      <alignment vertical="center"/>
      <protection locked="0"/>
    </xf>
    <xf numFmtId="177" fontId="14" fillId="29" borderId="97" xfId="28" applyNumberFormat="1" applyFill="1" applyBorder="1" applyAlignment="1">
      <alignment horizontal="right" vertical="center"/>
    </xf>
    <xf numFmtId="9" fontId="14" fillId="12" borderId="60" xfId="28" applyNumberFormat="1" applyFill="1" applyBorder="1" applyAlignment="1" applyProtection="1">
      <alignment horizontal="center" vertical="center"/>
      <protection locked="0"/>
    </xf>
    <xf numFmtId="177" fontId="14" fillId="0" borderId="230" xfId="28" applyNumberFormat="1" applyBorder="1" applyAlignment="1">
      <alignment horizontal="right" vertical="center"/>
    </xf>
    <xf numFmtId="177" fontId="14" fillId="0" borderId="175" xfId="28" applyNumberFormat="1" applyBorder="1" applyAlignment="1">
      <alignment horizontal="right" vertical="center"/>
    </xf>
    <xf numFmtId="169" fontId="0" fillId="12" borderId="227" xfId="60" applyFont="1" applyFill="1" applyBorder="1" applyAlignment="1" applyProtection="1">
      <alignment horizontal="center" vertical="center"/>
      <protection locked="0"/>
    </xf>
    <xf numFmtId="9" fontId="14" fillId="26" borderId="97" xfId="28" applyNumberFormat="1" applyFill="1" applyBorder="1" applyAlignment="1">
      <alignment horizontal="center" vertical="center"/>
    </xf>
    <xf numFmtId="9" fontId="14" fillId="12" borderId="191" xfId="28" applyNumberFormat="1" applyFill="1" applyBorder="1" applyAlignment="1" applyProtection="1">
      <alignment horizontal="center" vertical="center"/>
      <protection locked="0"/>
    </xf>
    <xf numFmtId="177" fontId="14" fillId="0" borderId="200" xfId="28" applyNumberFormat="1" applyBorder="1" applyAlignment="1">
      <alignment horizontal="right" vertical="center"/>
    </xf>
    <xf numFmtId="177" fontId="14" fillId="0" borderId="188" xfId="28" applyNumberFormat="1" applyBorder="1" applyAlignment="1">
      <alignment horizontal="right" vertical="center"/>
    </xf>
    <xf numFmtId="169" fontId="0" fillId="12" borderId="212" xfId="60" applyFont="1" applyFill="1" applyBorder="1" applyAlignment="1" applyProtection="1">
      <alignment horizontal="center" vertical="center"/>
      <protection locked="0"/>
    </xf>
    <xf numFmtId="9" fontId="14" fillId="12" borderId="82" xfId="28" applyNumberFormat="1" applyFill="1" applyBorder="1" applyAlignment="1" applyProtection="1">
      <alignment horizontal="center" vertical="center"/>
      <protection locked="0"/>
    </xf>
    <xf numFmtId="177" fontId="14" fillId="0" borderId="201" xfId="28" applyNumberFormat="1" applyBorder="1" applyAlignment="1">
      <alignment horizontal="right" vertical="center"/>
    </xf>
    <xf numFmtId="177" fontId="14" fillId="0" borderId="81" xfId="28" applyNumberFormat="1" applyBorder="1" applyAlignment="1">
      <alignment horizontal="right" vertical="center"/>
    </xf>
    <xf numFmtId="169" fontId="0" fillId="12" borderId="192" xfId="60" applyFont="1" applyFill="1" applyBorder="1" applyAlignment="1" applyProtection="1">
      <alignment horizontal="center" vertical="center"/>
      <protection locked="0"/>
    </xf>
    <xf numFmtId="178" fontId="0" fillId="12" borderId="230" xfId="25" applyNumberFormat="1" applyFont="1" applyFill="1" applyBorder="1" applyAlignment="1" applyProtection="1">
      <alignment vertical="center"/>
      <protection locked="0"/>
    </xf>
    <xf numFmtId="9" fontId="14" fillId="12" borderId="173" xfId="28" applyNumberFormat="1" applyFill="1" applyBorder="1" applyAlignment="1" applyProtection="1">
      <alignment horizontal="center" vertical="center"/>
      <protection locked="0"/>
    </xf>
    <xf numFmtId="169" fontId="0" fillId="12" borderId="241" xfId="60" applyFont="1" applyFill="1" applyBorder="1" applyAlignment="1" applyProtection="1">
      <alignment horizontal="center" vertical="center"/>
      <protection locked="0"/>
    </xf>
    <xf numFmtId="0" fontId="14" fillId="12" borderId="29" xfId="28" applyFill="1" applyBorder="1" applyAlignment="1" applyProtection="1">
      <alignment horizontal="left" vertical="center"/>
      <protection locked="0"/>
    </xf>
    <xf numFmtId="0" fontId="14" fillId="12" borderId="245" xfId="28" applyFill="1" applyBorder="1" applyAlignment="1" applyProtection="1">
      <alignment horizontal="left" vertical="center"/>
      <protection locked="0"/>
    </xf>
    <xf numFmtId="0" fontId="14" fillId="12" borderId="245" xfId="28" applyFill="1" applyBorder="1" applyProtection="1">
      <protection locked="0"/>
    </xf>
    <xf numFmtId="0" fontId="14" fillId="12" borderId="138" xfId="28" applyFill="1" applyBorder="1" applyProtection="1">
      <protection locked="0"/>
    </xf>
    <xf numFmtId="178" fontId="0" fillId="12" borderId="245" xfId="25" applyNumberFormat="1" applyFont="1" applyFill="1" applyBorder="1" applyAlignment="1" applyProtection="1">
      <alignment vertical="center"/>
      <protection locked="0"/>
    </xf>
    <xf numFmtId="178" fontId="0" fillId="12" borderId="138" xfId="25" applyNumberFormat="1" applyFont="1" applyFill="1" applyBorder="1" applyAlignment="1" applyProtection="1">
      <alignment vertical="center"/>
      <protection locked="0"/>
    </xf>
    <xf numFmtId="0" fontId="14" fillId="12" borderId="173" xfId="28" applyFill="1" applyBorder="1" applyAlignment="1" applyProtection="1">
      <alignment horizontal="left" vertical="center"/>
      <protection locked="0"/>
    </xf>
    <xf numFmtId="178" fontId="0" fillId="12" borderId="175" xfId="25" applyNumberFormat="1" applyFont="1" applyFill="1" applyBorder="1" applyAlignment="1" applyProtection="1">
      <alignment vertical="center"/>
      <protection locked="0"/>
    </xf>
    <xf numFmtId="177" fontId="14" fillId="29" borderId="244" xfId="28" applyNumberFormat="1" applyFill="1" applyBorder="1" applyAlignment="1">
      <alignment horizontal="right" vertical="center"/>
    </xf>
    <xf numFmtId="177" fontId="14" fillId="0" borderId="176" xfId="28" applyNumberFormat="1" applyBorder="1" applyAlignment="1">
      <alignment horizontal="right" vertical="center"/>
    </xf>
    <xf numFmtId="0" fontId="14" fillId="12" borderId="191" xfId="28" applyFill="1" applyBorder="1" applyAlignment="1" applyProtection="1">
      <alignment horizontal="left" vertical="center"/>
      <protection locked="0"/>
    </xf>
    <xf numFmtId="178" fontId="0" fillId="12" borderId="188" xfId="25" applyNumberFormat="1" applyFont="1" applyFill="1" applyBorder="1" applyAlignment="1" applyProtection="1">
      <alignment vertical="center"/>
      <protection locked="0"/>
    </xf>
    <xf numFmtId="177" fontId="14" fillId="29" borderId="33" xfId="28" applyNumberFormat="1" applyFill="1" applyBorder="1" applyAlignment="1">
      <alignment horizontal="right" vertical="center"/>
    </xf>
    <xf numFmtId="177" fontId="14" fillId="0" borderId="223" xfId="28" applyNumberFormat="1" applyBorder="1" applyAlignment="1">
      <alignment horizontal="right" vertical="center"/>
    </xf>
    <xf numFmtId="0" fontId="14" fillId="12" borderId="82" xfId="28" applyFill="1" applyBorder="1" applyAlignment="1" applyProtection="1">
      <alignment horizontal="left" vertical="center"/>
      <protection locked="0"/>
    </xf>
    <xf numFmtId="178" fontId="0" fillId="12" borderId="81" xfId="25" applyNumberFormat="1" applyFont="1" applyFill="1" applyBorder="1" applyAlignment="1" applyProtection="1">
      <alignment vertical="center"/>
      <protection locked="0"/>
    </xf>
    <xf numFmtId="177" fontId="14" fillId="29" borderId="90" xfId="28" applyNumberFormat="1" applyFill="1" applyBorder="1" applyAlignment="1">
      <alignment horizontal="right" vertical="center"/>
    </xf>
    <xf numFmtId="9" fontId="14" fillId="12" borderId="198" xfId="28" applyNumberFormat="1" applyFill="1" applyBorder="1" applyAlignment="1" applyProtection="1">
      <alignment horizontal="center" vertical="center"/>
      <protection locked="0"/>
    </xf>
    <xf numFmtId="177" fontId="14" fillId="0" borderId="138" xfId="28" applyNumberFormat="1" applyBorder="1" applyAlignment="1">
      <alignment horizontal="right" vertical="center"/>
    </xf>
    <xf numFmtId="177" fontId="14" fillId="0" borderId="93" xfId="28" applyNumberFormat="1" applyBorder="1" applyAlignment="1">
      <alignment horizontal="right" vertical="center"/>
    </xf>
    <xf numFmtId="169" fontId="0" fillId="12" borderId="29" xfId="60" applyFont="1" applyFill="1" applyBorder="1" applyAlignment="1" applyProtection="1">
      <alignment horizontal="center" vertical="center"/>
      <protection locked="0"/>
    </xf>
    <xf numFmtId="177" fontId="23" fillId="26" borderId="55" xfId="28" applyNumberFormat="1" applyFont="1" applyFill="1" applyBorder="1" applyAlignment="1">
      <alignment horizontal="right" vertical="center"/>
    </xf>
    <xf numFmtId="169" fontId="15" fillId="19" borderId="45" xfId="60" applyFont="1" applyFill="1" applyBorder="1" applyAlignment="1">
      <alignment horizontal="center" vertical="center"/>
    </xf>
    <xf numFmtId="177" fontId="23" fillId="26" borderId="46" xfId="28" applyNumberFormat="1" applyFont="1" applyFill="1" applyBorder="1" applyAlignment="1">
      <alignment horizontal="right" vertical="center"/>
    </xf>
    <xf numFmtId="169" fontId="15" fillId="19" borderId="6" xfId="60" applyFont="1" applyFill="1" applyBorder="1" applyAlignment="1">
      <alignment horizontal="center" vertical="center"/>
    </xf>
    <xf numFmtId="177" fontId="14" fillId="11" borderId="0" xfId="28" applyNumberFormat="1" applyFill="1"/>
    <xf numFmtId="177" fontId="23" fillId="26" borderId="169" xfId="28" applyNumberFormat="1" applyFont="1" applyFill="1" applyBorder="1" applyAlignment="1">
      <alignment horizontal="right" vertical="center"/>
    </xf>
    <xf numFmtId="0" fontId="14" fillId="11" borderId="0" xfId="28" applyFill="1" applyAlignment="1">
      <alignment horizontal="center" vertical="center"/>
    </xf>
    <xf numFmtId="0" fontId="0" fillId="12" borderId="230" xfId="0" applyFill="1" applyBorder="1" applyProtection="1">
      <protection locked="0"/>
    </xf>
    <xf numFmtId="178" fontId="14" fillId="12" borderId="174" xfId="13" applyNumberFormat="1" applyFill="1" applyBorder="1" applyAlignment="1" applyProtection="1">
      <alignment vertical="center"/>
      <protection locked="0"/>
    </xf>
    <xf numFmtId="177" fontId="0" fillId="29" borderId="83" xfId="0" applyNumberFormat="1" applyFill="1" applyBorder="1" applyAlignment="1">
      <alignment horizontal="right" vertical="center"/>
    </xf>
    <xf numFmtId="177" fontId="0" fillId="0" borderId="97" xfId="0" applyNumberFormat="1" applyBorder="1" applyAlignment="1">
      <alignment horizontal="right" vertical="center"/>
    </xf>
    <xf numFmtId="178" fontId="14" fillId="12" borderId="186" xfId="13" applyNumberFormat="1" applyFill="1" applyBorder="1" applyAlignment="1" applyProtection="1">
      <alignment vertical="center"/>
      <protection locked="0"/>
    </xf>
    <xf numFmtId="177" fontId="0" fillId="29" borderId="213" xfId="0" applyNumberFormat="1" applyFill="1" applyBorder="1" applyAlignment="1">
      <alignment horizontal="right" vertical="center"/>
    </xf>
    <xf numFmtId="177" fontId="0" fillId="0" borderId="222" xfId="0" applyNumberFormat="1" applyBorder="1" applyAlignment="1">
      <alignment horizontal="right" vertical="center"/>
    </xf>
    <xf numFmtId="178" fontId="14" fillId="12" borderId="200" xfId="13" applyNumberFormat="1" applyFill="1" applyBorder="1" applyAlignment="1" applyProtection="1">
      <alignment vertical="center"/>
      <protection locked="0"/>
    </xf>
    <xf numFmtId="178" fontId="14" fillId="12" borderId="190" xfId="13" applyNumberFormat="1" applyFill="1" applyBorder="1" applyAlignment="1" applyProtection="1">
      <alignment vertical="center"/>
      <protection locked="0"/>
    </xf>
    <xf numFmtId="178" fontId="14" fillId="12" borderId="201" xfId="13" applyNumberFormat="1" applyFill="1" applyBorder="1" applyAlignment="1" applyProtection="1">
      <alignment vertical="center"/>
      <protection locked="0"/>
    </xf>
    <xf numFmtId="177" fontId="0" fillId="29" borderId="84" xfId="0" applyNumberFormat="1" applyFill="1" applyBorder="1" applyAlignment="1">
      <alignment horizontal="right" vertical="center"/>
    </xf>
    <xf numFmtId="177" fontId="0" fillId="0" borderId="99" xfId="0" applyNumberFormat="1" applyBorder="1" applyAlignment="1">
      <alignment horizontal="right" vertical="center"/>
    </xf>
    <xf numFmtId="177" fontId="23" fillId="26" borderId="42" xfId="0" applyNumberFormat="1" applyFont="1" applyFill="1" applyBorder="1" applyAlignment="1">
      <alignment horizontal="right" vertical="center"/>
    </xf>
    <xf numFmtId="0" fontId="13" fillId="30" borderId="186" xfId="28" applyFont="1" applyFill="1" applyBorder="1" applyAlignment="1">
      <alignment horizontal="center" vertical="center" wrapText="1"/>
    </xf>
    <xf numFmtId="0" fontId="13" fillId="31" borderId="186" xfId="28" applyFont="1" applyFill="1" applyBorder="1" applyAlignment="1">
      <alignment horizontal="left" vertical="center"/>
    </xf>
    <xf numFmtId="168" fontId="13" fillId="30" borderId="186" xfId="28" applyNumberFormat="1" applyFont="1" applyFill="1" applyBorder="1" applyAlignment="1">
      <alignment horizontal="center" vertical="center" wrapText="1"/>
    </xf>
    <xf numFmtId="182" fontId="14" fillId="11" borderId="0" xfId="28" applyNumberFormat="1" applyFill="1"/>
    <xf numFmtId="181" fontId="14" fillId="0" borderId="0" xfId="25" applyNumberFormat="1"/>
    <xf numFmtId="181" fontId="14" fillId="11" borderId="0" xfId="28" applyNumberFormat="1" applyFill="1"/>
    <xf numFmtId="0" fontId="29" fillId="12" borderId="186" xfId="0" applyFont="1" applyFill="1" applyBorder="1" applyAlignment="1" applyProtection="1">
      <alignment horizontal="left" vertical="center"/>
      <protection locked="0"/>
    </xf>
    <xf numFmtId="0" fontId="29" fillId="12" borderId="191" xfId="0" applyFont="1" applyFill="1" applyBorder="1" applyAlignment="1" applyProtection="1">
      <alignment horizontal="left" vertical="center"/>
      <protection locked="0"/>
    </xf>
    <xf numFmtId="177" fontId="29" fillId="29" borderId="222" xfId="0" applyNumberFormat="1" applyFont="1" applyFill="1" applyBorder="1" applyAlignment="1">
      <alignment vertical="center"/>
    </xf>
    <xf numFmtId="178" fontId="29" fillId="12" borderId="77" xfId="13" applyNumberFormat="1" applyFont="1" applyFill="1" applyBorder="1" applyAlignment="1" applyProtection="1">
      <alignment vertical="center"/>
      <protection locked="0"/>
    </xf>
    <xf numFmtId="0" fontId="21" fillId="0" borderId="0" xfId="20" applyFill="1" applyAlignment="1">
      <alignment horizontal="center"/>
    </xf>
    <xf numFmtId="0" fontId="21" fillId="0" borderId="0" xfId="20"/>
    <xf numFmtId="0" fontId="0" fillId="0" borderId="0" xfId="0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8" fontId="0" fillId="9" borderId="237" xfId="13" applyNumberFormat="1" applyFont="1" applyFill="1" applyBorder="1" applyAlignment="1">
      <alignment horizontal="right" vertical="center"/>
    </xf>
    <xf numFmtId="168" fontId="0" fillId="9" borderId="215" xfId="13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39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8" fontId="13" fillId="15" borderId="127" xfId="0" applyNumberFormat="1" applyFont="1" applyFill="1" applyBorder="1" applyAlignment="1">
      <alignment horizontal="center" vertical="center"/>
    </xf>
    <xf numFmtId="168" fontId="13" fillId="15" borderId="115" xfId="0" applyNumberFormat="1" applyFont="1" applyFill="1" applyBorder="1" applyAlignment="1">
      <alignment horizontal="center" vertical="center"/>
    </xf>
    <xf numFmtId="168" fontId="23" fillId="38" borderId="233" xfId="0" applyNumberFormat="1" applyFont="1" applyFill="1" applyBorder="1" applyAlignment="1">
      <alignment horizontal="center" vertical="center" wrapText="1"/>
    </xf>
    <xf numFmtId="168" fontId="23" fillId="38" borderId="234" xfId="0" applyNumberFormat="1" applyFont="1" applyFill="1" applyBorder="1" applyAlignment="1">
      <alignment horizontal="center" vertical="center" wrapText="1"/>
    </xf>
    <xf numFmtId="168" fontId="23" fillId="38" borderId="207" xfId="0" applyNumberFormat="1" applyFont="1" applyFill="1" applyBorder="1" applyAlignment="1">
      <alignment horizontal="center" vertical="center" wrapText="1"/>
    </xf>
    <xf numFmtId="168" fontId="24" fillId="33" borderId="128" xfId="0" applyNumberFormat="1" applyFont="1" applyFill="1" applyBorder="1" applyAlignment="1">
      <alignment horizontal="center" vertical="center" wrapText="1"/>
    </xf>
    <xf numFmtId="168" fontId="24" fillId="33" borderId="234" xfId="0" applyNumberFormat="1" applyFont="1" applyFill="1" applyBorder="1" applyAlignment="1">
      <alignment horizontal="center" vertical="center" wrapText="1"/>
    </xf>
    <xf numFmtId="168" fontId="24" fillId="33" borderId="229" xfId="0" applyNumberFormat="1" applyFont="1" applyFill="1" applyBorder="1" applyAlignment="1">
      <alignment horizontal="center" vertical="center" wrapText="1"/>
    </xf>
    <xf numFmtId="168" fontId="27" fillId="43" borderId="236" xfId="0" applyNumberFormat="1" applyFont="1" applyFill="1" applyBorder="1" applyAlignment="1">
      <alignment horizontal="center" vertical="center" wrapText="1"/>
    </xf>
    <xf numFmtId="168" fontId="27" fillId="43" borderId="51" xfId="0" applyNumberFormat="1" applyFont="1" applyFill="1" applyBorder="1" applyAlignment="1">
      <alignment horizontal="center" vertical="center" wrapText="1"/>
    </xf>
    <xf numFmtId="168" fontId="18" fillId="33" borderId="139" xfId="0" applyNumberFormat="1" applyFont="1" applyFill="1" applyBorder="1" applyAlignment="1">
      <alignment horizontal="center" vertical="center" wrapText="1"/>
    </xf>
    <xf numFmtId="168" fontId="18" fillId="33" borderId="140" xfId="0" applyNumberFormat="1" applyFont="1" applyFill="1" applyBorder="1" applyAlignment="1">
      <alignment horizontal="center" vertical="center" wrapText="1"/>
    </xf>
    <xf numFmtId="168" fontId="18" fillId="33" borderId="129" xfId="0" applyNumberFormat="1" applyFont="1" applyFill="1" applyBorder="1" applyAlignment="1">
      <alignment horizontal="center" vertical="center" wrapText="1"/>
    </xf>
    <xf numFmtId="168" fontId="18" fillId="33" borderId="49" xfId="0" applyNumberFormat="1" applyFont="1" applyFill="1" applyBorder="1" applyAlignment="1">
      <alignment horizontal="center" vertical="center" wrapText="1"/>
    </xf>
    <xf numFmtId="168" fontId="18" fillId="33" borderId="176" xfId="0" applyNumberFormat="1" applyFont="1" applyFill="1" applyBorder="1" applyAlignment="1">
      <alignment horizontal="center" vertical="center" wrapText="1"/>
    </xf>
    <xf numFmtId="168" fontId="18" fillId="33" borderId="85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indent="2"/>
    </xf>
    <xf numFmtId="0" fontId="13" fillId="15" borderId="124" xfId="0" applyFont="1" applyFill="1" applyBorder="1" applyAlignment="1">
      <alignment horizontal="center" vertical="center" wrapText="1"/>
    </xf>
    <xf numFmtId="0" fontId="13" fillId="15" borderId="125" xfId="0" applyFont="1" applyFill="1" applyBorder="1" applyAlignment="1">
      <alignment horizontal="center" vertical="center" wrapText="1"/>
    </xf>
    <xf numFmtId="0" fontId="13" fillId="15" borderId="121" xfId="0" applyFont="1" applyFill="1" applyBorder="1" applyAlignment="1">
      <alignment horizontal="center" vertical="center" wrapText="1"/>
    </xf>
    <xf numFmtId="0" fontId="13" fillId="15" borderId="122" xfId="0" applyFont="1" applyFill="1" applyBorder="1" applyAlignment="1">
      <alignment horizontal="center" vertical="center" wrapText="1"/>
    </xf>
    <xf numFmtId="0" fontId="0" fillId="0" borderId="139" xfId="0" applyBorder="1" applyAlignment="1">
      <alignment horizontal="center" vertical="center" wrapText="1"/>
    </xf>
    <xf numFmtId="0" fontId="0" fillId="0" borderId="140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168" fontId="22" fillId="31" borderId="34" xfId="0" applyNumberFormat="1" applyFont="1" applyFill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 wrapText="1"/>
    </xf>
    <xf numFmtId="0" fontId="23" fillId="0" borderId="85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18" xfId="0" applyBorder="1" applyAlignment="1">
      <alignment horizontal="center" vertical="center" wrapText="1"/>
    </xf>
    <xf numFmtId="168" fontId="22" fillId="31" borderId="63" xfId="0" applyNumberFormat="1" applyFont="1" applyFill="1" applyBorder="1" applyAlignment="1">
      <alignment horizontal="right" vertical="center"/>
    </xf>
    <xf numFmtId="168" fontId="22" fillId="31" borderId="116" xfId="0" applyNumberFormat="1" applyFont="1" applyFill="1" applyBorder="1" applyAlignment="1">
      <alignment horizontal="right" vertical="center"/>
    </xf>
    <xf numFmtId="0" fontId="23" fillId="42" borderId="126" xfId="0" applyFont="1" applyFill="1" applyBorder="1" applyAlignment="1">
      <alignment horizontal="center" vertical="center" wrapText="1"/>
    </xf>
    <xf numFmtId="0" fontId="23" fillId="42" borderId="85" xfId="0" applyFont="1" applyFill="1" applyBorder="1" applyAlignment="1">
      <alignment horizontal="center" vertical="center" wrapText="1"/>
    </xf>
    <xf numFmtId="0" fontId="23" fillId="42" borderId="42" xfId="0" applyFont="1" applyFill="1" applyBorder="1" applyAlignment="1">
      <alignment horizontal="center" vertical="center" wrapText="1"/>
    </xf>
    <xf numFmtId="168" fontId="22" fillId="31" borderId="116" xfId="0" applyNumberFormat="1" applyFont="1" applyFill="1" applyBorder="1" applyAlignment="1">
      <alignment horizontal="center" vertical="center"/>
    </xf>
    <xf numFmtId="168" fontId="0" fillId="9" borderId="239" xfId="13" applyNumberFormat="1" applyFont="1" applyFill="1" applyBorder="1" applyAlignment="1">
      <alignment horizontal="right" vertical="center"/>
    </xf>
    <xf numFmtId="168" fontId="24" fillId="33" borderId="64" xfId="0" applyNumberFormat="1" applyFont="1" applyFill="1" applyBorder="1" applyAlignment="1">
      <alignment horizontal="center" vertical="center" wrapText="1"/>
    </xf>
    <xf numFmtId="168" fontId="24" fillId="33" borderId="66" xfId="0" applyNumberFormat="1" applyFont="1" applyFill="1" applyBorder="1" applyAlignment="1">
      <alignment horizontal="center" vertical="center" wrapText="1"/>
    </xf>
    <xf numFmtId="168" fontId="24" fillId="33" borderId="207" xfId="0" applyNumberFormat="1" applyFont="1" applyFill="1" applyBorder="1" applyAlignment="1">
      <alignment horizontal="center" vertical="center" wrapText="1"/>
    </xf>
    <xf numFmtId="0" fontId="25" fillId="11" borderId="0" xfId="0" applyFont="1" applyFill="1" applyAlignment="1">
      <alignment horizontal="left" vertical="center" indent="2"/>
    </xf>
    <xf numFmtId="168" fontId="13" fillId="15" borderId="34" xfId="0" applyNumberFormat="1" applyFont="1" applyFill="1" applyBorder="1" applyAlignment="1">
      <alignment horizontal="center" vertical="center" wrapText="1"/>
    </xf>
    <xf numFmtId="168" fontId="13" fillId="15" borderId="94" xfId="0" applyNumberFormat="1" applyFont="1" applyFill="1" applyBorder="1" applyAlignment="1">
      <alignment horizontal="center" vertical="center" wrapText="1"/>
    </xf>
    <xf numFmtId="0" fontId="22" fillId="44" borderId="173" xfId="0" applyFont="1" applyFill="1" applyBorder="1" applyAlignment="1">
      <alignment horizontal="center" vertical="center" wrapText="1"/>
    </xf>
    <xf numFmtId="0" fontId="22" fillId="44" borderId="102" xfId="0" applyFont="1" applyFill="1" applyBorder="1" applyAlignment="1">
      <alignment horizontal="center" vertical="center" wrapText="1"/>
    </xf>
    <xf numFmtId="0" fontId="22" fillId="44" borderId="8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78" fontId="0" fillId="56" borderId="213" xfId="13" applyNumberFormat="1" applyFont="1" applyFill="1" applyBorder="1" applyAlignment="1">
      <alignment horizontal="center" vertical="center"/>
    </xf>
    <xf numFmtId="178" fontId="0" fillId="56" borderId="214" xfId="13" applyNumberFormat="1" applyFont="1" applyFill="1" applyBorder="1" applyAlignment="1">
      <alignment horizontal="center" vertical="center"/>
    </xf>
    <xf numFmtId="178" fontId="0" fillId="56" borderId="215" xfId="13" applyNumberFormat="1" applyFont="1" applyFill="1" applyBorder="1" applyAlignment="1">
      <alignment horizontal="center" vertical="center"/>
    </xf>
    <xf numFmtId="0" fontId="22" fillId="42" borderId="144" xfId="0" applyFont="1" applyFill="1" applyBorder="1" applyAlignment="1">
      <alignment horizontal="center" vertical="center" wrapText="1"/>
    </xf>
    <xf numFmtId="0" fontId="22" fillId="42" borderId="87" xfId="0" applyFont="1" applyFill="1" applyBorder="1" applyAlignment="1">
      <alignment horizontal="center" vertical="center" wrapText="1"/>
    </xf>
    <xf numFmtId="0" fontId="22" fillId="42" borderId="145" xfId="0" applyFont="1" applyFill="1" applyBorder="1" applyAlignment="1">
      <alignment horizontal="center" vertical="center" wrapText="1"/>
    </xf>
    <xf numFmtId="0" fontId="22" fillId="0" borderId="83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84" xfId="0" applyFont="1" applyBorder="1" applyAlignment="1">
      <alignment horizontal="center" vertical="center" wrapText="1"/>
    </xf>
    <xf numFmtId="0" fontId="23" fillId="13" borderId="95" xfId="0" applyFont="1" applyFill="1" applyBorder="1" applyAlignment="1" applyProtection="1">
      <alignment horizontal="center" vertical="center"/>
      <protection locked="0"/>
    </xf>
    <xf numFmtId="0" fontId="23" fillId="13" borderId="96" xfId="0" applyFont="1" applyFill="1" applyBorder="1" applyAlignment="1" applyProtection="1">
      <alignment horizontal="center" vertical="center"/>
      <protection locked="0"/>
    </xf>
    <xf numFmtId="168" fontId="24" fillId="33" borderId="36" xfId="0" applyNumberFormat="1" applyFont="1" applyFill="1" applyBorder="1" applyAlignment="1">
      <alignment horizontal="center" vertical="center" wrapText="1"/>
    </xf>
    <xf numFmtId="168" fontId="24" fillId="33" borderId="37" xfId="0" applyNumberFormat="1" applyFont="1" applyFill="1" applyBorder="1" applyAlignment="1">
      <alignment horizontal="center" vertical="center" wrapText="1"/>
    </xf>
    <xf numFmtId="168" fontId="24" fillId="33" borderId="217" xfId="0" applyNumberFormat="1" applyFont="1" applyFill="1" applyBorder="1" applyAlignment="1">
      <alignment horizontal="center" vertical="center" wrapText="1"/>
    </xf>
    <xf numFmtId="0" fontId="23" fillId="16" borderId="47" xfId="0" applyFont="1" applyFill="1" applyBorder="1" applyAlignment="1">
      <alignment horizontal="center" vertical="center" wrapText="1"/>
    </xf>
    <xf numFmtId="0" fontId="23" fillId="16" borderId="43" xfId="0" applyFont="1" applyFill="1" applyBorder="1" applyAlignment="1">
      <alignment horizontal="center" vertical="center" wrapText="1"/>
    </xf>
    <xf numFmtId="0" fontId="23" fillId="15" borderId="22" xfId="0" applyFont="1" applyFill="1" applyBorder="1" applyAlignment="1">
      <alignment horizontal="center" vertical="center" wrapText="1"/>
    </xf>
    <xf numFmtId="0" fontId="23" fillId="15" borderId="40" xfId="0" applyFont="1" applyFill="1" applyBorder="1" applyAlignment="1">
      <alignment horizontal="center" vertical="center" wrapText="1"/>
    </xf>
    <xf numFmtId="0" fontId="23" fillId="16" borderId="100" xfId="0" applyFont="1" applyFill="1" applyBorder="1" applyAlignment="1">
      <alignment horizontal="center" vertical="center" wrapText="1"/>
    </xf>
    <xf numFmtId="0" fontId="23" fillId="16" borderId="101" xfId="0" applyFont="1" applyFill="1" applyBorder="1" applyAlignment="1">
      <alignment horizontal="center" vertical="center" wrapText="1"/>
    </xf>
    <xf numFmtId="0" fontId="23" fillId="15" borderId="97" xfId="0" applyFont="1" applyFill="1" applyBorder="1" applyAlignment="1">
      <alignment horizontal="center" vertical="center" wrapText="1"/>
    </xf>
    <xf numFmtId="0" fontId="23" fillId="15" borderId="86" xfId="0" applyFont="1" applyFill="1" applyBorder="1" applyAlignment="1">
      <alignment horizontal="center" vertical="center" wrapText="1"/>
    </xf>
    <xf numFmtId="0" fontId="22" fillId="44" borderId="191" xfId="0" applyFont="1" applyFill="1" applyBorder="1" applyAlignment="1">
      <alignment horizontal="center" vertical="center" wrapText="1"/>
    </xf>
    <xf numFmtId="170" fontId="0" fillId="56" borderId="213" xfId="13" applyNumberFormat="1" applyFont="1" applyFill="1" applyBorder="1" applyAlignment="1" applyProtection="1">
      <alignment horizontal="center" vertical="center"/>
      <protection locked="0"/>
    </xf>
    <xf numFmtId="170" fontId="0" fillId="56" borderId="214" xfId="13" applyNumberFormat="1" applyFont="1" applyFill="1" applyBorder="1" applyAlignment="1" applyProtection="1">
      <alignment horizontal="center" vertical="center"/>
      <protection locked="0"/>
    </xf>
    <xf numFmtId="170" fontId="0" fillId="56" borderId="215" xfId="13" applyNumberFormat="1" applyFont="1" applyFill="1" applyBorder="1" applyAlignment="1" applyProtection="1">
      <alignment horizontal="center" vertical="center"/>
      <protection locked="0"/>
    </xf>
    <xf numFmtId="0" fontId="35" fillId="36" borderId="186" xfId="0" applyFont="1" applyFill="1" applyBorder="1" applyAlignment="1">
      <alignment horizontal="center" vertical="center"/>
    </xf>
    <xf numFmtId="0" fontId="34" fillId="49" borderId="193" xfId="0" applyFont="1" applyFill="1" applyBorder="1" applyAlignment="1">
      <alignment horizontal="center" vertical="center" wrapText="1"/>
    </xf>
    <xf numFmtId="0" fontId="34" fillId="49" borderId="119" xfId="0" applyFont="1" applyFill="1" applyBorder="1" applyAlignment="1">
      <alignment horizontal="center" vertical="center" wrapText="1"/>
    </xf>
    <xf numFmtId="0" fontId="23" fillId="12" borderId="25" xfId="0" applyFont="1" applyFill="1" applyBorder="1" applyAlignment="1" applyProtection="1">
      <alignment horizontal="center" vertical="center"/>
      <protection locked="0"/>
    </xf>
    <xf numFmtId="0" fontId="23" fillId="12" borderId="18" xfId="0" applyFont="1" applyFill="1" applyBorder="1" applyAlignment="1" applyProtection="1">
      <alignment horizontal="center" vertical="center"/>
      <protection locked="0"/>
    </xf>
    <xf numFmtId="0" fontId="11" fillId="17" borderId="77" xfId="0" applyFont="1" applyFill="1" applyBorder="1" applyAlignment="1">
      <alignment horizontal="center" vertical="center"/>
    </xf>
    <xf numFmtId="0" fontId="11" fillId="16" borderId="77" xfId="0" applyFont="1" applyFill="1" applyBorder="1" applyAlignment="1">
      <alignment horizontal="center" vertical="center" wrapText="1"/>
    </xf>
    <xf numFmtId="166" fontId="13" fillId="18" borderId="105" xfId="13" applyFont="1" applyFill="1" applyBorder="1" applyAlignment="1">
      <alignment horizontal="center" vertical="center" wrapText="1"/>
    </xf>
    <xf numFmtId="166" fontId="13" fillId="18" borderId="52" xfId="13" applyFont="1" applyFill="1" applyBorder="1" applyAlignment="1">
      <alignment horizontal="center" vertical="center" wrapText="1"/>
    </xf>
    <xf numFmtId="0" fontId="11" fillId="16" borderId="8" xfId="0" applyFont="1" applyFill="1" applyBorder="1" applyAlignment="1">
      <alignment horizontal="center" vertical="center"/>
    </xf>
    <xf numFmtId="0" fontId="11" fillId="16" borderId="5" xfId="0" applyFont="1" applyFill="1" applyBorder="1" applyAlignment="1">
      <alignment horizontal="center" vertical="center"/>
    </xf>
    <xf numFmtId="0" fontId="11" fillId="15" borderId="74" xfId="0" applyFont="1" applyFill="1" applyBorder="1" applyAlignment="1">
      <alignment horizontal="center" vertical="center"/>
    </xf>
    <xf numFmtId="0" fontId="11" fillId="15" borderId="108" xfId="0" applyFont="1" applyFill="1" applyBorder="1" applyAlignment="1">
      <alignment horizontal="center" vertical="center"/>
    </xf>
    <xf numFmtId="0" fontId="13" fillId="17" borderId="8" xfId="0" applyFont="1" applyFill="1" applyBorder="1" applyAlignment="1">
      <alignment horizontal="center" vertical="center"/>
    </xf>
    <xf numFmtId="0" fontId="13" fillId="17" borderId="13" xfId="0" applyFont="1" applyFill="1" applyBorder="1" applyAlignment="1">
      <alignment horizontal="center" vertical="center"/>
    </xf>
    <xf numFmtId="0" fontId="23" fillId="1" borderId="186" xfId="0" applyFont="1" applyFill="1" applyBorder="1" applyAlignment="1">
      <alignment horizontal="center" vertical="center" wrapText="1"/>
    </xf>
    <xf numFmtId="0" fontId="23" fillId="0" borderId="186" xfId="0" applyFont="1" applyBorder="1" applyAlignment="1">
      <alignment horizontal="center" vertical="center" wrapText="1"/>
    </xf>
    <xf numFmtId="0" fontId="25" fillId="0" borderId="0" xfId="28" applyFont="1" applyAlignment="1">
      <alignment horizontal="center" vertical="center"/>
    </xf>
    <xf numFmtId="0" fontId="25" fillId="0" borderId="0" xfId="28" applyFont="1" applyAlignment="1">
      <alignment horizontal="center" vertical="center" wrapText="1"/>
    </xf>
    <xf numFmtId="0" fontId="13" fillId="17" borderId="245" xfId="28" applyFont="1" applyFill="1" applyBorder="1" applyAlignment="1">
      <alignment horizontal="center" vertical="center" wrapText="1"/>
    </xf>
    <xf numFmtId="0" fontId="13" fillId="17" borderId="169" xfId="28" applyFont="1" applyFill="1" applyBorder="1" applyAlignment="1">
      <alignment horizontal="center" vertical="center" wrapText="1"/>
    </xf>
    <xf numFmtId="0" fontId="11" fillId="15" borderId="245" xfId="28" applyFont="1" applyFill="1" applyBorder="1" applyAlignment="1">
      <alignment horizontal="center" vertical="center" wrapText="1"/>
    </xf>
    <xf numFmtId="0" fontId="11" fillId="15" borderId="169" xfId="28" applyFont="1" applyFill="1" applyBorder="1" applyAlignment="1">
      <alignment horizontal="center" vertical="center" wrapText="1"/>
    </xf>
    <xf numFmtId="0" fontId="18" fillId="14" borderId="83" xfId="28" applyFont="1" applyFill="1" applyBorder="1" applyAlignment="1">
      <alignment horizontal="center" vertical="center"/>
    </xf>
    <xf numFmtId="0" fontId="18" fillId="14" borderId="237" xfId="28" applyFont="1" applyFill="1" applyBorder="1" applyAlignment="1">
      <alignment horizontal="center" vertical="center"/>
    </xf>
    <xf numFmtId="0" fontId="13" fillId="26" borderId="176" xfId="28" applyFont="1" applyFill="1" applyBorder="1" applyAlignment="1">
      <alignment horizontal="center" vertical="center" wrapText="1"/>
    </xf>
    <xf numFmtId="0" fontId="13" fillId="26" borderId="85" xfId="28" applyFont="1" applyFill="1" applyBorder="1" applyAlignment="1">
      <alignment horizontal="center" vertical="center" wrapText="1"/>
    </xf>
    <xf numFmtId="0" fontId="18" fillId="14" borderId="240" xfId="28" applyFont="1" applyFill="1" applyBorder="1" applyAlignment="1">
      <alignment horizontal="center" vertical="center"/>
    </xf>
    <xf numFmtId="0" fontId="18" fillId="46" borderId="83" xfId="28" applyFont="1" applyFill="1" applyBorder="1" applyAlignment="1">
      <alignment horizontal="center" vertical="center"/>
    </xf>
    <xf numFmtId="0" fontId="18" fillId="46" borderId="237" xfId="28" applyFont="1" applyFill="1" applyBorder="1" applyAlignment="1">
      <alignment horizontal="center" vertical="center"/>
    </xf>
    <xf numFmtId="0" fontId="18" fillId="45" borderId="240" xfId="28" applyFont="1" applyFill="1" applyBorder="1" applyAlignment="1">
      <alignment horizontal="center" vertical="center"/>
    </xf>
    <xf numFmtId="0" fontId="13" fillId="16" borderId="177" xfId="28" applyFont="1" applyFill="1" applyBorder="1" applyAlignment="1">
      <alignment horizontal="center" vertical="center" wrapText="1"/>
    </xf>
    <xf numFmtId="0" fontId="13" fillId="16" borderId="194" xfId="28" applyFont="1" applyFill="1" applyBorder="1" applyAlignment="1">
      <alignment horizontal="center" vertical="center" wrapText="1"/>
    </xf>
    <xf numFmtId="0" fontId="13" fillId="16" borderId="167" xfId="28" applyFont="1" applyFill="1" applyBorder="1" applyAlignment="1">
      <alignment horizontal="center" vertical="center" wrapText="1"/>
    </xf>
    <xf numFmtId="0" fontId="13" fillId="16" borderId="203" xfId="28" applyFont="1" applyFill="1" applyBorder="1" applyAlignment="1">
      <alignment horizontal="center" vertical="center" wrapText="1"/>
    </xf>
    <xf numFmtId="0" fontId="13" fillId="16" borderId="242" xfId="28" applyFont="1" applyFill="1" applyBorder="1" applyAlignment="1">
      <alignment horizontal="center" vertical="center"/>
    </xf>
    <xf numFmtId="0" fontId="13" fillId="16" borderId="204" xfId="28" applyFont="1" applyFill="1" applyBorder="1" applyAlignment="1">
      <alignment horizontal="center" vertical="center"/>
    </xf>
    <xf numFmtId="0" fontId="13" fillId="16" borderId="242" xfId="28" applyFont="1" applyFill="1" applyBorder="1" applyAlignment="1">
      <alignment horizontal="center" vertical="center" wrapText="1"/>
    </xf>
    <xf numFmtId="0" fontId="13" fillId="16" borderId="204" xfId="28" applyFont="1" applyFill="1" applyBorder="1" applyAlignment="1">
      <alignment horizontal="center" vertical="center" wrapText="1"/>
    </xf>
    <xf numFmtId="0" fontId="22" fillId="16" borderId="243" xfId="28" applyFont="1" applyFill="1" applyBorder="1" applyAlignment="1">
      <alignment horizontal="center" vertical="center" wrapText="1"/>
    </xf>
    <xf numFmtId="0" fontId="22" fillId="16" borderId="34" xfId="28" applyFont="1" applyFill="1" applyBorder="1" applyAlignment="1">
      <alignment horizontal="center" vertical="center" wrapText="1"/>
    </xf>
    <xf numFmtId="0" fontId="22" fillId="16" borderId="244" xfId="28" applyFont="1" applyFill="1" applyBorder="1" applyAlignment="1">
      <alignment horizontal="center" vertical="center" wrapText="1"/>
    </xf>
    <xf numFmtId="0" fontId="13" fillId="0" borderId="0" xfId="28" applyFont="1" applyAlignment="1">
      <alignment horizontal="center" vertical="center"/>
    </xf>
    <xf numFmtId="0" fontId="11" fillId="16" borderId="186" xfId="28" applyFont="1" applyFill="1" applyBorder="1" applyAlignment="1">
      <alignment horizontal="center" vertical="center" wrapText="1"/>
    </xf>
    <xf numFmtId="0" fontId="18" fillId="45" borderId="83" xfId="28" applyFont="1" applyFill="1" applyBorder="1" applyAlignment="1">
      <alignment horizontal="center" vertical="center"/>
    </xf>
    <xf numFmtId="0" fontId="18" fillId="45" borderId="237" xfId="28" applyFont="1" applyFill="1" applyBorder="1" applyAlignment="1">
      <alignment horizontal="center" vertical="center"/>
    </xf>
    <xf numFmtId="0" fontId="10" fillId="14" borderId="84" xfId="28" applyFont="1" applyFill="1" applyBorder="1" applyAlignment="1">
      <alignment horizontal="center" vertical="center"/>
    </xf>
    <xf numFmtId="0" fontId="10" fillId="14" borderId="90" xfId="28" applyFont="1" applyFill="1" applyBorder="1" applyAlignment="1">
      <alignment horizontal="center" vertical="center"/>
    </xf>
    <xf numFmtId="0" fontId="18" fillId="14" borderId="173" xfId="28" applyFont="1" applyFill="1" applyBorder="1" applyAlignment="1">
      <alignment horizontal="center" vertical="center"/>
    </xf>
    <xf numFmtId="0" fontId="18" fillId="14" borderId="230" xfId="28" applyFont="1" applyFill="1" applyBorder="1" applyAlignment="1">
      <alignment horizontal="center" vertical="center"/>
    </xf>
    <xf numFmtId="0" fontId="18" fillId="46" borderId="173" xfId="28" applyFont="1" applyFill="1" applyBorder="1" applyAlignment="1">
      <alignment horizontal="center" vertical="center"/>
    </xf>
    <xf numFmtId="0" fontId="18" fillId="46" borderId="175" xfId="28" applyFont="1" applyFill="1" applyBorder="1" applyAlignment="1">
      <alignment horizontal="center" vertical="center"/>
    </xf>
    <xf numFmtId="0" fontId="18" fillId="45" borderId="241" xfId="28" applyFont="1" applyFill="1" applyBorder="1" applyAlignment="1">
      <alignment horizontal="center" vertical="center"/>
    </xf>
    <xf numFmtId="0" fontId="18" fillId="45" borderId="175" xfId="28" applyFont="1" applyFill="1" applyBorder="1" applyAlignment="1">
      <alignment horizontal="center" vertical="center"/>
    </xf>
    <xf numFmtId="0" fontId="10" fillId="46" borderId="84" xfId="28" applyFont="1" applyFill="1" applyBorder="1" applyAlignment="1">
      <alignment horizontal="center" vertical="center"/>
    </xf>
    <xf numFmtId="0" fontId="10" fillId="46" borderId="90" xfId="28" applyFont="1" applyFill="1" applyBorder="1" applyAlignment="1">
      <alignment horizontal="center" vertical="center"/>
    </xf>
    <xf numFmtId="177" fontId="14" fillId="26" borderId="83" xfId="28" applyNumberFormat="1" applyFill="1" applyBorder="1" applyAlignment="1">
      <alignment horizontal="center" vertical="center"/>
    </xf>
    <xf numFmtId="177" fontId="14" fillId="26" borderId="237" xfId="28" applyNumberFormat="1" applyFill="1" applyBorder="1" applyAlignment="1">
      <alignment horizontal="center" vertical="center"/>
    </xf>
    <xf numFmtId="0" fontId="10" fillId="45" borderId="84" xfId="28" applyFont="1" applyFill="1" applyBorder="1" applyAlignment="1">
      <alignment horizontal="center" vertical="center"/>
    </xf>
    <xf numFmtId="0" fontId="10" fillId="45" borderId="90" xfId="28" applyFont="1" applyFill="1" applyBorder="1" applyAlignment="1">
      <alignment horizontal="center" vertical="center"/>
    </xf>
    <xf numFmtId="177" fontId="14" fillId="26" borderId="241" xfId="28" applyNumberFormat="1" applyFill="1" applyBorder="1" applyAlignment="1">
      <alignment horizontal="center" vertical="center"/>
    </xf>
    <xf numFmtId="0" fontId="13" fillId="16" borderId="176" xfId="28" applyFont="1" applyFill="1" applyBorder="1" applyAlignment="1">
      <alignment horizontal="center" vertical="center" wrapText="1"/>
    </xf>
    <xf numFmtId="0" fontId="13" fillId="16" borderId="42" xfId="28" applyFont="1" applyFill="1" applyBorder="1" applyAlignment="1">
      <alignment horizontal="center" vertical="center" wrapText="1"/>
    </xf>
    <xf numFmtId="0" fontId="23" fillId="45" borderId="176" xfId="0" applyFont="1" applyFill="1" applyBorder="1" applyAlignment="1">
      <alignment horizontal="center" vertical="center" textRotation="90" wrapText="1"/>
    </xf>
    <xf numFmtId="0" fontId="23" fillId="45" borderId="85" xfId="0" applyFont="1" applyFill="1" applyBorder="1" applyAlignment="1">
      <alignment horizontal="center" vertical="center" textRotation="90" wrapText="1"/>
    </xf>
    <xf numFmtId="0" fontId="23" fillId="45" borderId="42" xfId="0" applyFont="1" applyFill="1" applyBorder="1" applyAlignment="1">
      <alignment horizontal="center" vertical="center" textRotation="90" wrapText="1"/>
    </xf>
    <xf numFmtId="0" fontId="23" fillId="45" borderId="176" xfId="0" applyFont="1" applyFill="1" applyBorder="1" applyAlignment="1">
      <alignment horizontal="left" vertical="center" wrapText="1"/>
    </xf>
    <xf numFmtId="0" fontId="23" fillId="45" borderId="85" xfId="0" applyFont="1" applyFill="1" applyBorder="1" applyAlignment="1">
      <alignment horizontal="left" vertical="center" wrapText="1"/>
    </xf>
    <xf numFmtId="0" fontId="23" fillId="45" borderId="42" xfId="0" applyFont="1" applyFill="1" applyBorder="1" applyAlignment="1">
      <alignment horizontal="left" vertical="center" wrapText="1"/>
    </xf>
    <xf numFmtId="0" fontId="23" fillId="45" borderId="176" xfId="28" applyFont="1" applyFill="1" applyBorder="1" applyAlignment="1">
      <alignment horizontal="center" vertical="center" textRotation="90" wrapText="1"/>
    </xf>
    <xf numFmtId="0" fontId="23" fillId="45" borderId="85" xfId="28" applyFont="1" applyFill="1" applyBorder="1" applyAlignment="1">
      <alignment horizontal="center" vertical="center" textRotation="90" wrapText="1"/>
    </xf>
    <xf numFmtId="0" fontId="23" fillId="45" borderId="42" xfId="28" applyFont="1" applyFill="1" applyBorder="1" applyAlignment="1">
      <alignment horizontal="center" vertical="center" textRotation="90" wrapText="1"/>
    </xf>
    <xf numFmtId="0" fontId="23" fillId="45" borderId="176" xfId="28" applyFont="1" applyFill="1" applyBorder="1" applyAlignment="1">
      <alignment horizontal="left" vertical="center" wrapText="1"/>
    </xf>
    <xf numFmtId="0" fontId="23" fillId="45" borderId="85" xfId="28" applyFont="1" applyFill="1" applyBorder="1" applyAlignment="1">
      <alignment horizontal="left" vertical="center" wrapText="1"/>
    </xf>
    <xf numFmtId="0" fontId="23" fillId="45" borderId="42" xfId="28" applyFont="1" applyFill="1" applyBorder="1" applyAlignment="1">
      <alignment horizontal="left" vertical="center" wrapText="1"/>
    </xf>
    <xf numFmtId="0" fontId="26" fillId="45" borderId="53" xfId="28" applyFont="1" applyFill="1" applyBorder="1" applyAlignment="1">
      <alignment horizontal="center" vertical="center" textRotation="90" wrapText="1"/>
    </xf>
    <xf numFmtId="0" fontId="26" fillId="45" borderId="50" xfId="28" applyFont="1" applyFill="1" applyBorder="1" applyAlignment="1">
      <alignment horizontal="center" vertical="center" textRotation="90" wrapText="1"/>
    </xf>
    <xf numFmtId="0" fontId="23" fillId="12" borderId="202" xfId="28" applyFont="1" applyFill="1" applyBorder="1" applyAlignment="1" applyProtection="1">
      <alignment horizontal="left" vertical="center" wrapText="1"/>
      <protection locked="0"/>
    </xf>
    <xf numFmtId="0" fontId="23" fillId="12" borderId="222" xfId="28" applyFont="1" applyFill="1" applyBorder="1" applyAlignment="1" applyProtection="1">
      <alignment horizontal="left" vertical="center" wrapText="1"/>
      <protection locked="0"/>
    </xf>
    <xf numFmtId="0" fontId="23" fillId="12" borderId="99" xfId="28" applyFont="1" applyFill="1" applyBorder="1" applyAlignment="1" applyProtection="1">
      <alignment horizontal="left" vertical="center" wrapText="1"/>
      <protection locked="0"/>
    </xf>
    <xf numFmtId="0" fontId="23" fillId="12" borderId="97" xfId="28" applyFont="1" applyFill="1" applyBorder="1" applyAlignment="1" applyProtection="1">
      <alignment horizontal="left" vertical="center" wrapText="1"/>
      <protection locked="0"/>
    </xf>
    <xf numFmtId="0" fontId="23" fillId="12" borderId="177" xfId="28" applyFont="1" applyFill="1" applyBorder="1" applyAlignment="1" applyProtection="1">
      <alignment horizontal="left" vertical="center" wrapText="1"/>
      <protection locked="0"/>
    </xf>
    <xf numFmtId="0" fontId="23" fillId="12" borderId="87" xfId="28" applyFont="1" applyFill="1" applyBorder="1" applyAlignment="1" applyProtection="1">
      <alignment horizontal="left" vertical="center" wrapText="1"/>
      <protection locked="0"/>
    </xf>
    <xf numFmtId="0" fontId="23" fillId="12" borderId="167" xfId="28" applyFont="1" applyFill="1" applyBorder="1" applyAlignment="1" applyProtection="1">
      <alignment horizontal="left" vertical="center" wrapText="1"/>
      <protection locked="0"/>
    </xf>
    <xf numFmtId="0" fontId="23" fillId="42" borderId="87" xfId="0" applyFont="1" applyFill="1" applyBorder="1" applyAlignment="1">
      <alignment horizontal="left" vertical="center" wrapText="1"/>
    </xf>
    <xf numFmtId="0" fontId="23" fillId="42" borderId="145" xfId="0" applyFont="1" applyFill="1" applyBorder="1" applyAlignment="1">
      <alignment horizontal="left" vertical="center" wrapText="1"/>
    </xf>
    <xf numFmtId="0" fontId="23" fillId="0" borderId="177" xfId="0" applyFont="1" applyBorder="1" applyAlignment="1">
      <alignment horizontal="left" vertical="center" wrapText="1"/>
    </xf>
    <xf numFmtId="0" fontId="23" fillId="0" borderId="87" xfId="0" applyFont="1" applyBorder="1" applyAlignment="1">
      <alignment horizontal="left" vertical="center" wrapText="1"/>
    </xf>
    <xf numFmtId="0" fontId="23" fillId="0" borderId="167" xfId="0" applyFont="1" applyBorder="1" applyAlignment="1">
      <alignment horizontal="left" vertical="center" wrapText="1"/>
    </xf>
    <xf numFmtId="0" fontId="23" fillId="16" borderId="106" xfId="0" applyFont="1" applyFill="1" applyBorder="1" applyAlignment="1">
      <alignment horizontal="center" vertical="center"/>
    </xf>
    <xf numFmtId="0" fontId="23" fillId="16" borderId="104" xfId="0" applyFont="1" applyFill="1" applyBorder="1" applyAlignment="1">
      <alignment horizontal="center" vertical="center"/>
    </xf>
    <xf numFmtId="0" fontId="23" fillId="16" borderId="208" xfId="0" applyFont="1" applyFill="1" applyBorder="1" applyAlignment="1">
      <alignment horizontal="center" vertical="center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168" fontId="23" fillId="17" borderId="64" xfId="0" applyNumberFormat="1" applyFont="1" applyFill="1" applyBorder="1" applyAlignment="1">
      <alignment horizontal="center" vertical="center" wrapText="1"/>
    </xf>
    <xf numFmtId="168" fontId="23" fillId="17" borderId="66" xfId="0" applyNumberFormat="1" applyFont="1" applyFill="1" applyBorder="1" applyAlignment="1">
      <alignment horizontal="center" vertical="center" wrapText="1"/>
    </xf>
    <xf numFmtId="168" fontId="23" fillId="17" borderId="207" xfId="0" applyNumberFormat="1" applyFont="1" applyFill="1" applyBorder="1" applyAlignment="1">
      <alignment horizontal="center" vertical="center" wrapText="1"/>
    </xf>
    <xf numFmtId="168" fontId="24" fillId="33" borderId="28" xfId="0" applyNumberFormat="1" applyFont="1" applyFill="1" applyBorder="1" applyAlignment="1">
      <alignment horizontal="center" vertical="center" wrapText="1"/>
    </xf>
    <xf numFmtId="168" fontId="24" fillId="33" borderId="21" xfId="0" applyNumberFormat="1" applyFont="1" applyFill="1" applyBorder="1" applyAlignment="1">
      <alignment horizontal="center" vertical="center" wrapText="1"/>
    </xf>
    <xf numFmtId="168" fontId="24" fillId="33" borderId="127" xfId="0" applyNumberFormat="1" applyFont="1" applyFill="1" applyBorder="1" applyAlignment="1">
      <alignment horizontal="center" vertical="center" wrapText="1"/>
    </xf>
    <xf numFmtId="0" fontId="13" fillId="15" borderId="57" xfId="0" applyFont="1" applyFill="1" applyBorder="1" applyAlignment="1">
      <alignment horizontal="center" vertical="center" wrapText="1"/>
    </xf>
    <xf numFmtId="0" fontId="13" fillId="15" borderId="58" xfId="0" applyFont="1" applyFill="1" applyBorder="1" applyAlignment="1">
      <alignment horizontal="center" vertical="center" wrapText="1"/>
    </xf>
    <xf numFmtId="0" fontId="13" fillId="15" borderId="59" xfId="0" applyFont="1" applyFill="1" applyBorder="1" applyAlignment="1">
      <alignment horizontal="center" vertical="center" wrapText="1"/>
    </xf>
    <xf numFmtId="0" fontId="13" fillId="15" borderId="3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3" fillId="11" borderId="177" xfId="0" applyFont="1" applyFill="1" applyBorder="1" applyAlignment="1">
      <alignment horizontal="center" vertical="center" wrapText="1"/>
    </xf>
    <xf numFmtId="0" fontId="23" fillId="11" borderId="87" xfId="0" applyFont="1" applyFill="1" applyBorder="1" applyAlignment="1">
      <alignment horizontal="center" vertical="center" wrapText="1"/>
    </xf>
    <xf numFmtId="177" fontId="23" fillId="29" borderId="88" xfId="0" applyNumberFormat="1" applyFont="1" applyFill="1" applyBorder="1" applyAlignment="1">
      <alignment horizontal="right" vertical="center"/>
    </xf>
    <xf numFmtId="177" fontId="23" fillId="29" borderId="56" xfId="0" applyNumberFormat="1" applyFont="1" applyFill="1" applyBorder="1" applyAlignment="1">
      <alignment horizontal="right" vertical="center"/>
    </xf>
    <xf numFmtId="177" fontId="23" fillId="29" borderId="85" xfId="0" applyNumberFormat="1" applyFont="1" applyFill="1" applyBorder="1" applyAlignment="1">
      <alignment horizontal="right" vertical="center"/>
    </xf>
    <xf numFmtId="0" fontId="13" fillId="16" borderId="175" xfId="0" applyFont="1" applyFill="1" applyBorder="1" applyAlignment="1">
      <alignment horizontal="center" vertical="center" wrapText="1"/>
    </xf>
    <xf numFmtId="0" fontId="13" fillId="16" borderId="162" xfId="0" applyFont="1" applyFill="1" applyBorder="1" applyAlignment="1">
      <alignment horizontal="center" vertical="center" wrapText="1"/>
    </xf>
    <xf numFmtId="0" fontId="13" fillId="16" borderId="177" xfId="0" applyFont="1" applyFill="1" applyBorder="1" applyAlignment="1">
      <alignment horizontal="center" vertical="center" wrapText="1"/>
    </xf>
    <xf numFmtId="0" fontId="13" fillId="16" borderId="87" xfId="0" applyFont="1" applyFill="1" applyBorder="1" applyAlignment="1">
      <alignment horizontal="center" vertical="center" wrapText="1"/>
    </xf>
    <xf numFmtId="0" fontId="13" fillId="16" borderId="183" xfId="0" applyFont="1" applyFill="1" applyBorder="1" applyAlignment="1">
      <alignment horizontal="center" vertical="center"/>
    </xf>
    <xf numFmtId="0" fontId="13" fillId="16" borderId="142" xfId="0" applyFont="1" applyFill="1" applyBorder="1" applyAlignment="1">
      <alignment horizontal="center" vertical="center"/>
    </xf>
    <xf numFmtId="0" fontId="13" fillId="16" borderId="157" xfId="0" applyFont="1" applyFill="1" applyBorder="1" applyAlignment="1">
      <alignment horizontal="center" vertical="center"/>
    </xf>
    <xf numFmtId="0" fontId="13" fillId="16" borderId="110" xfId="0" applyFont="1" applyFill="1" applyBorder="1" applyAlignment="1">
      <alignment horizontal="center" vertical="center"/>
    </xf>
    <xf numFmtId="0" fontId="13" fillId="16" borderId="157" xfId="0" applyFont="1" applyFill="1" applyBorder="1" applyAlignment="1">
      <alignment horizontal="center" vertical="center" wrapText="1"/>
    </xf>
    <xf numFmtId="0" fontId="13" fillId="16" borderId="110" xfId="0" applyFont="1" applyFill="1" applyBorder="1" applyAlignment="1">
      <alignment horizontal="center" vertical="center" wrapText="1"/>
    </xf>
    <xf numFmtId="0" fontId="23" fillId="42" borderId="177" xfId="0" applyFont="1" applyFill="1" applyBorder="1" applyAlignment="1">
      <alignment horizontal="center" vertical="center" wrapText="1"/>
    </xf>
    <xf numFmtId="0" fontId="23" fillId="42" borderId="87" xfId="0" applyFont="1" applyFill="1" applyBorder="1" applyAlignment="1">
      <alignment horizontal="center" vertical="center" wrapText="1"/>
    </xf>
    <xf numFmtId="0" fontId="23" fillId="42" borderId="167" xfId="0" applyFont="1" applyFill="1" applyBorder="1" applyAlignment="1">
      <alignment horizontal="center" vertical="center" wrapText="1"/>
    </xf>
    <xf numFmtId="177" fontId="23" fillId="56" borderId="176" xfId="0" applyNumberFormat="1" applyFont="1" applyFill="1" applyBorder="1" applyAlignment="1">
      <alignment horizontal="right" vertical="center"/>
    </xf>
    <xf numFmtId="177" fontId="23" fillId="56" borderId="85" xfId="0" applyNumberFormat="1" applyFont="1" applyFill="1" applyBorder="1" applyAlignment="1">
      <alignment horizontal="right" vertical="center"/>
    </xf>
    <xf numFmtId="177" fontId="23" fillId="56" borderId="42" xfId="0" applyNumberFormat="1" applyFont="1" applyFill="1" applyBorder="1" applyAlignment="1">
      <alignment horizontal="right" vertical="center"/>
    </xf>
    <xf numFmtId="177" fontId="23" fillId="29" borderId="143" xfId="0" applyNumberFormat="1" applyFont="1" applyFill="1" applyBorder="1" applyAlignment="1">
      <alignment horizontal="right" vertical="center"/>
    </xf>
    <xf numFmtId="177" fontId="23" fillId="29" borderId="42" xfId="0" applyNumberFormat="1" applyFont="1" applyFill="1" applyBorder="1" applyAlignment="1">
      <alignment horizontal="right" vertical="center"/>
    </xf>
    <xf numFmtId="0" fontId="13" fillId="27" borderId="176" xfId="0" applyFont="1" applyFill="1" applyBorder="1" applyAlignment="1">
      <alignment horizontal="center" vertical="center" wrapText="1"/>
    </xf>
    <xf numFmtId="0" fontId="13" fillId="27" borderId="42" xfId="0" applyFont="1" applyFill="1" applyBorder="1" applyAlignment="1">
      <alignment horizontal="center" vertical="center" wrapText="1"/>
    </xf>
    <xf numFmtId="0" fontId="13" fillId="27" borderId="88" xfId="0" applyFont="1" applyFill="1" applyBorder="1" applyAlignment="1">
      <alignment horizontal="center" vertical="center" wrapText="1"/>
    </xf>
    <xf numFmtId="0" fontId="13" fillId="27" borderId="56" xfId="0" applyFont="1" applyFill="1" applyBorder="1" applyAlignment="1">
      <alignment horizontal="center" vertical="center" wrapText="1"/>
    </xf>
    <xf numFmtId="0" fontId="13" fillId="16" borderId="167" xfId="0" applyFont="1" applyFill="1" applyBorder="1" applyAlignment="1">
      <alignment horizontal="center" vertical="center" wrapText="1"/>
    </xf>
    <xf numFmtId="0" fontId="13" fillId="16" borderId="176" xfId="0" applyFont="1" applyFill="1" applyBorder="1" applyAlignment="1">
      <alignment horizontal="center" vertical="center" wrapText="1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34" xfId="0" applyFont="1" applyFill="1" applyBorder="1" applyAlignment="1">
      <alignment horizontal="center" vertical="center" wrapText="1"/>
    </xf>
    <xf numFmtId="0" fontId="13" fillId="16" borderId="91" xfId="0" applyFont="1" applyFill="1" applyBorder="1" applyAlignment="1">
      <alignment horizontal="center" vertical="center" wrapText="1"/>
    </xf>
    <xf numFmtId="0" fontId="22" fillId="0" borderId="153" xfId="0" applyFont="1" applyBorder="1" applyAlignment="1">
      <alignment horizontal="center" vertical="center" wrapText="1"/>
    </xf>
    <xf numFmtId="0" fontId="22" fillId="0" borderId="154" xfId="0" applyFont="1" applyBorder="1" applyAlignment="1">
      <alignment horizontal="center" vertical="center" wrapText="1"/>
    </xf>
    <xf numFmtId="0" fontId="22" fillId="0" borderId="155" xfId="0" applyFont="1" applyBorder="1" applyAlignment="1">
      <alignment horizontal="center" vertical="center" wrapText="1"/>
    </xf>
    <xf numFmtId="0" fontId="13" fillId="16" borderId="72" xfId="0" applyFont="1" applyFill="1" applyBorder="1" applyAlignment="1">
      <alignment horizontal="center" vertical="center" wrapText="1"/>
    </xf>
    <xf numFmtId="0" fontId="13" fillId="16" borderId="73" xfId="0" applyFont="1" applyFill="1" applyBorder="1" applyAlignment="1">
      <alignment horizontal="center" vertical="center" wrapText="1"/>
    </xf>
    <xf numFmtId="0" fontId="23" fillId="12" borderId="9" xfId="0" applyFont="1" applyFill="1" applyBorder="1" applyAlignment="1" applyProtection="1">
      <alignment horizontal="center" vertical="center"/>
      <protection locked="0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13" fillId="16" borderId="104" xfId="0" applyFont="1" applyFill="1" applyBorder="1" applyAlignment="1">
      <alignment horizontal="center" vertical="center"/>
    </xf>
    <xf numFmtId="0" fontId="13" fillId="16" borderId="71" xfId="0" applyFont="1" applyFill="1" applyBorder="1" applyAlignment="1">
      <alignment horizontal="center" vertical="center"/>
    </xf>
    <xf numFmtId="0" fontId="23" fillId="15" borderId="64" xfId="0" applyFont="1" applyFill="1" applyBorder="1" applyAlignment="1">
      <alignment horizontal="center" vertical="center" wrapText="1"/>
    </xf>
    <xf numFmtId="0" fontId="23" fillId="15" borderId="147" xfId="0" applyFont="1" applyFill="1" applyBorder="1" applyAlignment="1">
      <alignment horizontal="center" vertical="center" wrapText="1"/>
    </xf>
    <xf numFmtId="0" fontId="23" fillId="15" borderId="68" xfId="0" applyFont="1" applyFill="1" applyBorder="1" applyAlignment="1">
      <alignment horizontal="center" vertical="center" wrapText="1"/>
    </xf>
    <xf numFmtId="0" fontId="23" fillId="15" borderId="156" xfId="0" applyFont="1" applyFill="1" applyBorder="1" applyAlignment="1">
      <alignment horizontal="center" vertical="center" wrapText="1"/>
    </xf>
    <xf numFmtId="0" fontId="13" fillId="16" borderId="106" xfId="0" applyFont="1" applyFill="1" applyBorder="1" applyAlignment="1">
      <alignment horizontal="center" vertical="center"/>
    </xf>
    <xf numFmtId="0" fontId="13" fillId="16" borderId="67" xfId="0" applyFont="1" applyFill="1" applyBorder="1" applyAlignment="1">
      <alignment horizontal="center" vertical="center"/>
    </xf>
    <xf numFmtId="168" fontId="24" fillId="33" borderId="69" xfId="0" applyNumberFormat="1" applyFont="1" applyFill="1" applyBorder="1" applyAlignment="1">
      <alignment horizontal="center" vertical="center" wrapText="1"/>
    </xf>
    <xf numFmtId="168" fontId="13" fillId="17" borderId="70" xfId="0" applyNumberFormat="1" applyFont="1" applyFill="1" applyBorder="1" applyAlignment="1">
      <alignment horizontal="center" vertical="center" wrapText="1"/>
    </xf>
    <xf numFmtId="168" fontId="13" fillId="17" borderId="66" xfId="0" applyNumberFormat="1" applyFont="1" applyFill="1" applyBorder="1" applyAlignment="1">
      <alignment horizontal="center" vertical="center" wrapText="1"/>
    </xf>
    <xf numFmtId="168" fontId="13" fillId="17" borderId="65" xfId="0" applyNumberFormat="1" applyFont="1" applyFill="1" applyBorder="1" applyAlignment="1">
      <alignment horizontal="center" vertical="center" wrapText="1"/>
    </xf>
    <xf numFmtId="0" fontId="0" fillId="37" borderId="23" xfId="0" applyFill="1" applyBorder="1" applyAlignment="1">
      <alignment horizontal="left" vertical="center" wrapText="1"/>
    </xf>
    <xf numFmtId="0" fontId="0" fillId="37" borderId="16" xfId="0" applyFill="1" applyBorder="1" applyAlignment="1">
      <alignment horizontal="left" vertical="center" wrapText="1"/>
    </xf>
    <xf numFmtId="0" fontId="0" fillId="37" borderId="29" xfId="0" applyFill="1" applyBorder="1" applyAlignment="1">
      <alignment horizontal="left" vertical="center" wrapText="1"/>
    </xf>
    <xf numFmtId="0" fontId="0" fillId="37" borderId="24" xfId="0" applyFill="1" applyBorder="1" applyAlignment="1">
      <alignment horizontal="left" vertical="center" wrapText="1"/>
    </xf>
    <xf numFmtId="0" fontId="0" fillId="37" borderId="0" xfId="0" applyFill="1" applyAlignment="1">
      <alignment horizontal="left" vertical="center" wrapText="1"/>
    </xf>
    <xf numFmtId="0" fontId="0" fillId="37" borderId="30" xfId="0" applyFill="1" applyBorder="1" applyAlignment="1">
      <alignment horizontal="left" vertical="center" wrapText="1"/>
    </xf>
    <xf numFmtId="0" fontId="0" fillId="37" borderId="17" xfId="0" applyFill="1" applyBorder="1" applyAlignment="1">
      <alignment horizontal="left" vertical="center" wrapText="1"/>
    </xf>
    <xf numFmtId="0" fontId="0" fillId="37" borderId="14" xfId="0" applyFill="1" applyBorder="1" applyAlignment="1">
      <alignment horizontal="left" vertical="center" wrapText="1"/>
    </xf>
    <xf numFmtId="0" fontId="0" fillId="37" borderId="15" xfId="0" applyFill="1" applyBorder="1" applyAlignment="1">
      <alignment horizontal="left" vertical="center" wrapText="1"/>
    </xf>
  </cellXfs>
  <cellStyles count="61">
    <cellStyle name="Accent" xfId="1" xr:uid="{00000000-0005-0000-0000-000000000000}"/>
    <cellStyle name="Accent 1" xfId="2" xr:uid="{00000000-0005-0000-0000-000001000000}"/>
    <cellStyle name="Accent 1 1" xfId="37" xr:uid="{00000000-0005-0000-0000-000002000000}"/>
    <cellStyle name="Accent 2" xfId="3" xr:uid="{00000000-0005-0000-0000-000003000000}"/>
    <cellStyle name="Accent 2 1" xfId="38" xr:uid="{00000000-0005-0000-0000-000004000000}"/>
    <cellStyle name="Accent 3" xfId="4" xr:uid="{00000000-0005-0000-0000-000005000000}"/>
    <cellStyle name="Accent 3 1" xfId="39" xr:uid="{00000000-0005-0000-0000-000006000000}"/>
    <cellStyle name="Accent 4" xfId="40" xr:uid="{00000000-0005-0000-0000-000007000000}"/>
    <cellStyle name="Bad" xfId="5" xr:uid="{00000000-0005-0000-0000-000008000000}"/>
    <cellStyle name="Bad 1" xfId="41" xr:uid="{00000000-0005-0000-0000-000009000000}"/>
    <cellStyle name="Error" xfId="6" xr:uid="{00000000-0005-0000-0000-00000A000000}"/>
    <cellStyle name="Error 1" xfId="42" xr:uid="{00000000-0005-0000-0000-00000B000000}"/>
    <cellStyle name="Euro" xfId="21" xr:uid="{00000000-0005-0000-0000-00000C000000}"/>
    <cellStyle name="Euro 2" xfId="22" xr:uid="{00000000-0005-0000-0000-00000D000000}"/>
    <cellStyle name="Euro 2 2" xfId="44" xr:uid="{00000000-0005-0000-0000-00000E000000}"/>
    <cellStyle name="Euro 3" xfId="23" xr:uid="{00000000-0005-0000-0000-00000F000000}"/>
    <cellStyle name="Euro 3 2" xfId="45" xr:uid="{00000000-0005-0000-0000-000010000000}"/>
    <cellStyle name="Euro 4" xfId="43" xr:uid="{00000000-0005-0000-0000-000011000000}"/>
    <cellStyle name="Footnote" xfId="7" xr:uid="{00000000-0005-0000-0000-000012000000}"/>
    <cellStyle name="Footnote 1" xfId="46" xr:uid="{00000000-0005-0000-0000-000013000000}"/>
    <cellStyle name="Good" xfId="8" xr:uid="{00000000-0005-0000-0000-000014000000}"/>
    <cellStyle name="Good 1" xfId="47" xr:uid="{00000000-0005-0000-0000-000015000000}"/>
    <cellStyle name="Heading" xfId="9" xr:uid="{00000000-0005-0000-0000-000016000000}"/>
    <cellStyle name="Heading 1" xfId="10" xr:uid="{00000000-0005-0000-0000-000017000000}"/>
    <cellStyle name="Heading 1 1" xfId="48" xr:uid="{00000000-0005-0000-0000-000018000000}"/>
    <cellStyle name="Heading 2" xfId="11" xr:uid="{00000000-0005-0000-0000-000019000000}"/>
    <cellStyle name="Heading 2 1" xfId="49" xr:uid="{00000000-0005-0000-0000-00001A000000}"/>
    <cellStyle name="Heading 3" xfId="50" xr:uid="{00000000-0005-0000-0000-00001B000000}"/>
    <cellStyle name="Hipervínculo" xfId="20" builtinId="8"/>
    <cellStyle name="Hipervínculo 2" xfId="51" xr:uid="{00000000-0005-0000-0000-00001D000000}"/>
    <cellStyle name="Millares" xfId="12" builtinId="3"/>
    <cellStyle name="Millares 2" xfId="24" xr:uid="{00000000-0005-0000-0000-00001F000000}"/>
    <cellStyle name="Millares 3" xfId="59" xr:uid="{00000000-0005-0000-0000-000020000000}"/>
    <cellStyle name="Moneda" xfId="13" builtinId="4"/>
    <cellStyle name="Moneda [0]" xfId="31" builtinId="7"/>
    <cellStyle name="Moneda 2" xfId="26" xr:uid="{00000000-0005-0000-0000-000023000000}"/>
    <cellStyle name="Moneda 2 2" xfId="52" xr:uid="{00000000-0005-0000-0000-000024000000}"/>
    <cellStyle name="Moneda 3" xfId="25" xr:uid="{00000000-0005-0000-0000-000025000000}"/>
    <cellStyle name="Neutral" xfId="14" builtinId="28" customBuiltin="1"/>
    <cellStyle name="Normal" xfId="0" builtinId="0"/>
    <cellStyle name="Normal 2" xfId="27" xr:uid="{00000000-0005-0000-0000-000028000000}"/>
    <cellStyle name="Normal 3" xfId="28" xr:uid="{00000000-0005-0000-0000-000029000000}"/>
    <cellStyle name="Normal 4" xfId="29" xr:uid="{00000000-0005-0000-0000-00002A000000}"/>
    <cellStyle name="Normal 5" xfId="58" xr:uid="{00000000-0005-0000-0000-00002B000000}"/>
    <cellStyle name="Note" xfId="15" xr:uid="{00000000-0005-0000-0000-00002C000000}"/>
    <cellStyle name="Note 1" xfId="53" xr:uid="{00000000-0005-0000-0000-00002D000000}"/>
    <cellStyle name="Note 2" xfId="33" xr:uid="{00000000-0005-0000-0000-00002E000000}"/>
    <cellStyle name="Note 3" xfId="34" xr:uid="{00000000-0005-0000-0000-00002F000000}"/>
    <cellStyle name="Note 4" xfId="32" xr:uid="{00000000-0005-0000-0000-000030000000}"/>
    <cellStyle name="Note 5" xfId="36" xr:uid="{00000000-0005-0000-0000-000031000000}"/>
    <cellStyle name="Note 6" xfId="35" xr:uid="{00000000-0005-0000-0000-000032000000}"/>
    <cellStyle name="Porcentaje" xfId="16" builtinId="5"/>
    <cellStyle name="Porcentaje 2" xfId="30" xr:uid="{00000000-0005-0000-0000-000034000000}"/>
    <cellStyle name="Porcentaje 2 2" xfId="54" xr:uid="{00000000-0005-0000-0000-000035000000}"/>
    <cellStyle name="Porcentaje 3" xfId="60" xr:uid="{269222FD-1EA1-4147-8CB6-476F1550F864}"/>
    <cellStyle name="Status" xfId="17" xr:uid="{00000000-0005-0000-0000-000036000000}"/>
    <cellStyle name="Status 1" xfId="55" xr:uid="{00000000-0005-0000-0000-000037000000}"/>
    <cellStyle name="Text" xfId="18" xr:uid="{00000000-0005-0000-0000-000038000000}"/>
    <cellStyle name="Text 1" xfId="56" xr:uid="{00000000-0005-0000-0000-000039000000}"/>
    <cellStyle name="Warning" xfId="19" xr:uid="{00000000-0005-0000-0000-00003A000000}"/>
    <cellStyle name="Warning 1" xfId="57" xr:uid="{00000000-0005-0000-0000-00003B000000}"/>
  </cellStyles>
  <dxfs count="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CC"/>
      <color rgb="FFCCFFCC"/>
      <color rgb="FFFF9933"/>
      <color rgb="FFFF0909"/>
      <color rgb="FF000099"/>
      <color rgb="FF69D8FF"/>
      <color rgb="FFFFFF66"/>
      <color rgb="FF00A249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919C748-5006-46EF-9194-C805EE79AA88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95249</xdr:rowOff>
    </xdr:from>
    <xdr:to>
      <xdr:col>9</xdr:col>
      <xdr:colOff>232835</xdr:colOff>
      <xdr:row>63</xdr:row>
      <xdr:rowOff>42332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C8218C-5D12-4611-80BB-A33DAC70A9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521" t="7408" r="24701" b="3589"/>
        <a:stretch/>
      </xdr:blipFill>
      <xdr:spPr>
        <a:xfrm>
          <a:off x="0" y="904874"/>
          <a:ext cx="7090835" cy="9338733"/>
        </a:xfrm>
        <a:prstGeom prst="rect">
          <a:avLst/>
        </a:prstGeom>
      </xdr:spPr>
    </xdr:pic>
    <xdr:clientData/>
  </xdr:twoCellAnchor>
  <xdr:twoCellAnchor editAs="oneCell">
    <xdr:from>
      <xdr:col>9</xdr:col>
      <xdr:colOff>211667</xdr:colOff>
      <xdr:row>5</xdr:row>
      <xdr:rowOff>158749</xdr:rowOff>
    </xdr:from>
    <xdr:to>
      <xdr:col>18</xdr:col>
      <xdr:colOff>359834</xdr:colOff>
      <xdr:row>63</xdr:row>
      <xdr:rowOff>31749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09264B-41AC-43F5-AC20-5CA716C1DA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637" t="7820" r="25049" b="3896"/>
        <a:stretch/>
      </xdr:blipFill>
      <xdr:spPr>
        <a:xfrm>
          <a:off x="7069667" y="968374"/>
          <a:ext cx="7006167" cy="9264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52916</xdr:rowOff>
    </xdr:from>
    <xdr:to>
      <xdr:col>9</xdr:col>
      <xdr:colOff>179917</xdr:colOff>
      <xdr:row>120</xdr:row>
      <xdr:rowOff>42333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3D61FE-45B2-4486-8E6A-7B18BD9DE9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6636" t="8540" r="24875" b="3588"/>
        <a:stretch/>
      </xdr:blipFill>
      <xdr:spPr>
        <a:xfrm>
          <a:off x="0" y="10254191"/>
          <a:ext cx="7037917" cy="9219142"/>
        </a:xfrm>
        <a:prstGeom prst="rect">
          <a:avLst/>
        </a:prstGeom>
      </xdr:spPr>
    </xdr:pic>
    <xdr:clientData/>
  </xdr:twoCellAnchor>
  <xdr:twoCellAnchor editAs="oneCell">
    <xdr:from>
      <xdr:col>9</xdr:col>
      <xdr:colOff>211666</xdr:colOff>
      <xdr:row>63</xdr:row>
      <xdr:rowOff>52916</xdr:rowOff>
    </xdr:from>
    <xdr:to>
      <xdr:col>18</xdr:col>
      <xdr:colOff>412750</xdr:colOff>
      <xdr:row>120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C77F6C-5472-4BC1-B651-F7FC2F21F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6694" t="8746" r="24702" b="3794"/>
        <a:stretch/>
      </xdr:blipFill>
      <xdr:spPr>
        <a:xfrm>
          <a:off x="7069666" y="10254191"/>
          <a:ext cx="7059084" cy="917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63499</xdr:rowOff>
    </xdr:from>
    <xdr:to>
      <xdr:col>9</xdr:col>
      <xdr:colOff>190500</xdr:colOff>
      <xdr:row>176</xdr:row>
      <xdr:rowOff>105834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DD83E4D-8D15-4489-9AE9-10002A7752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6579" t="9363" r="24874" b="3795"/>
        <a:stretch/>
      </xdr:blipFill>
      <xdr:spPr>
        <a:xfrm>
          <a:off x="0" y="19494499"/>
          <a:ext cx="7048500" cy="9110135"/>
        </a:xfrm>
        <a:prstGeom prst="rect">
          <a:avLst/>
        </a:prstGeom>
      </xdr:spPr>
    </xdr:pic>
    <xdr:clientData/>
  </xdr:twoCellAnchor>
  <xdr:twoCellAnchor editAs="oneCell">
    <xdr:from>
      <xdr:col>9</xdr:col>
      <xdr:colOff>201083</xdr:colOff>
      <xdr:row>120</xdr:row>
      <xdr:rowOff>31751</xdr:rowOff>
    </xdr:from>
    <xdr:to>
      <xdr:col>18</xdr:col>
      <xdr:colOff>402167</xdr:colOff>
      <xdr:row>176</xdr:row>
      <xdr:rowOff>42334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0F35455-1BAB-48D7-91AB-D70EB7F852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6521" t="9776" r="24875" b="3692"/>
        <a:stretch/>
      </xdr:blipFill>
      <xdr:spPr>
        <a:xfrm>
          <a:off x="7059083" y="19462751"/>
          <a:ext cx="7059084" cy="90783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126999</xdr:rowOff>
    </xdr:from>
    <xdr:to>
      <xdr:col>9</xdr:col>
      <xdr:colOff>190500</xdr:colOff>
      <xdr:row>232</xdr:row>
      <xdr:rowOff>63499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348B5FB-EDDD-4631-9BD4-F4AF857563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6463" t="10392" r="24990" b="3795"/>
        <a:stretch/>
      </xdr:blipFill>
      <xdr:spPr>
        <a:xfrm>
          <a:off x="0" y="28625799"/>
          <a:ext cx="7048500" cy="9004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4" name="Flecha: hacia abaj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7E95DC-F99A-4FF6-B9FC-9B51E6150346}"/>
            </a:ext>
          </a:extLst>
        </xdr:cNvPr>
        <xdr:cNvSpPr/>
      </xdr:nvSpPr>
      <xdr:spPr bwMode="auto">
        <a:xfrm>
          <a:off x="47624" y="161925"/>
          <a:ext cx="1485901" cy="681037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6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9BC249-4E13-434D-96D5-89898B527C79}"/>
            </a:ext>
          </a:extLst>
        </xdr:cNvPr>
        <xdr:cNvSpPr/>
      </xdr:nvSpPr>
      <xdr:spPr bwMode="auto">
        <a:xfrm>
          <a:off x="1569244" y="185736"/>
          <a:ext cx="1188245" cy="681037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10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750C0B-FEED-4D6D-8DFA-2C15884CF40C}"/>
            </a:ext>
          </a:extLst>
        </xdr:cNvPr>
        <xdr:cNvSpPr/>
      </xdr:nvSpPr>
      <xdr:spPr bwMode="auto">
        <a:xfrm>
          <a:off x="2793206" y="197643"/>
          <a:ext cx="1190626" cy="681037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15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42F2DA-E2FB-44D4-883E-2F7AF061E381}"/>
            </a:ext>
          </a:extLst>
        </xdr:cNvPr>
        <xdr:cNvSpPr/>
      </xdr:nvSpPr>
      <xdr:spPr bwMode="auto">
        <a:xfrm>
          <a:off x="4043362" y="209550"/>
          <a:ext cx="1188244" cy="788194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16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21943A9-6E37-41AD-908D-1274AD966234}"/>
            </a:ext>
          </a:extLst>
        </xdr:cNvPr>
        <xdr:cNvSpPr/>
      </xdr:nvSpPr>
      <xdr:spPr bwMode="auto">
        <a:xfrm rot="10800000">
          <a:off x="37347525" y="371475"/>
          <a:ext cx="416718" cy="292893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17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C881BB3-AA65-4949-A234-DCEA3B21B006}"/>
            </a:ext>
          </a:extLst>
        </xdr:cNvPr>
        <xdr:cNvSpPr/>
      </xdr:nvSpPr>
      <xdr:spPr bwMode="auto">
        <a:xfrm rot="10800000">
          <a:off x="29784675" y="485775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8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1C64BFF-47DD-46DD-9934-77D1663C9BAF}"/>
            </a:ext>
          </a:extLst>
        </xdr:cNvPr>
        <xdr:cNvSpPr/>
      </xdr:nvSpPr>
      <xdr:spPr bwMode="auto">
        <a:xfrm rot="10800000">
          <a:off x="23383875" y="485775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9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368577-F46B-4BC9-9375-2F3D68DED05E}"/>
            </a:ext>
          </a:extLst>
        </xdr:cNvPr>
        <xdr:cNvSpPr/>
      </xdr:nvSpPr>
      <xdr:spPr bwMode="auto">
        <a:xfrm rot="10800000">
          <a:off x="15447169" y="509588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20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749FE5-D22F-4003-8652-742BC897742B}"/>
            </a:ext>
          </a:extLst>
        </xdr:cNvPr>
        <xdr:cNvSpPr/>
      </xdr:nvSpPr>
      <xdr:spPr bwMode="auto">
        <a:xfrm>
          <a:off x="9160669" y="161925"/>
          <a:ext cx="1193008" cy="788194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21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CE9B6D-9A0D-4E32-8D87-52A09B291098}"/>
            </a:ext>
          </a:extLst>
        </xdr:cNvPr>
        <xdr:cNvSpPr/>
      </xdr:nvSpPr>
      <xdr:spPr bwMode="auto">
        <a:xfrm rot="10800000">
          <a:off x="43491150" y="485775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17</xdr:col>
      <xdr:colOff>219075</xdr:colOff>
      <xdr:row>62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712525-F328-8442-4B9C-976DE929D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1125"/>
          <a:ext cx="13420725" cy="881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C1:J52"/>
  <sheetViews>
    <sheetView showGridLines="0" topLeftCell="A43" zoomScale="90" zoomScaleNormal="90" workbookViewId="0">
      <selection activeCell="Y26" sqref="Y26"/>
    </sheetView>
  </sheetViews>
  <sheetFormatPr baseColWidth="10" defaultColWidth="11.42578125" defaultRowHeight="12.75" x14ac:dyDescent="0.2"/>
  <cols>
    <col min="1" max="16384" width="11.42578125" style="533"/>
  </cols>
  <sheetData>
    <row r="1" spans="3:10" x14ac:dyDescent="0.2">
      <c r="J1" s="534"/>
    </row>
    <row r="2" spans="3:10" x14ac:dyDescent="0.2">
      <c r="J2" s="534" t="s">
        <v>262</v>
      </c>
    </row>
    <row r="3" spans="3:10" x14ac:dyDescent="0.2">
      <c r="J3" s="534"/>
    </row>
    <row r="5" spans="3:10" x14ac:dyDescent="0.2">
      <c r="C5" s="535"/>
      <c r="D5" s="535"/>
      <c r="E5" s="535"/>
      <c r="F5" s="535"/>
      <c r="G5" s="535"/>
      <c r="H5" s="535"/>
      <c r="I5" s="535"/>
      <c r="J5" s="535"/>
    </row>
    <row r="6" spans="3:10" x14ac:dyDescent="0.2">
      <c r="C6" s="535"/>
      <c r="D6" s="535"/>
      <c r="E6" s="535"/>
      <c r="F6" s="535"/>
      <c r="G6" s="535"/>
      <c r="H6" s="535"/>
      <c r="I6" s="535"/>
      <c r="J6" s="535"/>
    </row>
    <row r="7" spans="3:10" x14ac:dyDescent="0.2">
      <c r="C7" s="535"/>
      <c r="D7" s="535"/>
      <c r="E7" s="535"/>
      <c r="F7" s="535"/>
      <c r="G7" s="535"/>
      <c r="H7" s="535"/>
      <c r="I7" s="535"/>
      <c r="J7" s="535"/>
    </row>
    <row r="8" spans="3:10" x14ac:dyDescent="0.2">
      <c r="C8" s="535"/>
      <c r="D8" s="535"/>
      <c r="E8" s="535"/>
      <c r="F8" s="535"/>
      <c r="G8" s="535"/>
      <c r="H8" s="535"/>
      <c r="I8" s="535"/>
      <c r="J8" s="535"/>
    </row>
    <row r="9" spans="3:10" x14ac:dyDescent="0.2">
      <c r="C9" s="535"/>
      <c r="D9" s="535"/>
      <c r="E9" s="535"/>
      <c r="F9" s="535"/>
      <c r="G9" s="535"/>
      <c r="H9" s="535"/>
      <c r="I9" s="535"/>
      <c r="J9" s="535"/>
    </row>
    <row r="10" spans="3:10" x14ac:dyDescent="0.2">
      <c r="C10" s="535"/>
      <c r="D10" s="535"/>
      <c r="E10" s="535"/>
      <c r="F10" s="535"/>
      <c r="G10" s="535"/>
      <c r="H10" s="535"/>
      <c r="I10" s="535"/>
      <c r="J10" s="535"/>
    </row>
    <row r="11" spans="3:10" x14ac:dyDescent="0.2">
      <c r="C11" s="535"/>
      <c r="D11" s="535"/>
      <c r="E11" s="535"/>
      <c r="F11" s="535"/>
      <c r="G11" s="535"/>
      <c r="H11" s="535"/>
      <c r="I11" s="535"/>
      <c r="J11" s="535"/>
    </row>
    <row r="12" spans="3:10" x14ac:dyDescent="0.2">
      <c r="C12" s="535"/>
      <c r="D12" s="535"/>
      <c r="E12" s="535"/>
      <c r="F12" s="535"/>
      <c r="G12" s="535"/>
      <c r="H12" s="535"/>
      <c r="I12" s="535"/>
      <c r="J12" s="535"/>
    </row>
    <row r="13" spans="3:10" x14ac:dyDescent="0.2">
      <c r="C13" s="535"/>
      <c r="D13" s="535"/>
      <c r="E13" s="535"/>
      <c r="F13" s="535"/>
      <c r="G13" s="535"/>
      <c r="H13" s="535"/>
      <c r="I13" s="535"/>
      <c r="J13" s="535"/>
    </row>
    <row r="14" spans="3:10" x14ac:dyDescent="0.2">
      <c r="C14" s="535"/>
      <c r="D14" s="535"/>
      <c r="E14" s="535"/>
      <c r="F14" s="535"/>
      <c r="G14" s="535"/>
      <c r="H14" s="535"/>
      <c r="I14" s="535"/>
      <c r="J14" s="535"/>
    </row>
    <row r="15" spans="3:10" x14ac:dyDescent="0.2">
      <c r="C15" s="535"/>
      <c r="D15" s="535"/>
      <c r="E15" s="535"/>
      <c r="F15" s="535"/>
      <c r="G15" s="535"/>
      <c r="H15" s="535"/>
      <c r="I15" s="535"/>
      <c r="J15" s="535"/>
    </row>
    <row r="16" spans="3:10" x14ac:dyDescent="0.2">
      <c r="C16" s="535"/>
      <c r="D16" s="535"/>
      <c r="E16" s="535"/>
      <c r="F16" s="535"/>
      <c r="G16" s="535"/>
      <c r="H16" s="535"/>
      <c r="I16" s="535"/>
      <c r="J16" s="535"/>
    </row>
    <row r="17" spans="3:10" x14ac:dyDescent="0.2">
      <c r="C17" s="535"/>
      <c r="D17" s="535"/>
      <c r="E17" s="535"/>
      <c r="F17" s="535"/>
      <c r="G17" s="535"/>
      <c r="H17" s="535"/>
      <c r="I17" s="535"/>
      <c r="J17" s="535"/>
    </row>
    <row r="18" spans="3:10" x14ac:dyDescent="0.2">
      <c r="C18" s="535"/>
      <c r="D18" s="535"/>
      <c r="E18" s="535"/>
      <c r="F18" s="535"/>
      <c r="G18" s="535"/>
      <c r="H18" s="535"/>
      <c r="I18" s="535"/>
      <c r="J18" s="535"/>
    </row>
    <row r="19" spans="3:10" x14ac:dyDescent="0.2">
      <c r="C19" s="535"/>
      <c r="D19" s="535"/>
      <c r="E19" s="535"/>
      <c r="F19" s="535"/>
      <c r="G19" s="535"/>
      <c r="H19" s="535"/>
      <c r="I19" s="535"/>
      <c r="J19" s="535"/>
    </row>
    <row r="20" spans="3:10" x14ac:dyDescent="0.2">
      <c r="C20" s="535"/>
      <c r="D20" s="535"/>
      <c r="E20" s="535"/>
      <c r="F20" s="535"/>
      <c r="G20" s="535"/>
      <c r="H20" s="535"/>
      <c r="I20" s="535"/>
      <c r="J20" s="535"/>
    </row>
    <row r="21" spans="3:10" x14ac:dyDescent="0.2">
      <c r="C21" s="535"/>
      <c r="D21" s="535"/>
      <c r="E21" s="535"/>
      <c r="F21" s="535"/>
      <c r="G21" s="535"/>
      <c r="H21" s="535"/>
      <c r="I21" s="535"/>
      <c r="J21" s="535"/>
    </row>
    <row r="22" spans="3:10" x14ac:dyDescent="0.2">
      <c r="C22" s="535"/>
      <c r="D22" s="535"/>
      <c r="E22" s="535"/>
      <c r="F22" s="535"/>
      <c r="G22" s="535"/>
      <c r="H22" s="535"/>
      <c r="I22" s="535"/>
      <c r="J22" s="535"/>
    </row>
    <row r="23" spans="3:10" x14ac:dyDescent="0.2">
      <c r="C23" s="535"/>
      <c r="D23" s="535"/>
      <c r="E23" s="535"/>
      <c r="F23" s="535"/>
      <c r="G23" s="535"/>
      <c r="H23" s="535"/>
      <c r="I23" s="535"/>
      <c r="J23" s="535"/>
    </row>
    <row r="24" spans="3:10" x14ac:dyDescent="0.2">
      <c r="C24" s="535"/>
      <c r="D24" s="535"/>
      <c r="E24" s="535"/>
      <c r="F24" s="535"/>
      <c r="G24" s="535"/>
      <c r="H24" s="535"/>
      <c r="I24" s="535"/>
      <c r="J24" s="535"/>
    </row>
    <row r="25" spans="3:10" x14ac:dyDescent="0.2">
      <c r="C25" s="535"/>
      <c r="D25" s="535"/>
      <c r="E25" s="535"/>
      <c r="F25" s="535"/>
      <c r="G25" s="535"/>
      <c r="H25" s="535"/>
      <c r="I25" s="535"/>
      <c r="J25" s="535"/>
    </row>
    <row r="26" spans="3:10" x14ac:dyDescent="0.2">
      <c r="C26" s="535"/>
      <c r="D26" s="535"/>
      <c r="E26" s="535"/>
      <c r="F26" s="535"/>
      <c r="G26" s="535"/>
      <c r="H26" s="535"/>
      <c r="I26" s="535"/>
      <c r="J26" s="535"/>
    </row>
    <row r="27" spans="3:10" x14ac:dyDescent="0.2">
      <c r="C27" s="535"/>
      <c r="D27" s="535"/>
      <c r="E27" s="535"/>
      <c r="F27" s="535"/>
      <c r="G27" s="535"/>
      <c r="H27" s="535"/>
      <c r="I27" s="535"/>
      <c r="J27" s="535"/>
    </row>
    <row r="28" spans="3:10" x14ac:dyDescent="0.2">
      <c r="C28" s="535"/>
      <c r="D28" s="535"/>
      <c r="E28" s="535"/>
      <c r="F28" s="535"/>
      <c r="G28" s="535"/>
      <c r="H28" s="535"/>
      <c r="I28" s="535"/>
      <c r="J28" s="535"/>
    </row>
    <row r="29" spans="3:10" x14ac:dyDescent="0.2">
      <c r="C29" s="535"/>
      <c r="D29" s="535"/>
      <c r="E29" s="535"/>
      <c r="F29" s="535"/>
      <c r="G29" s="535"/>
      <c r="H29" s="535"/>
      <c r="I29" s="535"/>
      <c r="J29" s="535"/>
    </row>
    <row r="30" spans="3:10" x14ac:dyDescent="0.2">
      <c r="C30" s="535"/>
      <c r="D30" s="535"/>
      <c r="E30" s="535"/>
      <c r="F30" s="535"/>
      <c r="G30" s="535"/>
      <c r="H30" s="535"/>
      <c r="I30" s="535"/>
      <c r="J30" s="535"/>
    </row>
    <row r="31" spans="3:10" x14ac:dyDescent="0.2">
      <c r="C31" s="535"/>
      <c r="D31" s="535"/>
      <c r="E31" s="535"/>
      <c r="F31" s="535"/>
      <c r="G31" s="535"/>
      <c r="H31" s="535"/>
      <c r="I31" s="535"/>
      <c r="J31" s="535"/>
    </row>
    <row r="32" spans="3:10" x14ac:dyDescent="0.2">
      <c r="C32" s="535"/>
      <c r="D32" s="535"/>
      <c r="E32" s="535"/>
      <c r="F32" s="535"/>
      <c r="G32" s="535"/>
      <c r="H32" s="535"/>
      <c r="I32" s="535"/>
      <c r="J32" s="535"/>
    </row>
    <row r="33" spans="3:10" x14ac:dyDescent="0.2">
      <c r="C33" s="535"/>
      <c r="D33" s="535"/>
      <c r="E33" s="535"/>
      <c r="F33" s="535"/>
      <c r="G33" s="535"/>
      <c r="H33" s="535"/>
      <c r="I33" s="535"/>
      <c r="J33" s="535"/>
    </row>
    <row r="34" spans="3:10" x14ac:dyDescent="0.2">
      <c r="C34" s="535"/>
      <c r="D34" s="535"/>
      <c r="E34" s="535"/>
      <c r="F34" s="535"/>
      <c r="G34" s="535"/>
      <c r="H34" s="535"/>
      <c r="I34" s="535"/>
      <c r="J34" s="535"/>
    </row>
    <row r="35" spans="3:10" x14ac:dyDescent="0.2">
      <c r="C35" s="535"/>
      <c r="D35" s="535"/>
      <c r="E35" s="535"/>
      <c r="F35" s="535"/>
      <c r="G35" s="535"/>
      <c r="H35" s="535"/>
      <c r="I35" s="535"/>
      <c r="J35" s="535"/>
    </row>
    <row r="36" spans="3:10" x14ac:dyDescent="0.2">
      <c r="C36" s="535"/>
      <c r="D36" s="535"/>
      <c r="E36" s="535"/>
      <c r="F36" s="535"/>
      <c r="G36" s="535"/>
      <c r="H36" s="535"/>
      <c r="I36" s="535"/>
      <c r="J36" s="535"/>
    </row>
    <row r="37" spans="3:10" x14ac:dyDescent="0.2">
      <c r="C37" s="535"/>
      <c r="D37" s="535"/>
      <c r="E37" s="535"/>
      <c r="F37" s="535"/>
      <c r="G37" s="535"/>
      <c r="H37" s="535"/>
      <c r="I37" s="535"/>
      <c r="J37" s="535"/>
    </row>
    <row r="38" spans="3:10" x14ac:dyDescent="0.2">
      <c r="C38" s="535"/>
      <c r="D38" s="535"/>
      <c r="E38" s="535"/>
      <c r="F38" s="535"/>
      <c r="G38" s="535"/>
      <c r="H38" s="535"/>
      <c r="I38" s="535"/>
      <c r="J38" s="535"/>
    </row>
    <row r="39" spans="3:10" x14ac:dyDescent="0.2">
      <c r="C39" s="535"/>
      <c r="D39" s="535"/>
      <c r="E39" s="535"/>
      <c r="F39" s="535"/>
      <c r="G39" s="535"/>
      <c r="H39" s="535"/>
      <c r="I39" s="535"/>
      <c r="J39" s="535"/>
    </row>
    <row r="40" spans="3:10" x14ac:dyDescent="0.2">
      <c r="C40" s="535"/>
      <c r="D40" s="535"/>
      <c r="E40" s="535"/>
      <c r="F40" s="535"/>
      <c r="G40" s="535"/>
      <c r="H40" s="535"/>
      <c r="I40" s="535"/>
      <c r="J40" s="535"/>
    </row>
    <row r="41" spans="3:10" x14ac:dyDescent="0.2">
      <c r="C41" s="535"/>
      <c r="D41" s="535"/>
      <c r="E41" s="535"/>
      <c r="F41" s="535"/>
      <c r="G41" s="535"/>
      <c r="H41" s="535"/>
      <c r="I41" s="535"/>
      <c r="J41" s="535"/>
    </row>
    <row r="42" spans="3:10" x14ac:dyDescent="0.2">
      <c r="C42" s="535"/>
      <c r="D42" s="535"/>
      <c r="E42" s="535"/>
      <c r="F42" s="535"/>
      <c r="G42" s="535"/>
      <c r="H42" s="535"/>
      <c r="I42" s="535"/>
      <c r="J42" s="535"/>
    </row>
    <row r="43" spans="3:10" x14ac:dyDescent="0.2">
      <c r="C43" s="535"/>
      <c r="D43" s="535"/>
      <c r="E43" s="535"/>
      <c r="F43" s="535"/>
      <c r="G43" s="535"/>
      <c r="H43" s="535"/>
      <c r="I43" s="535"/>
      <c r="J43" s="535"/>
    </row>
    <row r="44" spans="3:10" x14ac:dyDescent="0.2">
      <c r="C44" s="535"/>
      <c r="D44" s="535"/>
      <c r="E44" s="535"/>
      <c r="F44" s="535"/>
      <c r="G44" s="535"/>
      <c r="H44" s="535"/>
      <c r="I44" s="535"/>
      <c r="J44" s="535"/>
    </row>
    <row r="45" spans="3:10" x14ac:dyDescent="0.2">
      <c r="C45" s="535"/>
      <c r="D45" s="535"/>
      <c r="E45" s="535"/>
      <c r="F45" s="535"/>
      <c r="G45" s="535"/>
      <c r="H45" s="535"/>
      <c r="I45" s="535"/>
      <c r="J45" s="535"/>
    </row>
    <row r="46" spans="3:10" x14ac:dyDescent="0.2">
      <c r="C46" s="535"/>
      <c r="D46" s="535"/>
      <c r="E46" s="535"/>
      <c r="F46" s="535"/>
      <c r="G46" s="535"/>
      <c r="H46" s="535"/>
      <c r="I46" s="535"/>
      <c r="J46" s="535"/>
    </row>
    <row r="47" spans="3:10" x14ac:dyDescent="0.2">
      <c r="C47" s="535"/>
      <c r="D47" s="535"/>
      <c r="E47" s="535"/>
      <c r="F47" s="535"/>
      <c r="G47" s="535"/>
      <c r="H47" s="535"/>
      <c r="I47" s="535"/>
      <c r="J47" s="535"/>
    </row>
    <row r="48" spans="3:10" x14ac:dyDescent="0.2">
      <c r="C48" s="535"/>
      <c r="D48" s="535"/>
      <c r="E48" s="535"/>
      <c r="F48" s="535"/>
      <c r="G48" s="535"/>
      <c r="H48" s="535"/>
      <c r="I48" s="535"/>
      <c r="J48" s="535"/>
    </row>
    <row r="49" spans="3:10" x14ac:dyDescent="0.2">
      <c r="C49" s="535"/>
      <c r="D49" s="535"/>
      <c r="E49" s="535"/>
      <c r="F49" s="535"/>
      <c r="G49" s="535"/>
      <c r="H49" s="535"/>
      <c r="I49" s="535"/>
      <c r="J49" s="535"/>
    </row>
    <row r="50" spans="3:10" x14ac:dyDescent="0.2">
      <c r="C50" s="535"/>
      <c r="D50" s="535"/>
      <c r="E50" s="535"/>
      <c r="F50" s="535"/>
      <c r="G50" s="535"/>
      <c r="H50" s="535"/>
      <c r="I50" s="535"/>
      <c r="J50" s="535"/>
    </row>
    <row r="51" spans="3:10" x14ac:dyDescent="0.2">
      <c r="C51" s="535"/>
      <c r="D51" s="535"/>
      <c r="E51" s="535"/>
      <c r="F51" s="535"/>
      <c r="G51" s="535"/>
      <c r="H51" s="535"/>
      <c r="I51" s="535"/>
      <c r="J51" s="535"/>
    </row>
    <row r="52" spans="3:10" x14ac:dyDescent="0.2">
      <c r="C52" s="535"/>
      <c r="D52" s="535"/>
      <c r="E52" s="535"/>
      <c r="F52" s="535"/>
      <c r="G52" s="535"/>
      <c r="H52" s="535"/>
      <c r="I52" s="535"/>
      <c r="J52" s="535"/>
    </row>
  </sheetData>
  <sheetProtection algorithmName="SHA-512" hashValue="30ud0gYYBINfRSdnOkMVCLSaKSDSjwVyW1IAvl9KaBu8GGORLWxtAO7qi05xCT3IeSCLh8Fq8xAn03uCd2p9ug==" saltValue="xdjO6oixZPjYaJtRcQuO+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66"/>
  <sheetViews>
    <sheetView showGridLines="0" topLeftCell="A22" zoomScale="80" zoomScaleNormal="80" workbookViewId="0">
      <selection activeCell="B67" sqref="B67"/>
    </sheetView>
  </sheetViews>
  <sheetFormatPr baseColWidth="10" defaultColWidth="11.42578125" defaultRowHeight="12.75" x14ac:dyDescent="0.2"/>
  <cols>
    <col min="1" max="9" width="11.42578125" style="46"/>
    <col min="10" max="11" width="13.28515625" style="46" customWidth="1"/>
    <col min="12" max="16384" width="11.42578125" style="46"/>
  </cols>
  <sheetData>
    <row r="1" spans="1:16" x14ac:dyDescent="0.2">
      <c r="J1" s="92"/>
      <c r="K1" s="95"/>
    </row>
    <row r="2" spans="1:16" x14ac:dyDescent="0.2">
      <c r="J2" s="92" t="s">
        <v>200</v>
      </c>
      <c r="K2" s="95"/>
    </row>
    <row r="4" spans="1:16" ht="19.5" customHeight="1" x14ac:dyDescent="0.2">
      <c r="I4" s="93" t="s">
        <v>0</v>
      </c>
      <c r="J4" s="913" t="str">
        <f>+'B) Reajuste Tarifas y Ocupación'!F5</f>
        <v>(DEPTO./DELEG.)</v>
      </c>
      <c r="K4" s="914"/>
    </row>
    <row r="6" spans="1:16" ht="12.75" customHeight="1" x14ac:dyDescent="0.2">
      <c r="A6" s="94" t="s">
        <v>121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x14ac:dyDescent="0.2">
      <c r="A9" s="47"/>
      <c r="B9" s="47"/>
      <c r="C9" s="47"/>
      <c r="D9" s="47"/>
      <c r="E9" s="47"/>
      <c r="F9" s="47"/>
      <c r="G9" s="47"/>
      <c r="H9" s="47"/>
      <c r="I9" s="47"/>
    </row>
    <row r="66" spans="1:2" x14ac:dyDescent="0.2">
      <c r="A66" s="46" t="s">
        <v>314</v>
      </c>
      <c r="B66" s="46" t="s">
        <v>315</v>
      </c>
    </row>
  </sheetData>
  <mergeCells count="1">
    <mergeCell ref="J4:K4"/>
  </mergeCells>
  <pageMargins left="0.7" right="0.7" top="0.75" bottom="0.75" header="0.3" footer="0.3"/>
  <ignoredErrors>
    <ignoredError sqref="J4" unlockedFormula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A2:O25"/>
  <sheetViews>
    <sheetView topLeftCell="A4" zoomScale="90" zoomScaleNormal="90" workbookViewId="0">
      <selection activeCell="G27" sqref="G27"/>
    </sheetView>
  </sheetViews>
  <sheetFormatPr baseColWidth="10" defaultColWidth="11.42578125" defaultRowHeight="15" x14ac:dyDescent="0.25"/>
  <cols>
    <col min="1" max="1" width="38.140625" style="361" bestFit="1" customWidth="1"/>
    <col min="2" max="2" width="14.85546875" style="361" bestFit="1" customWidth="1"/>
    <col min="3" max="13" width="13.85546875" style="361" bestFit="1" customWidth="1"/>
    <col min="14" max="14" width="14.85546875" style="361" bestFit="1" customWidth="1"/>
    <col min="15" max="15" width="13.85546875" style="361" bestFit="1" customWidth="1"/>
    <col min="16" max="16384" width="11.42578125" style="361"/>
  </cols>
  <sheetData>
    <row r="2" spans="1:15" ht="15.75" x14ac:dyDescent="0.25">
      <c r="A2" s="763" t="s">
        <v>252</v>
      </c>
      <c r="B2" s="763"/>
      <c r="C2" s="763"/>
      <c r="D2" s="763"/>
    </row>
    <row r="4" spans="1:15" x14ac:dyDescent="0.25">
      <c r="A4" s="362" t="s">
        <v>258</v>
      </c>
      <c r="B4" s="363" t="s">
        <v>235</v>
      </c>
      <c r="C4" s="363" t="s">
        <v>236</v>
      </c>
      <c r="D4" s="363" t="s">
        <v>237</v>
      </c>
      <c r="E4" s="363" t="s">
        <v>238</v>
      </c>
      <c r="F4" s="363" t="s">
        <v>239</v>
      </c>
      <c r="G4" s="363" t="s">
        <v>240</v>
      </c>
      <c r="H4" s="363" t="s">
        <v>241</v>
      </c>
      <c r="I4" s="363" t="s">
        <v>242</v>
      </c>
      <c r="J4" s="363" t="s">
        <v>243</v>
      </c>
      <c r="K4" s="363" t="s">
        <v>244</v>
      </c>
      <c r="L4" s="363" t="s">
        <v>245</v>
      </c>
      <c r="M4" s="363" t="s">
        <v>246</v>
      </c>
    </row>
    <row r="5" spans="1:15" x14ac:dyDescent="0.25">
      <c r="A5" s="364" t="s">
        <v>253</v>
      </c>
      <c r="B5" s="365"/>
      <c r="C5" s="365"/>
      <c r="D5" s="365">
        <f>+'B) Reajuste Tarifas y Ocupación'!$I$25</f>
        <v>70</v>
      </c>
      <c r="E5" s="365">
        <f>+'B) Reajuste Tarifas y Ocupación'!$I$25</f>
        <v>70</v>
      </c>
      <c r="F5" s="365">
        <f>+'B) Reajuste Tarifas y Ocupación'!$I$25</f>
        <v>70</v>
      </c>
      <c r="G5" s="365">
        <f>+'B) Reajuste Tarifas y Ocupación'!$I$25</f>
        <v>70</v>
      </c>
      <c r="H5" s="365">
        <f>+'B) Reajuste Tarifas y Ocupación'!$I$25</f>
        <v>70</v>
      </c>
      <c r="I5" s="365">
        <f>+'B) Reajuste Tarifas y Ocupación'!$I$25</f>
        <v>70</v>
      </c>
      <c r="J5" s="365">
        <f>+'B) Reajuste Tarifas y Ocupación'!$I$25</f>
        <v>70</v>
      </c>
      <c r="K5" s="365">
        <f>+'B) Reajuste Tarifas y Ocupación'!$I$25</f>
        <v>70</v>
      </c>
      <c r="L5" s="365">
        <f>+'B) Reajuste Tarifas y Ocupación'!$I$25</f>
        <v>70</v>
      </c>
      <c r="M5" s="365">
        <f>+'B) Reajuste Tarifas y Ocupación'!$I$25</f>
        <v>70</v>
      </c>
    </row>
    <row r="6" spans="1:15" x14ac:dyDescent="0.25">
      <c r="A6" s="364" t="s">
        <v>254</v>
      </c>
      <c r="B6" s="365">
        <f>+COUNTA('F) Remuneraciones'!$C$11:$C$22)</f>
        <v>7</v>
      </c>
      <c r="C6" s="365">
        <f>+COUNTA('F) Remuneraciones'!$C$11:$C$22)</f>
        <v>7</v>
      </c>
      <c r="D6" s="365">
        <f>+COUNTA('F) Remuneraciones'!$C$11:$C$22)</f>
        <v>7</v>
      </c>
      <c r="E6" s="365">
        <f>+COUNTA('F) Remuneraciones'!$C$11:$C$22)</f>
        <v>7</v>
      </c>
      <c r="F6" s="365">
        <f>+COUNTA('F) Remuneraciones'!$C$11:$C$22)</f>
        <v>7</v>
      </c>
      <c r="G6" s="365">
        <f>+COUNTA('F) Remuneraciones'!$C$11:$C$22)</f>
        <v>7</v>
      </c>
      <c r="H6" s="365">
        <f>+COUNTA('F) Remuneraciones'!$C$11:$C$22)</f>
        <v>7</v>
      </c>
      <c r="I6" s="365">
        <f>+COUNTA('F) Remuneraciones'!$C$11:$C$22)</f>
        <v>7</v>
      </c>
      <c r="J6" s="365">
        <f>+COUNTA('F) Remuneraciones'!$C$11:$C$22)</f>
        <v>7</v>
      </c>
      <c r="K6" s="365">
        <f>+COUNTA('F) Remuneraciones'!$C$11:$C$22)</f>
        <v>7</v>
      </c>
      <c r="L6" s="365">
        <f>+COUNTA('F) Remuneraciones'!$C$11:$C$22)</f>
        <v>7</v>
      </c>
      <c r="M6" s="365">
        <f>+COUNTA('F) Remuneraciones'!$C$11:$C$22)</f>
        <v>7</v>
      </c>
    </row>
    <row r="7" spans="1:15" x14ac:dyDescent="0.25">
      <c r="A7" s="364"/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</row>
    <row r="8" spans="1:15" ht="30" x14ac:dyDescent="0.25">
      <c r="A8" s="367" t="str">
        <f>+'A) Resumen Ingresos y Egresos'!A21</f>
        <v>Jardín Infantil Pequeños Héroes</v>
      </c>
      <c r="B8" s="363" t="s">
        <v>235</v>
      </c>
      <c r="C8" s="363" t="s">
        <v>236</v>
      </c>
      <c r="D8" s="363" t="s">
        <v>237</v>
      </c>
      <c r="E8" s="363" t="s">
        <v>238</v>
      </c>
      <c r="F8" s="363" t="s">
        <v>239</v>
      </c>
      <c r="G8" s="363" t="s">
        <v>240</v>
      </c>
      <c r="H8" s="363" t="s">
        <v>241</v>
      </c>
      <c r="I8" s="363" t="s">
        <v>242</v>
      </c>
      <c r="J8" s="363" t="s">
        <v>243</v>
      </c>
      <c r="K8" s="363" t="s">
        <v>244</v>
      </c>
      <c r="L8" s="363" t="s">
        <v>245</v>
      </c>
      <c r="M8" s="363" t="s">
        <v>246</v>
      </c>
      <c r="N8" s="363" t="s">
        <v>255</v>
      </c>
    </row>
    <row r="9" spans="1:15" x14ac:dyDescent="0.25">
      <c r="A9" s="368" t="s">
        <v>247</v>
      </c>
      <c r="B9" s="369">
        <f>+'A) Resumen Ingresos y Egresos'!P30</f>
        <v>3234000</v>
      </c>
      <c r="C9" s="369">
        <f>+'A) Resumen Ingresos y Egresos'!N30*0.7</f>
        <v>8906870</v>
      </c>
      <c r="D9" s="369">
        <f>+'A) Resumen Ingresos y Egresos'!N30*0.3+'A) Resumen Ingresos y Egresos'!O30*0.1</f>
        <v>16541330</v>
      </c>
      <c r="E9" s="369">
        <f>+'A) Resumen Ingresos y Egresos'!$O$30*0.1</f>
        <v>12724100</v>
      </c>
      <c r="F9" s="369">
        <f>+'A) Resumen Ingresos y Egresos'!$O$30*0.1</f>
        <v>12724100</v>
      </c>
      <c r="G9" s="369">
        <f>+'A) Resumen Ingresos y Egresos'!$O$30*0.1</f>
        <v>12724100</v>
      </c>
      <c r="H9" s="369">
        <f>+'A) Resumen Ingresos y Egresos'!$O$30*0.1</f>
        <v>12724100</v>
      </c>
      <c r="I9" s="369">
        <f>+'A) Resumen Ingresos y Egresos'!$O$30*0.1</f>
        <v>12724100</v>
      </c>
      <c r="J9" s="369">
        <f>+'A) Resumen Ingresos y Egresos'!$O$30*0.1</f>
        <v>12724100</v>
      </c>
      <c r="K9" s="369">
        <f>+'A) Resumen Ingresos y Egresos'!$O$30*0.1</f>
        <v>12724100</v>
      </c>
      <c r="L9" s="369">
        <f>+'A) Resumen Ingresos y Egresos'!$O$30*0.1</f>
        <v>12724100</v>
      </c>
      <c r="M9" s="369">
        <f>+'A) Resumen Ingresos y Egresos'!$O$30*0.1</f>
        <v>12724100</v>
      </c>
      <c r="N9" s="370">
        <f>SUM(B9:M9)</f>
        <v>143199100</v>
      </c>
    </row>
    <row r="10" spans="1:15" x14ac:dyDescent="0.25">
      <c r="A10" s="368" t="s">
        <v>248</v>
      </c>
      <c r="B10" s="369">
        <f>SUM('F) Remuneraciones'!$H$11:$H$22)/12</f>
        <v>4068163.5975000001</v>
      </c>
      <c r="C10" s="369">
        <f>SUM('F) Remuneraciones'!$H$11:$H$22)/12</f>
        <v>4068163.5975000001</v>
      </c>
      <c r="D10" s="369">
        <f>SUM('F) Remuneraciones'!$H$11:$H$22)/12</f>
        <v>4068163.5975000001</v>
      </c>
      <c r="E10" s="369">
        <f>SUM('F) Remuneraciones'!$H$11:$H$22)/12</f>
        <v>4068163.5975000001</v>
      </c>
      <c r="F10" s="369">
        <f>SUM('F) Remuneraciones'!$H$11:$H$22)/12</f>
        <v>4068163.5975000001</v>
      </c>
      <c r="G10" s="369">
        <f>SUM('F) Remuneraciones'!$H$11:$H$22)/12</f>
        <v>4068163.5975000001</v>
      </c>
      <c r="H10" s="369">
        <f>SUM('F) Remuneraciones'!$H$11:$H$22)/12</f>
        <v>4068163.5975000001</v>
      </c>
      <c r="I10" s="369">
        <f>SUM('F) Remuneraciones'!$H$11:$H$22)/12</f>
        <v>4068163.5975000001</v>
      </c>
      <c r="J10" s="369">
        <f>SUM('F) Remuneraciones'!$H$11:$H$22)/12</f>
        <v>4068163.5975000001</v>
      </c>
      <c r="K10" s="369">
        <f>SUM('F) Remuneraciones'!$H$11:$H$22)/12</f>
        <v>4068163.5975000001</v>
      </c>
      <c r="L10" s="369">
        <f>SUM('F) Remuneraciones'!$H$11:$H$22)/12</f>
        <v>4068163.5975000001</v>
      </c>
      <c r="M10" s="369">
        <f>SUM('F) Remuneraciones'!$H$11:$H$22)/12</f>
        <v>4068163.5975000001</v>
      </c>
      <c r="N10" s="370">
        <f t="shared" ref="N10:N12" si="0">SUM(B10:M10)</f>
        <v>48817963.169999987</v>
      </c>
    </row>
    <row r="11" spans="1:15" x14ac:dyDescent="0.25">
      <c r="A11" s="368" t="s">
        <v>249</v>
      </c>
      <c r="B11" s="369">
        <f>SUM('F) Remuneraciones'!I11:I22)*0.5</f>
        <v>413175</v>
      </c>
      <c r="C11" s="369">
        <v>0</v>
      </c>
      <c r="D11" s="369">
        <v>0</v>
      </c>
      <c r="E11" s="369">
        <v>0</v>
      </c>
      <c r="F11" s="369">
        <v>0</v>
      </c>
      <c r="G11" s="369">
        <v>0</v>
      </c>
      <c r="H11" s="369">
        <v>0</v>
      </c>
      <c r="I11" s="369">
        <v>0</v>
      </c>
      <c r="J11" s="369">
        <f>SUM('F) Remuneraciones'!J11:J22*0.5)</f>
        <v>79703</v>
      </c>
      <c r="K11" s="369">
        <v>0</v>
      </c>
      <c r="L11" s="369">
        <v>0</v>
      </c>
      <c r="M11" s="369">
        <f>+B11+J11</f>
        <v>492878</v>
      </c>
      <c r="N11" s="370">
        <f t="shared" si="0"/>
        <v>985756</v>
      </c>
    </row>
    <row r="12" spans="1:15" x14ac:dyDescent="0.25">
      <c r="A12" s="368" t="s">
        <v>250</v>
      </c>
      <c r="B12" s="369">
        <f>(+'C) Costos Directos'!$H$75-'C) Costos Directos'!$D$14)*0.05</f>
        <v>2414268.1699999995</v>
      </c>
      <c r="C12" s="369">
        <f>(+'C) Costos Directos'!$H$75-'C) Costos Directos'!$D$14)*0.05</f>
        <v>2414268.1699999995</v>
      </c>
      <c r="D12" s="369">
        <f>(+'C) Costos Directos'!$H$75-'C) Costos Directos'!$D$14)*0.09</f>
        <v>4345682.7059999993</v>
      </c>
      <c r="E12" s="369">
        <f>(+'C) Costos Directos'!$H$75-'C) Costos Directos'!$D$14)*0.09</f>
        <v>4345682.7059999993</v>
      </c>
      <c r="F12" s="369">
        <f>(+'C) Costos Directos'!$H$75-'C) Costos Directos'!$D$14)*0.09</f>
        <v>4345682.7059999993</v>
      </c>
      <c r="G12" s="369">
        <f>(+'C) Costos Directos'!$H$75-'C) Costos Directos'!$D$14)*0.09</f>
        <v>4345682.7059999993</v>
      </c>
      <c r="H12" s="369">
        <f>(+'C) Costos Directos'!$H$75-'C) Costos Directos'!$D$14)*0.09</f>
        <v>4345682.7059999993</v>
      </c>
      <c r="I12" s="369">
        <f>(+'C) Costos Directos'!$H$75-'C) Costos Directos'!$D$14)*0.09</f>
        <v>4345682.7059999993</v>
      </c>
      <c r="J12" s="369">
        <f>(+'C) Costos Directos'!$H$75-'C) Costos Directos'!$D$14)*0.09</f>
        <v>4345682.7059999993</v>
      </c>
      <c r="K12" s="369">
        <f>(+'C) Costos Directos'!$H$75-'C) Costos Directos'!$D$14)*0.09</f>
        <v>4345682.7059999993</v>
      </c>
      <c r="L12" s="369">
        <f>(+'C) Costos Directos'!$H$75-'C) Costos Directos'!$D$14)*0.09</f>
        <v>4345682.7059999993</v>
      </c>
      <c r="M12" s="369">
        <f>(+'C) Costos Directos'!$H$75-'C) Costos Directos'!$D$14)*0.09</f>
        <v>4345682.7059999993</v>
      </c>
      <c r="N12" s="370">
        <f t="shared" si="0"/>
        <v>48285363.399999999</v>
      </c>
      <c r="O12" s="369"/>
    </row>
    <row r="13" spans="1:15" x14ac:dyDescent="0.25">
      <c r="A13" s="371" t="s">
        <v>256</v>
      </c>
      <c r="B13" s="372">
        <f t="shared" ref="B13:M13" si="1">+B9-B10-B11-B12</f>
        <v>-3661606.7674999996</v>
      </c>
      <c r="C13" s="372">
        <f t="shared" si="1"/>
        <v>2424438.2325000004</v>
      </c>
      <c r="D13" s="372">
        <f t="shared" si="1"/>
        <v>8127483.6965000005</v>
      </c>
      <c r="E13" s="372">
        <f t="shared" si="1"/>
        <v>4310253.6965000005</v>
      </c>
      <c r="F13" s="372">
        <f t="shared" si="1"/>
        <v>4310253.6965000005</v>
      </c>
      <c r="G13" s="372">
        <f t="shared" si="1"/>
        <v>4310253.6965000005</v>
      </c>
      <c r="H13" s="372">
        <f t="shared" si="1"/>
        <v>4310253.6965000005</v>
      </c>
      <c r="I13" s="372">
        <f t="shared" si="1"/>
        <v>4310253.6965000005</v>
      </c>
      <c r="J13" s="372">
        <f t="shared" si="1"/>
        <v>4230550.6965000005</v>
      </c>
      <c r="K13" s="372">
        <f t="shared" si="1"/>
        <v>4310253.6965000005</v>
      </c>
      <c r="L13" s="372">
        <f t="shared" si="1"/>
        <v>4310253.6965000005</v>
      </c>
      <c r="M13" s="372">
        <f t="shared" si="1"/>
        <v>3817375.6965000005</v>
      </c>
      <c r="N13" s="372">
        <f>+N9-N10-N11-N12</f>
        <v>45110017.430000015</v>
      </c>
      <c r="O13" s="369"/>
    </row>
    <row r="16" spans="1:15" x14ac:dyDescent="0.25">
      <c r="A16" s="362" t="s">
        <v>258</v>
      </c>
      <c r="B16" s="363" t="s">
        <v>235</v>
      </c>
      <c r="C16" s="363" t="s">
        <v>236</v>
      </c>
      <c r="D16" s="363" t="s">
        <v>237</v>
      </c>
      <c r="E16" s="363" t="s">
        <v>238</v>
      </c>
      <c r="F16" s="363" t="s">
        <v>239</v>
      </c>
      <c r="G16" s="363" t="s">
        <v>240</v>
      </c>
      <c r="H16" s="363" t="s">
        <v>241</v>
      </c>
      <c r="I16" s="363" t="s">
        <v>242</v>
      </c>
      <c r="J16" s="363" t="s">
        <v>243</v>
      </c>
      <c r="K16" s="363" t="s">
        <v>244</v>
      </c>
      <c r="L16" s="363" t="s">
        <v>245</v>
      </c>
      <c r="M16" s="363" t="s">
        <v>246</v>
      </c>
    </row>
    <row r="17" spans="1:14" x14ac:dyDescent="0.25">
      <c r="A17" s="364" t="s">
        <v>253</v>
      </c>
      <c r="B17" s="365"/>
      <c r="C17" s="365"/>
      <c r="D17" s="365">
        <f>+'B) Reajuste Tarifas y Ocupación'!$I$28</f>
        <v>14</v>
      </c>
      <c r="E17" s="365">
        <f>+'B) Reajuste Tarifas y Ocupación'!$I$28</f>
        <v>14</v>
      </c>
      <c r="F17" s="365">
        <f>+'B) Reajuste Tarifas y Ocupación'!$I$28</f>
        <v>14</v>
      </c>
      <c r="G17" s="365">
        <f>+'B) Reajuste Tarifas y Ocupación'!$I$28</f>
        <v>14</v>
      </c>
      <c r="H17" s="365">
        <f>+'B) Reajuste Tarifas y Ocupación'!$I$28</f>
        <v>14</v>
      </c>
      <c r="I17" s="365">
        <f>+'B) Reajuste Tarifas y Ocupación'!$I$28</f>
        <v>14</v>
      </c>
      <c r="J17" s="365">
        <f>+'B) Reajuste Tarifas y Ocupación'!$I$28</f>
        <v>14</v>
      </c>
      <c r="K17" s="365">
        <f>+'B) Reajuste Tarifas y Ocupación'!$I$28</f>
        <v>14</v>
      </c>
      <c r="L17" s="365">
        <f>+'B) Reajuste Tarifas y Ocupación'!$I$28</f>
        <v>14</v>
      </c>
      <c r="M17" s="365">
        <f>+'B) Reajuste Tarifas y Ocupación'!$I$28</f>
        <v>14</v>
      </c>
    </row>
    <row r="18" spans="1:14" x14ac:dyDescent="0.25">
      <c r="A18" s="364" t="s">
        <v>254</v>
      </c>
      <c r="B18" s="365">
        <f>+COUNTA('F) Remuneraciones'!$C$23:$C$30)</f>
        <v>1</v>
      </c>
      <c r="C18" s="365">
        <f>+COUNTA('F) Remuneraciones'!$C$23:$C$30)</f>
        <v>1</v>
      </c>
      <c r="D18" s="365">
        <f>+COUNTA('F) Remuneraciones'!$C$23:$C$30)</f>
        <v>1</v>
      </c>
      <c r="E18" s="365">
        <f>+COUNTA('F) Remuneraciones'!$C$23:$C$30)</f>
        <v>1</v>
      </c>
      <c r="F18" s="365">
        <f>+COUNTA('F) Remuneraciones'!$C$23:$C$30)</f>
        <v>1</v>
      </c>
      <c r="G18" s="365">
        <f>+COUNTA('F) Remuneraciones'!$C$23:$C$30)</f>
        <v>1</v>
      </c>
      <c r="H18" s="365">
        <f>+COUNTA('F) Remuneraciones'!$C$23:$C$30)</f>
        <v>1</v>
      </c>
      <c r="I18" s="365">
        <f>+COUNTA('F) Remuneraciones'!$C$23:$C$30)</f>
        <v>1</v>
      </c>
      <c r="J18" s="365">
        <f>+COUNTA('F) Remuneraciones'!$C$23:$C$30)</f>
        <v>1</v>
      </c>
      <c r="K18" s="365">
        <f>+COUNTA('F) Remuneraciones'!$C$23:$C$30)</f>
        <v>1</v>
      </c>
      <c r="L18" s="365">
        <f>+COUNTA('F) Remuneraciones'!$C$23:$C$30)</f>
        <v>1</v>
      </c>
      <c r="M18" s="365">
        <f>+COUNTA('F) Remuneraciones'!$C$23:$C$30)</f>
        <v>1</v>
      </c>
    </row>
    <row r="19" spans="1:14" x14ac:dyDescent="0.25">
      <c r="A19" s="364"/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</row>
    <row r="20" spans="1:14" ht="30" x14ac:dyDescent="0.25">
      <c r="A20" s="367" t="str">
        <f>+'A) Resumen Ingresos y Egresos'!A31</f>
        <v>Sala Cuna Pequeños Héroes</v>
      </c>
      <c r="B20" s="363" t="s">
        <v>235</v>
      </c>
      <c r="C20" s="363" t="s">
        <v>236</v>
      </c>
      <c r="D20" s="363" t="s">
        <v>237</v>
      </c>
      <c r="E20" s="363" t="s">
        <v>238</v>
      </c>
      <c r="F20" s="363" t="s">
        <v>239</v>
      </c>
      <c r="G20" s="363" t="s">
        <v>240</v>
      </c>
      <c r="H20" s="363" t="s">
        <v>241</v>
      </c>
      <c r="I20" s="363" t="s">
        <v>242</v>
      </c>
      <c r="J20" s="363" t="s">
        <v>243</v>
      </c>
      <c r="K20" s="363" t="s">
        <v>244</v>
      </c>
      <c r="L20" s="363" t="s">
        <v>245</v>
      </c>
      <c r="M20" s="363" t="s">
        <v>246</v>
      </c>
      <c r="N20" s="363" t="s">
        <v>255</v>
      </c>
    </row>
    <row r="21" spans="1:14" x14ac:dyDescent="0.25">
      <c r="A21" s="368" t="s">
        <v>247</v>
      </c>
      <c r="B21" s="369">
        <f>(+'A) Resumen Ingresos y Egresos'!$N$40)/12+('A) Resumen Ingresos y Egresos'!$O$40)/12</f>
        <v>5569200</v>
      </c>
      <c r="C21" s="369">
        <f>(+'A) Resumen Ingresos y Egresos'!$N$40)/12+('A) Resumen Ingresos y Egresos'!$O$40)/12</f>
        <v>5569200</v>
      </c>
      <c r="D21" s="369">
        <f>(+'A) Resumen Ingresos y Egresos'!$N$40)/12+('A) Resumen Ingresos y Egresos'!$O$40)/12</f>
        <v>5569200</v>
      </c>
      <c r="E21" s="369">
        <f>(+'A) Resumen Ingresos y Egresos'!$N$40)/12+('A) Resumen Ingresos y Egresos'!$O$40)/12</f>
        <v>5569200</v>
      </c>
      <c r="F21" s="369">
        <f>(+'A) Resumen Ingresos y Egresos'!$N$40)/12+('A) Resumen Ingresos y Egresos'!$O$40)/12</f>
        <v>5569200</v>
      </c>
      <c r="G21" s="369">
        <f>(+'A) Resumen Ingresos y Egresos'!$N$40)/12+('A) Resumen Ingresos y Egresos'!$O$40)/12</f>
        <v>5569200</v>
      </c>
      <c r="H21" s="369">
        <f>(+'A) Resumen Ingresos y Egresos'!$N$40)/12+('A) Resumen Ingresos y Egresos'!$O$40)/12</f>
        <v>5569200</v>
      </c>
      <c r="I21" s="369">
        <f>(+'A) Resumen Ingresos y Egresos'!$N$40)/12+('A) Resumen Ingresos y Egresos'!$O$40)/12</f>
        <v>5569200</v>
      </c>
      <c r="J21" s="369">
        <f>(+'A) Resumen Ingresos y Egresos'!$N$40)/12+('A) Resumen Ingresos y Egresos'!$O$40)/12</f>
        <v>5569200</v>
      </c>
      <c r="K21" s="369">
        <f>(+'A) Resumen Ingresos y Egresos'!$N$40)/12+('A) Resumen Ingresos y Egresos'!$O$40)/12</f>
        <v>5569200</v>
      </c>
      <c r="L21" s="369">
        <f>(+'A) Resumen Ingresos y Egresos'!$N$40)/12+('A) Resumen Ingresos y Egresos'!$O$40)/12</f>
        <v>5569200</v>
      </c>
      <c r="M21" s="369">
        <f>(+'A) Resumen Ingresos y Egresos'!$N$40)/12+('A) Resumen Ingresos y Egresos'!$O$40)/12</f>
        <v>5569200</v>
      </c>
      <c r="N21" s="370">
        <f>SUM(B21:M21)</f>
        <v>66830400</v>
      </c>
    </row>
    <row r="22" spans="1:14" x14ac:dyDescent="0.25">
      <c r="A22" s="368" t="s">
        <v>248</v>
      </c>
      <c r="B22" s="369">
        <f>SUM('F) Remuneraciones'!$H$23:$H$30)/12</f>
        <v>1173631.49</v>
      </c>
      <c r="C22" s="369">
        <f>SUM('F) Remuneraciones'!$H$23:$H$30)/12</f>
        <v>1173631.49</v>
      </c>
      <c r="D22" s="369">
        <f>SUM('F) Remuneraciones'!$H$23:$H$30)/12</f>
        <v>1173631.49</v>
      </c>
      <c r="E22" s="369">
        <f>SUM('F) Remuneraciones'!$H$23:$H$30)/12</f>
        <v>1173631.49</v>
      </c>
      <c r="F22" s="369">
        <f>SUM('F) Remuneraciones'!$H$23:$H$30)/12</f>
        <v>1173631.49</v>
      </c>
      <c r="G22" s="369">
        <f>SUM('F) Remuneraciones'!$H$23:$H$30)/12</f>
        <v>1173631.49</v>
      </c>
      <c r="H22" s="369">
        <f>SUM('F) Remuneraciones'!$H$23:$H$30)/12</f>
        <v>1173631.49</v>
      </c>
      <c r="I22" s="369">
        <f>SUM('F) Remuneraciones'!$H$23:$H$30)/12</f>
        <v>1173631.49</v>
      </c>
      <c r="J22" s="369">
        <f>SUM('F) Remuneraciones'!$H$23:$H$30)/12</f>
        <v>1173631.49</v>
      </c>
      <c r="K22" s="369">
        <f>SUM('F) Remuneraciones'!$H$23:$H$30)/12</f>
        <v>1173631.49</v>
      </c>
      <c r="L22" s="369">
        <f>SUM('F) Remuneraciones'!$H$23:$H$30)/12</f>
        <v>1173631.49</v>
      </c>
      <c r="M22" s="369">
        <f>SUM('F) Remuneraciones'!$H$23:$H$30)/12</f>
        <v>1173631.49</v>
      </c>
      <c r="N22" s="370">
        <f t="shared" ref="N22:N24" si="2">SUM(B22:M22)</f>
        <v>14083577.880000001</v>
      </c>
    </row>
    <row r="23" spans="1:14" x14ac:dyDescent="0.25">
      <c r="A23" s="368" t="s">
        <v>249</v>
      </c>
      <c r="B23" s="369">
        <f>SUM('F) Remuneraciones'!I23:I30)*0.5</f>
        <v>82635</v>
      </c>
      <c r="C23" s="369">
        <v>0</v>
      </c>
      <c r="D23" s="369">
        <v>0</v>
      </c>
      <c r="E23" s="369">
        <v>0</v>
      </c>
      <c r="F23" s="369">
        <v>0</v>
      </c>
      <c r="G23" s="369">
        <v>0</v>
      </c>
      <c r="H23" s="369">
        <v>0</v>
      </c>
      <c r="I23" s="369">
        <v>0</v>
      </c>
      <c r="J23" s="369">
        <f>SUM('F) Remuneraciones'!J23:J30)*0.5</f>
        <v>81197</v>
      </c>
      <c r="K23" s="369">
        <v>0</v>
      </c>
      <c r="L23" s="369">
        <v>0</v>
      </c>
      <c r="M23" s="369">
        <f>+B23+J23</f>
        <v>163832</v>
      </c>
      <c r="N23" s="370">
        <f t="shared" si="2"/>
        <v>327664</v>
      </c>
    </row>
    <row r="24" spans="1:14" x14ac:dyDescent="0.25">
      <c r="A24" s="368" t="s">
        <v>250</v>
      </c>
      <c r="B24" s="369">
        <f>(+'C) Costos Directos'!$H$139-'C) Costos Directos'!$D$78)/12</f>
        <v>1608416.8833333335</v>
      </c>
      <c r="C24" s="369">
        <f>(+'C) Costos Directos'!$H$139-'C) Costos Directos'!$D$78)/12</f>
        <v>1608416.8833333335</v>
      </c>
      <c r="D24" s="369">
        <f>(+'C) Costos Directos'!$H$139-'C) Costos Directos'!$D$78)/12</f>
        <v>1608416.8833333335</v>
      </c>
      <c r="E24" s="369">
        <f>(+'C) Costos Directos'!$H$139-'C) Costos Directos'!$D$78)/12</f>
        <v>1608416.8833333335</v>
      </c>
      <c r="F24" s="369">
        <f>(+'C) Costos Directos'!$H$139-'C) Costos Directos'!$D$78)/12</f>
        <v>1608416.8833333335</v>
      </c>
      <c r="G24" s="369">
        <f>(+'C) Costos Directos'!$H$139-'C) Costos Directos'!$D$78)/12</f>
        <v>1608416.8833333335</v>
      </c>
      <c r="H24" s="369">
        <f>(+'C) Costos Directos'!$H$139-'C) Costos Directos'!$D$78)/12</f>
        <v>1608416.8833333335</v>
      </c>
      <c r="I24" s="369">
        <f>(+'C) Costos Directos'!$H$139-'C) Costos Directos'!$D$78)/12</f>
        <v>1608416.8833333335</v>
      </c>
      <c r="J24" s="369">
        <f>(+'C) Costos Directos'!$H$139-'C) Costos Directos'!$D$78)/12</f>
        <v>1608416.8833333335</v>
      </c>
      <c r="K24" s="369">
        <f>(+'C) Costos Directos'!$H$139-'C) Costos Directos'!$D$78)/12</f>
        <v>1608416.8833333335</v>
      </c>
      <c r="L24" s="369">
        <f>(+'C) Costos Directos'!$H$139-'C) Costos Directos'!$D$78)/12</f>
        <v>1608416.8833333335</v>
      </c>
      <c r="M24" s="369">
        <f>(+'C) Costos Directos'!$H$139-'C) Costos Directos'!$D$78)/12</f>
        <v>1608416.8833333335</v>
      </c>
      <c r="N24" s="370">
        <f t="shared" si="2"/>
        <v>19301002.599999998</v>
      </c>
    </row>
    <row r="25" spans="1:14" x14ac:dyDescent="0.25">
      <c r="A25" s="371" t="s">
        <v>256</v>
      </c>
      <c r="B25" s="372">
        <f t="shared" ref="B25:M25" si="3">+B21-B22-B23-B24</f>
        <v>2704516.626666666</v>
      </c>
      <c r="C25" s="372">
        <f t="shared" si="3"/>
        <v>2787151.626666666</v>
      </c>
      <c r="D25" s="372">
        <f t="shared" si="3"/>
        <v>2787151.626666666</v>
      </c>
      <c r="E25" s="372">
        <f t="shared" si="3"/>
        <v>2787151.626666666</v>
      </c>
      <c r="F25" s="372">
        <f t="shared" si="3"/>
        <v>2787151.626666666</v>
      </c>
      <c r="G25" s="372">
        <f t="shared" si="3"/>
        <v>2787151.626666666</v>
      </c>
      <c r="H25" s="372">
        <f t="shared" si="3"/>
        <v>2787151.626666666</v>
      </c>
      <c r="I25" s="372">
        <f t="shared" si="3"/>
        <v>2787151.626666666</v>
      </c>
      <c r="J25" s="372">
        <f t="shared" si="3"/>
        <v>2705954.626666666</v>
      </c>
      <c r="K25" s="372">
        <f t="shared" si="3"/>
        <v>2787151.626666666</v>
      </c>
      <c r="L25" s="372">
        <f t="shared" si="3"/>
        <v>2787151.626666666</v>
      </c>
      <c r="M25" s="372">
        <f t="shared" si="3"/>
        <v>2623319.626666666</v>
      </c>
      <c r="N25" s="372">
        <f>+N21-N22-N23-N24</f>
        <v>33118155.52</v>
      </c>
    </row>
  </sheetData>
  <sheetProtection algorithmName="SHA-512" hashValue="obhzzQ8jkFWF7P07pdsH6jOgEnQLBZ4usl65cPwOQxPmk82WwGyZMhhvtMxE1/CMzebbXQyMxGgY3OETrlbnTw==" saltValue="QfRY7QRQQjgm6YDkgEZalg==" spinCount="100000"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FF"/>
  </sheetPr>
  <dimension ref="B1:S56"/>
  <sheetViews>
    <sheetView showGridLines="0" zoomScale="80" zoomScaleNormal="80" workbookViewId="0">
      <selection activeCell="P32" sqref="P32"/>
    </sheetView>
  </sheetViews>
  <sheetFormatPr baseColWidth="10" defaultColWidth="11.42578125" defaultRowHeight="12.75" x14ac:dyDescent="0.2"/>
  <sheetData>
    <row r="1" spans="2:11" x14ac:dyDescent="0.2">
      <c r="H1" s="29"/>
    </row>
    <row r="2" spans="2:11" x14ac:dyDescent="0.2">
      <c r="H2" s="29" t="s">
        <v>83</v>
      </c>
    </row>
    <row r="5" spans="2:11" x14ac:dyDescent="0.2">
      <c r="B5" s="736" t="s">
        <v>162</v>
      </c>
      <c r="C5" s="736"/>
      <c r="D5" s="736"/>
      <c r="E5" s="736"/>
      <c r="F5" s="736"/>
    </row>
    <row r="7" spans="2:11" x14ac:dyDescent="0.2">
      <c r="C7" s="76" t="s">
        <v>147</v>
      </c>
      <c r="D7" s="76"/>
      <c r="E7" s="76"/>
      <c r="F7" s="76"/>
      <c r="G7" s="76"/>
      <c r="H7" s="76"/>
      <c r="I7" s="76"/>
      <c r="J7" s="76"/>
      <c r="K7" s="76"/>
    </row>
    <row r="9" spans="2:11" x14ac:dyDescent="0.2">
      <c r="C9" s="76" t="s">
        <v>148</v>
      </c>
      <c r="D9" s="76"/>
      <c r="E9" s="76"/>
      <c r="F9" s="76"/>
      <c r="G9" s="76"/>
      <c r="H9" s="76"/>
    </row>
    <row r="11" spans="2:11" x14ac:dyDescent="0.2">
      <c r="B11" s="736" t="s">
        <v>163</v>
      </c>
      <c r="C11" s="736"/>
      <c r="D11" s="736"/>
      <c r="E11" s="736"/>
      <c r="F11" s="736"/>
    </row>
    <row r="13" spans="2:11" x14ac:dyDescent="0.2">
      <c r="C13" s="77" t="s">
        <v>149</v>
      </c>
      <c r="D13" s="77"/>
      <c r="E13" s="77"/>
      <c r="F13" s="77"/>
      <c r="G13" s="77"/>
      <c r="H13" s="77"/>
    </row>
    <row r="15" spans="2:11" x14ac:dyDescent="0.2">
      <c r="C15" s="77" t="s">
        <v>150</v>
      </c>
      <c r="D15" s="77"/>
      <c r="E15" s="77"/>
      <c r="F15" s="77"/>
      <c r="G15" s="77"/>
      <c r="H15" s="77"/>
    </row>
    <row r="19" spans="2:16" x14ac:dyDescent="0.2">
      <c r="B19" s="736" t="s">
        <v>164</v>
      </c>
      <c r="C19" s="736"/>
      <c r="D19" s="736"/>
      <c r="E19" s="736"/>
      <c r="F19" s="736"/>
    </row>
    <row r="21" spans="2:16" x14ac:dyDescent="0.2">
      <c r="C21" s="77" t="s">
        <v>152</v>
      </c>
      <c r="D21" s="77"/>
      <c r="E21" s="77"/>
      <c r="F21" s="78"/>
      <c r="G21" s="78"/>
      <c r="H21" s="78"/>
    </row>
    <row r="22" spans="2:16" x14ac:dyDescent="0.2">
      <c r="C22" s="737"/>
      <c r="D22" s="737"/>
      <c r="E22" s="737"/>
      <c r="F22" s="737"/>
      <c r="G22" s="737"/>
      <c r="H22" s="737"/>
      <c r="I22" s="737"/>
      <c r="J22" s="737"/>
      <c r="K22" s="737"/>
    </row>
    <row r="24" spans="2:16" x14ac:dyDescent="0.2">
      <c r="B24" s="736" t="s">
        <v>165</v>
      </c>
      <c r="C24" s="736"/>
      <c r="D24" s="736"/>
      <c r="E24" s="736"/>
      <c r="F24" s="736"/>
    </row>
    <row r="26" spans="2:16" x14ac:dyDescent="0.2">
      <c r="C26" s="79" t="s">
        <v>153</v>
      </c>
      <c r="D26" s="79"/>
      <c r="E26" s="79"/>
      <c r="F26" s="79"/>
      <c r="G26" s="79"/>
      <c r="H26" s="79"/>
      <c r="I26" s="79"/>
      <c r="J26" s="79"/>
    </row>
    <row r="27" spans="2:16" ht="12.75" customHeight="1" x14ac:dyDescent="0.2">
      <c r="C27" s="738" t="s">
        <v>154</v>
      </c>
      <c r="D27" s="738"/>
      <c r="E27" s="738"/>
      <c r="F27" s="738"/>
      <c r="G27" s="738"/>
      <c r="H27" s="738"/>
      <c r="I27" s="738"/>
      <c r="J27" s="738"/>
      <c r="K27" s="738"/>
      <c r="L27" s="738"/>
      <c r="M27" s="738"/>
    </row>
    <row r="28" spans="2:16" ht="12.75" customHeight="1" x14ac:dyDescent="0.2">
      <c r="C28" s="738"/>
      <c r="D28" s="738"/>
      <c r="E28" s="738"/>
      <c r="F28" s="738"/>
      <c r="G28" s="738"/>
      <c r="H28" s="738"/>
      <c r="I28" s="738"/>
      <c r="J28" s="738"/>
      <c r="K28" s="738"/>
      <c r="L28" s="738"/>
      <c r="M28" s="738"/>
    </row>
    <row r="29" spans="2:16" ht="12.75" customHeight="1" x14ac:dyDescent="0.2">
      <c r="C29" s="79" t="s">
        <v>155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8"/>
    </row>
    <row r="30" spans="2:16" ht="12.75" customHeight="1" x14ac:dyDescent="0.2"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8"/>
    </row>
    <row r="31" spans="2:16" ht="12.75" customHeight="1" x14ac:dyDescent="0.2">
      <c r="C31" s="83" t="s">
        <v>156</v>
      </c>
      <c r="D31" s="80"/>
      <c r="E31" s="80"/>
      <c r="F31" s="82"/>
      <c r="G31" s="80"/>
      <c r="H31" s="80"/>
      <c r="I31" s="80"/>
      <c r="J31" s="80"/>
      <c r="K31" s="80"/>
      <c r="L31" s="80"/>
      <c r="M31" s="80"/>
      <c r="N31" s="78"/>
      <c r="O31" s="78"/>
      <c r="P31" s="78"/>
    </row>
    <row r="32" spans="2:16" ht="12.75" customHeight="1" x14ac:dyDescent="0.2">
      <c r="C32" s="81"/>
      <c r="D32" s="81"/>
      <c r="E32" s="81"/>
      <c r="F32" s="81"/>
      <c r="G32" s="81"/>
      <c r="H32" s="81"/>
      <c r="I32" s="80"/>
      <c r="J32" s="80"/>
      <c r="K32" s="80"/>
      <c r="L32" s="80"/>
      <c r="M32" s="80"/>
      <c r="N32" s="78"/>
    </row>
    <row r="33" spans="2:19" ht="12.75" customHeight="1" x14ac:dyDescent="0.2">
      <c r="C33" s="739" t="s">
        <v>157</v>
      </c>
      <c r="D33" s="739"/>
      <c r="E33" s="739"/>
      <c r="F33" s="739"/>
      <c r="G33" s="739"/>
      <c r="H33" s="739"/>
      <c r="I33" s="739"/>
      <c r="J33" s="739"/>
      <c r="K33" s="739"/>
      <c r="L33" s="739"/>
      <c r="M33" s="739"/>
      <c r="N33" s="78"/>
    </row>
    <row r="34" spans="2:19" ht="12.75" customHeight="1" x14ac:dyDescent="0.2">
      <c r="C34" s="67"/>
      <c r="D34" s="67"/>
      <c r="E34" s="67"/>
      <c r="F34" s="67"/>
      <c r="G34" s="67"/>
      <c r="H34" s="67"/>
      <c r="I34" s="79"/>
      <c r="J34" s="79"/>
      <c r="K34" s="79"/>
      <c r="L34" s="79"/>
      <c r="M34" s="79"/>
      <c r="N34" s="78"/>
    </row>
    <row r="35" spans="2:19" ht="12.75" customHeight="1" x14ac:dyDescent="0.2">
      <c r="C35" s="80" t="s">
        <v>158</v>
      </c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78"/>
    </row>
    <row r="36" spans="2:19" ht="12.75" customHeight="1" x14ac:dyDescent="0.2">
      <c r="C36" s="81"/>
      <c r="D36" s="81"/>
      <c r="E36" s="81"/>
      <c r="F36" s="81"/>
      <c r="G36" s="81"/>
      <c r="H36" s="81"/>
      <c r="I36" s="80"/>
      <c r="J36" s="80"/>
      <c r="K36" s="80"/>
      <c r="L36" s="80"/>
      <c r="M36" s="80"/>
      <c r="N36" s="78"/>
    </row>
    <row r="37" spans="2:19" ht="12.75" customHeight="1" x14ac:dyDescent="0.2"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2:19" ht="12.75" customHeight="1" x14ac:dyDescent="0.2"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2:19" ht="12.75" customHeight="1" x14ac:dyDescent="0.2">
      <c r="B39" s="83" t="s">
        <v>166</v>
      </c>
      <c r="C39" s="79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2:19" x14ac:dyDescent="0.2">
      <c r="O40" s="737"/>
      <c r="P40" s="737"/>
      <c r="Q40" s="737"/>
      <c r="R40" s="737"/>
      <c r="S40" s="737"/>
    </row>
    <row r="41" spans="2:19" x14ac:dyDescent="0.2">
      <c r="C41" s="740" t="s">
        <v>159</v>
      </c>
      <c r="D41" s="740"/>
      <c r="E41" s="740"/>
      <c r="F41" s="740"/>
    </row>
    <row r="42" spans="2:19" x14ac:dyDescent="0.2">
      <c r="C42" s="737"/>
      <c r="D42" s="737"/>
      <c r="E42" s="737"/>
      <c r="F42" s="737"/>
      <c r="G42" s="737"/>
      <c r="H42" s="737"/>
      <c r="I42" s="737"/>
      <c r="J42" s="737"/>
    </row>
    <row r="44" spans="2:19" x14ac:dyDescent="0.2">
      <c r="B44" s="736" t="s">
        <v>167</v>
      </c>
      <c r="C44" s="736"/>
      <c r="D44" s="736"/>
      <c r="E44" s="736"/>
      <c r="F44" s="736"/>
    </row>
    <row r="46" spans="2:19" x14ac:dyDescent="0.2">
      <c r="C46" s="84" t="s">
        <v>160</v>
      </c>
      <c r="D46" s="84"/>
      <c r="E46" s="84"/>
      <c r="F46" s="84"/>
      <c r="G46" s="84"/>
      <c r="H46" s="84"/>
      <c r="I46" s="84"/>
      <c r="J46" s="84"/>
      <c r="K46" s="85"/>
      <c r="L46" s="85"/>
      <c r="M46" s="85"/>
    </row>
    <row r="50" spans="2:13" x14ac:dyDescent="0.2">
      <c r="B50" s="736" t="s">
        <v>168</v>
      </c>
      <c r="C50" s="736"/>
      <c r="D50" s="736"/>
      <c r="E50" s="736"/>
      <c r="F50" s="736"/>
    </row>
    <row r="52" spans="2:13" x14ac:dyDescent="0.2">
      <c r="C52" s="79" t="s">
        <v>161</v>
      </c>
      <c r="D52" s="79"/>
      <c r="E52" s="79"/>
      <c r="F52" s="79"/>
      <c r="G52" s="78"/>
      <c r="H52" s="78"/>
      <c r="I52" s="78"/>
      <c r="J52" s="78"/>
      <c r="K52" s="78"/>
      <c r="L52" s="78"/>
      <c r="M52" s="78"/>
    </row>
    <row r="54" spans="2:13" x14ac:dyDescent="0.2">
      <c r="B54" s="78" t="s">
        <v>169</v>
      </c>
      <c r="C54" s="78"/>
    </row>
    <row r="56" spans="2:13" x14ac:dyDescent="0.2">
      <c r="B56" s="735" t="s">
        <v>251</v>
      </c>
      <c r="C56" s="735"/>
    </row>
  </sheetData>
  <sheetProtection algorithmName="SHA-512" hashValue="9qBMz5/sNAR4mb7VMyiIK4d/H6w91Fs4j2Dzwhf+C6r+ww9Jgy7zHNijQTZ5rrK4ldCD7KLYLT6vYlRpoMhzMQ==" saltValue="ZmH7mIXLZgo54tg/7RiYpQ==" spinCount="100000" sheet="1" objects="1" scenarios="1"/>
  <mergeCells count="13">
    <mergeCell ref="B5:F5"/>
    <mergeCell ref="C22:K22"/>
    <mergeCell ref="B50:F50"/>
    <mergeCell ref="C42:J42"/>
    <mergeCell ref="B44:F44"/>
    <mergeCell ref="C27:M28"/>
    <mergeCell ref="C33:M33"/>
    <mergeCell ref="C41:F41"/>
    <mergeCell ref="B56:C56"/>
    <mergeCell ref="B11:F11"/>
    <mergeCell ref="O40:S40"/>
    <mergeCell ref="B19:F19"/>
    <mergeCell ref="B24:F24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6" location="'I) Proyección mensual'!A1" display="i) Proyección Mensual" xr:uid="{00000000-0004-0000-0100-000018000000}"/>
    <hyperlink ref="B56:C56" location="'I) Proyección Mensual.'!A2" display="i) Proyección Mensual" xr:uid="{00000000-0004-0000-0100-000019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1"/>
  <sheetViews>
    <sheetView showGridLines="0" zoomScale="80" zoomScaleNormal="80" workbookViewId="0">
      <selection activeCell="I12" sqref="I12"/>
    </sheetView>
  </sheetViews>
  <sheetFormatPr baseColWidth="10" defaultColWidth="11.42578125" defaultRowHeight="12.75" x14ac:dyDescent="0.2"/>
  <cols>
    <col min="1" max="1" width="38.85546875" style="2" bestFit="1" customWidth="1"/>
    <col min="2" max="2" width="21.42578125" style="2" customWidth="1"/>
    <col min="3" max="3" width="20.85546875" style="2" bestFit="1" customWidth="1"/>
    <col min="4" max="4" width="19.28515625" style="2" customWidth="1"/>
    <col min="5" max="6" width="18.85546875" style="2" customWidth="1"/>
    <col min="7" max="7" width="18" style="2" customWidth="1"/>
    <col min="8" max="8" width="18.28515625" style="2" customWidth="1"/>
    <col min="9" max="9" width="18.140625" style="2" bestFit="1" customWidth="1"/>
    <col min="10" max="10" width="18.7109375" style="2" bestFit="1" customWidth="1"/>
    <col min="11" max="11" width="18.7109375" style="2" customWidth="1"/>
    <col min="12" max="12" width="16.42578125" style="2" bestFit="1" customWidth="1"/>
    <col min="13" max="13" width="17.5703125" style="2" customWidth="1"/>
    <col min="14" max="14" width="17.28515625" style="2" customWidth="1"/>
    <col min="15" max="15" width="16.85546875" style="2" customWidth="1"/>
    <col min="16" max="16" width="14.85546875" style="2" customWidth="1"/>
    <col min="17" max="17" width="16.42578125" style="2" bestFit="1" customWidth="1"/>
    <col min="18" max="18" width="15.85546875" style="2" customWidth="1"/>
    <col min="19" max="16384" width="11.42578125" style="2"/>
  </cols>
  <sheetData>
    <row r="1" spans="1:247" s="4" customFormat="1" x14ac:dyDescent="0.2">
      <c r="A1" s="3"/>
      <c r="E1" s="29" t="s">
        <v>201</v>
      </c>
      <c r="F1" s="29"/>
      <c r="IL1" s="2"/>
      <c r="IM1" s="2"/>
    </row>
    <row r="2" spans="1:247" s="4" customFormat="1" x14ac:dyDescent="0.2">
      <c r="A2" s="5"/>
      <c r="E2" s="29" t="s">
        <v>194</v>
      </c>
      <c r="F2" s="29"/>
      <c r="IL2" s="2"/>
      <c r="IM2" s="2"/>
    </row>
    <row r="3" spans="1:247" s="4" customFormat="1" x14ac:dyDescent="0.2">
      <c r="A3" s="2"/>
      <c r="IL3" s="2"/>
      <c r="IM3" s="2"/>
    </row>
    <row r="4" spans="1:247" s="4" customFormat="1" ht="18.75" customHeight="1" x14ac:dyDescent="0.2">
      <c r="A4" s="2"/>
      <c r="B4" s="16"/>
      <c r="C4" s="743" t="s">
        <v>0</v>
      </c>
      <c r="D4" s="743"/>
      <c r="E4" s="744" t="s">
        <v>143</v>
      </c>
      <c r="F4" s="745"/>
      <c r="G4" s="746"/>
      <c r="L4" s="1"/>
      <c r="IC4" s="2"/>
      <c r="ID4" s="2"/>
      <c r="IE4" s="2"/>
      <c r="IF4" s="2"/>
      <c r="IG4" s="2"/>
      <c r="IH4" s="2"/>
    </row>
    <row r="5" spans="1:247" s="4" customFormat="1" x14ac:dyDescent="0.2">
      <c r="A5" s="2"/>
      <c r="B5" s="2"/>
      <c r="C5" s="2"/>
      <c r="D5" s="2"/>
      <c r="E5" s="2"/>
      <c r="F5" s="2"/>
      <c r="G5" s="6"/>
      <c r="H5" s="6"/>
      <c r="L5" s="1"/>
      <c r="IC5" s="2"/>
      <c r="ID5" s="2"/>
      <c r="IE5" s="2"/>
      <c r="IF5" s="2"/>
      <c r="IG5" s="2"/>
      <c r="IH5" s="2"/>
    </row>
    <row r="6" spans="1:247" s="4" customFormat="1" ht="15.75" x14ac:dyDescent="0.2">
      <c r="A6" s="763" t="s">
        <v>147</v>
      </c>
      <c r="B6" s="763"/>
      <c r="C6" s="763"/>
      <c r="D6" s="763"/>
      <c r="E6" s="2"/>
      <c r="F6" s="2"/>
      <c r="G6" s="6"/>
      <c r="H6" s="6"/>
      <c r="L6" s="1"/>
      <c r="IC6" s="2"/>
      <c r="ID6" s="2"/>
      <c r="IE6" s="2"/>
      <c r="IF6" s="2"/>
      <c r="IG6" s="2"/>
      <c r="IH6" s="2"/>
    </row>
    <row r="7" spans="1:247" ht="13.5" thickBot="1" x14ac:dyDescent="0.25">
      <c r="B7" s="4"/>
      <c r="C7" s="4"/>
      <c r="E7" s="4"/>
      <c r="F7" s="4"/>
      <c r="G7" s="4"/>
      <c r="H7" s="4"/>
      <c r="I7" s="4"/>
      <c r="M7" s="31"/>
    </row>
    <row r="8" spans="1:247" ht="39" customHeight="1" x14ac:dyDescent="0.2">
      <c r="A8" s="104" t="s">
        <v>112</v>
      </c>
      <c r="B8" s="105" t="str">
        <f>+N19</f>
        <v>Ingreso por Matrícula</v>
      </c>
      <c r="C8" s="106" t="str">
        <f>+O19</f>
        <v>Ingreso por Mensualidad</v>
      </c>
      <c r="D8" s="106" t="s">
        <v>125</v>
      </c>
      <c r="E8" s="107" t="s">
        <v>82</v>
      </c>
      <c r="F8" s="108" t="s">
        <v>79</v>
      </c>
      <c r="G8" s="109" t="s">
        <v>80</v>
      </c>
      <c r="H8" s="110" t="s">
        <v>106</v>
      </c>
      <c r="I8" s="111" t="s">
        <v>111</v>
      </c>
      <c r="L8" s="37" t="s">
        <v>110</v>
      </c>
      <c r="N8" s="52"/>
    </row>
    <row r="9" spans="1:247" x14ac:dyDescent="0.2">
      <c r="A9" s="112" t="str">
        <f>+'B) Reajuste Tarifas y Ocupación'!A12</f>
        <v>Jardín Infantil Pequeños Héroes</v>
      </c>
      <c r="B9" s="113">
        <f>+N30</f>
        <v>12724100</v>
      </c>
      <c r="C9" s="114">
        <f>+O30</f>
        <v>127241000</v>
      </c>
      <c r="D9" s="113">
        <f>+P30</f>
        <v>3234000</v>
      </c>
      <c r="E9" s="115">
        <f>+B9+D9+C9</f>
        <v>143199100</v>
      </c>
      <c r="F9" s="116">
        <f>+'C) Costos Directos'!H75</f>
        <v>98421438.569999993</v>
      </c>
      <c r="G9" s="117">
        <f>+'D) Costos Indirectos'!$AP$15*(F9/$F$12)</f>
        <v>42855530.440247558</v>
      </c>
      <c r="H9" s="118">
        <f>+F9+G9</f>
        <v>141276969.01024756</v>
      </c>
      <c r="I9" s="119">
        <f>E9-H9</f>
        <v>1922130.9897524416</v>
      </c>
      <c r="L9" s="44">
        <f>+IFERROR(G9/$G$12,0)</f>
        <v>0.74486259898437002</v>
      </c>
      <c r="N9" s="53"/>
    </row>
    <row r="10" spans="1:247" x14ac:dyDescent="0.2">
      <c r="A10" s="191" t="s">
        <v>231</v>
      </c>
      <c r="B10" s="113">
        <f>+N33+'A) Resumen Ingresos y Egresos'!N39</f>
        <v>0</v>
      </c>
      <c r="C10" s="114">
        <f>O33+O39</f>
        <v>66830400</v>
      </c>
      <c r="D10" s="304"/>
      <c r="E10" s="115">
        <f>+B10+D10+C10</f>
        <v>66830400</v>
      </c>
      <c r="F10" s="116">
        <f>'C) Costos Directos'!H139</f>
        <v>33712244.480000004</v>
      </c>
      <c r="G10" s="117">
        <f>+'D) Costos Indirectos'!$AP$15*(F10/$F$12)</f>
        <v>14679282.68996148</v>
      </c>
      <c r="H10" s="118">
        <f>+F10+G10</f>
        <v>48391527.169961482</v>
      </c>
      <c r="I10" s="119">
        <f t="shared" ref="I10" si="0">E10-H10</f>
        <v>18438872.830038518</v>
      </c>
      <c r="L10" s="44">
        <f>+IFERROR(G10/$G$12,0)</f>
        <v>0.25513740101563004</v>
      </c>
      <c r="N10" s="53"/>
    </row>
    <row r="11" spans="1:247" x14ac:dyDescent="0.2">
      <c r="A11" s="191" t="s">
        <v>232</v>
      </c>
      <c r="B11" s="340"/>
      <c r="C11" s="341"/>
      <c r="D11" s="304"/>
      <c r="E11" s="342"/>
      <c r="F11" s="343"/>
      <c r="G11" s="344"/>
      <c r="H11" s="345"/>
      <c r="I11" s="346"/>
      <c r="L11" s="44">
        <f>+IFERROR(G11/$G$12,0)</f>
        <v>0</v>
      </c>
      <c r="N11" s="53"/>
    </row>
    <row r="12" spans="1:247" s="4" customFormat="1" ht="15.75" thickBot="1" x14ac:dyDescent="0.25">
      <c r="A12" s="120" t="s">
        <v>1</v>
      </c>
      <c r="B12" s="121">
        <f>SUM(B9:B11)</f>
        <v>12724100</v>
      </c>
      <c r="C12" s="121">
        <f t="shared" ref="C12:G12" si="1">SUM(C9:C11)</f>
        <v>194071400</v>
      </c>
      <c r="D12" s="121">
        <f t="shared" si="1"/>
        <v>3234000</v>
      </c>
      <c r="E12" s="121">
        <f t="shared" si="1"/>
        <v>210029500</v>
      </c>
      <c r="F12" s="121">
        <f t="shared" si="1"/>
        <v>132133683.05</v>
      </c>
      <c r="G12" s="121">
        <f t="shared" si="1"/>
        <v>57534813.130209036</v>
      </c>
      <c r="H12" s="121">
        <f>SUM(H9:H11)</f>
        <v>189668496.18020904</v>
      </c>
      <c r="I12" s="121">
        <f>SUM(I9:I11)</f>
        <v>20361003.819790959</v>
      </c>
      <c r="L12" s="45">
        <f>SUM(L9:L11)</f>
        <v>1</v>
      </c>
      <c r="N12" s="31"/>
      <c r="O12" s="96"/>
      <c r="IB12" s="2"/>
      <c r="IC12" s="2"/>
      <c r="ID12" s="2"/>
      <c r="IE12" s="2"/>
      <c r="IF12" s="2"/>
      <c r="IG12" s="2"/>
      <c r="IH12" s="2"/>
    </row>
    <row r="13" spans="1:247" s="4" customFormat="1" ht="15.75" customHeight="1" x14ac:dyDescent="0.2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IB13" s="2"/>
      <c r="IC13" s="2"/>
      <c r="ID13" s="2"/>
      <c r="IE13" s="2"/>
      <c r="IF13" s="2"/>
      <c r="IG13" s="2"/>
      <c r="IH13" s="2"/>
    </row>
    <row r="14" spans="1:247" s="4" customFormat="1" ht="15.75" customHeight="1" x14ac:dyDescent="0.2">
      <c r="A14" s="7"/>
      <c r="B14" s="7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7"/>
      <c r="IB14" s="2"/>
      <c r="IC14" s="2"/>
      <c r="ID14" s="2"/>
      <c r="IE14" s="2"/>
      <c r="IF14" s="2"/>
      <c r="IG14" s="2"/>
      <c r="IH14" s="2"/>
    </row>
    <row r="15" spans="1:247" s="4" customFormat="1" ht="15.75" customHeight="1" x14ac:dyDescent="0.2">
      <c r="A15" s="7"/>
      <c r="B15" s="7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IB15" s="2"/>
      <c r="IC15" s="2"/>
      <c r="ID15" s="2"/>
      <c r="IE15" s="2"/>
      <c r="IF15" s="2"/>
      <c r="IG15" s="2"/>
      <c r="IH15" s="2"/>
    </row>
    <row r="16" spans="1:247" s="4" customFormat="1" ht="15.75" customHeight="1" x14ac:dyDescent="0.2">
      <c r="A16" s="7"/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IB16" s="2"/>
      <c r="IC16" s="2"/>
      <c r="ID16" s="2"/>
      <c r="IE16" s="2"/>
      <c r="IF16" s="2"/>
      <c r="IG16" s="2"/>
      <c r="IH16" s="2"/>
    </row>
    <row r="17" spans="1:247" s="4" customFormat="1" ht="15.75" customHeight="1" x14ac:dyDescent="0.2">
      <c r="A17" s="763" t="s">
        <v>148</v>
      </c>
      <c r="B17" s="763"/>
      <c r="C17" s="763"/>
      <c r="D17" s="763"/>
      <c r="E17" s="8"/>
      <c r="F17" s="8"/>
      <c r="G17" s="8"/>
      <c r="H17" s="8"/>
      <c r="I17" s="8"/>
      <c r="J17" s="8"/>
      <c r="K17" s="8"/>
      <c r="L17" s="8"/>
      <c r="M17" s="8"/>
      <c r="N17" s="8"/>
      <c r="IB17" s="2"/>
      <c r="IC17" s="2"/>
      <c r="ID17" s="2"/>
      <c r="IE17" s="2"/>
      <c r="IF17" s="2"/>
      <c r="IG17" s="2"/>
      <c r="IH17" s="2"/>
    </row>
    <row r="18" spans="1:247" s="4" customFormat="1" ht="13.5" thickBot="1" x14ac:dyDescent="0.25">
      <c r="I18" s="9"/>
      <c r="J18" s="9"/>
      <c r="K18" s="9"/>
      <c r="L18" s="1"/>
      <c r="M18" s="1"/>
      <c r="O18" s="10"/>
      <c r="P18" s="10"/>
      <c r="IL18" s="2"/>
      <c r="IM18" s="2"/>
    </row>
    <row r="19" spans="1:247" s="11" customFormat="1" ht="15.75" customHeight="1" x14ac:dyDescent="0.2">
      <c r="A19" s="764" t="s">
        <v>112</v>
      </c>
      <c r="B19" s="766" t="s">
        <v>5</v>
      </c>
      <c r="C19" s="747" t="s">
        <v>2</v>
      </c>
      <c r="D19" s="749" t="s">
        <v>263</v>
      </c>
      <c r="E19" s="750"/>
      <c r="F19" s="750"/>
      <c r="G19" s="750"/>
      <c r="H19" s="751"/>
      <c r="I19" s="752" t="s">
        <v>264</v>
      </c>
      <c r="J19" s="753"/>
      <c r="K19" s="753"/>
      <c r="L19" s="753"/>
      <c r="M19" s="754"/>
      <c r="N19" s="757" t="s">
        <v>88</v>
      </c>
      <c r="O19" s="759" t="s">
        <v>89</v>
      </c>
      <c r="P19" s="755" t="s">
        <v>125</v>
      </c>
      <c r="Q19" s="761" t="s">
        <v>105</v>
      </c>
    </row>
    <row r="20" spans="1:247" s="11" customFormat="1" ht="39" thickBot="1" x14ac:dyDescent="0.25">
      <c r="A20" s="765"/>
      <c r="B20" s="767"/>
      <c r="C20" s="748"/>
      <c r="D20" s="247" t="s">
        <v>85</v>
      </c>
      <c r="E20" s="248" t="s">
        <v>137</v>
      </c>
      <c r="F20" s="248" t="s">
        <v>138</v>
      </c>
      <c r="G20" s="248" t="s">
        <v>86</v>
      </c>
      <c r="H20" s="249" t="s">
        <v>87</v>
      </c>
      <c r="I20" s="485" t="s">
        <v>85</v>
      </c>
      <c r="J20" s="248" t="s">
        <v>137</v>
      </c>
      <c r="K20" s="248" t="s">
        <v>138</v>
      </c>
      <c r="L20" s="248" t="s">
        <v>86</v>
      </c>
      <c r="M20" s="305" t="s">
        <v>87</v>
      </c>
      <c r="N20" s="758"/>
      <c r="O20" s="760"/>
      <c r="P20" s="756"/>
      <c r="Q20" s="762"/>
    </row>
    <row r="21" spans="1:247" ht="12.75" customHeight="1" x14ac:dyDescent="0.2">
      <c r="A21" s="772" t="str">
        <f>+'B) Reajuste Tarifas y Ocupación'!A12</f>
        <v>Jardín Infantil Pequeños Héroes</v>
      </c>
      <c r="B21" s="775" t="str">
        <f>+'B) Reajuste Tarifas y Ocupación'!B12</f>
        <v>Media jornada</v>
      </c>
      <c r="C21" s="324" t="s">
        <v>273</v>
      </c>
      <c r="D21" s="207">
        <f t="shared" ref="D21:F22" si="2">+I21</f>
        <v>108700</v>
      </c>
      <c r="E21" s="211">
        <f t="shared" si="2"/>
        <v>146700</v>
      </c>
      <c r="F21" s="211">
        <f t="shared" si="2"/>
        <v>152100</v>
      </c>
      <c r="G21" s="211">
        <f t="shared" ref="G21:H22" si="3">+L21</f>
        <v>186300</v>
      </c>
      <c r="H21" s="212">
        <f t="shared" si="3"/>
        <v>273700</v>
      </c>
      <c r="I21" s="486">
        <f>+'B) Reajuste Tarifas y Ocupación'!M12</f>
        <v>108700</v>
      </c>
      <c r="J21" s="211">
        <f>+'B) Reajuste Tarifas y Ocupación'!N12</f>
        <v>146700</v>
      </c>
      <c r="K21" s="211">
        <f>+'B) Reajuste Tarifas y Ocupación'!O12</f>
        <v>152100</v>
      </c>
      <c r="L21" s="211">
        <f>+'B) Reajuste Tarifas y Ocupación'!P12</f>
        <v>186300</v>
      </c>
      <c r="M21" s="482">
        <f>+'B) Reajuste Tarifas y Ocupación'!Q12</f>
        <v>273700</v>
      </c>
      <c r="N21" s="499"/>
      <c r="O21" s="509"/>
      <c r="P21" s="518">
        <f>+'B) Reajuste Tarifas y Ocupación'!C12</f>
        <v>97000</v>
      </c>
      <c r="Q21" s="741"/>
    </row>
    <row r="22" spans="1:247" x14ac:dyDescent="0.2">
      <c r="A22" s="773"/>
      <c r="B22" s="776"/>
      <c r="C22" s="100" t="s">
        <v>7</v>
      </c>
      <c r="D22" s="219">
        <f t="shared" si="2"/>
        <v>2</v>
      </c>
      <c r="E22" s="215">
        <f t="shared" si="2"/>
        <v>0</v>
      </c>
      <c r="F22" s="215">
        <f t="shared" si="2"/>
        <v>0</v>
      </c>
      <c r="G22" s="215">
        <f t="shared" si="3"/>
        <v>0</v>
      </c>
      <c r="H22" s="216">
        <f t="shared" si="3"/>
        <v>0</v>
      </c>
      <c r="I22" s="487">
        <f>+'B) Reajuste Tarifas y Ocupación'!C23</f>
        <v>2</v>
      </c>
      <c r="J22" s="215">
        <f>+'B) Reajuste Tarifas y Ocupación'!D23</f>
        <v>0</v>
      </c>
      <c r="K22" s="215">
        <f>+'B) Reajuste Tarifas y Ocupación'!E23</f>
        <v>0</v>
      </c>
      <c r="L22" s="215">
        <f>+'B) Reajuste Tarifas y Ocupación'!F23</f>
        <v>0</v>
      </c>
      <c r="M22" s="256">
        <f>+'B) Reajuste Tarifas y Ocupación'!G23</f>
        <v>0</v>
      </c>
      <c r="N22" s="500"/>
      <c r="O22" s="510"/>
      <c r="P22" s="519">
        <v>0</v>
      </c>
      <c r="Q22" s="742"/>
    </row>
    <row r="23" spans="1:247" ht="13.5" thickBot="1" x14ac:dyDescent="0.25">
      <c r="A23" s="773"/>
      <c r="B23" s="777"/>
      <c r="C23" s="101" t="s">
        <v>9</v>
      </c>
      <c r="D23" s="102">
        <f>D22*D21</f>
        <v>217400</v>
      </c>
      <c r="E23" s="218">
        <f>E22*E21</f>
        <v>0</v>
      </c>
      <c r="F23" s="218">
        <f t="shared" ref="F23" si="4">F22*F21</f>
        <v>0</v>
      </c>
      <c r="G23" s="218">
        <f t="shared" ref="G23:H23" si="5">G22*G21</f>
        <v>0</v>
      </c>
      <c r="H23" s="103">
        <f t="shared" si="5"/>
        <v>0</v>
      </c>
      <c r="I23" s="488">
        <f>I22*I21*10</f>
        <v>2174000</v>
      </c>
      <c r="J23" s="473">
        <f t="shared" ref="J23:M23" si="6">J22*J21*10</f>
        <v>0</v>
      </c>
      <c r="K23" s="473">
        <f t="shared" ref="K23" si="7">K22*K21*10</f>
        <v>0</v>
      </c>
      <c r="L23" s="473">
        <f t="shared" si="6"/>
        <v>0</v>
      </c>
      <c r="M23" s="474">
        <f t="shared" si="6"/>
        <v>0</v>
      </c>
      <c r="N23" s="501">
        <f>SUM(D23:H23)</f>
        <v>217400</v>
      </c>
      <c r="O23" s="511">
        <f>SUM(I23:M23)</f>
        <v>2174000</v>
      </c>
      <c r="P23" s="520">
        <f>P22*P21</f>
        <v>0</v>
      </c>
      <c r="Q23" s="514">
        <f>N23+O23+P23</f>
        <v>2391400</v>
      </c>
    </row>
    <row r="24" spans="1:247" x14ac:dyDescent="0.2">
      <c r="A24" s="773"/>
      <c r="B24" s="768" t="s">
        <v>208</v>
      </c>
      <c r="C24" s="324" t="s">
        <v>273</v>
      </c>
      <c r="D24" s="207">
        <f t="shared" ref="D24:D25" si="8">+I24</f>
        <v>155400</v>
      </c>
      <c r="E24" s="211">
        <f t="shared" ref="E24:E25" si="9">+J24</f>
        <v>209800</v>
      </c>
      <c r="F24" s="211">
        <f t="shared" ref="F24:F25" si="10">+K24</f>
        <v>217500</v>
      </c>
      <c r="G24" s="211">
        <f t="shared" ref="G24:G25" si="11">+L24</f>
        <v>253200</v>
      </c>
      <c r="H24" s="212">
        <f t="shared" ref="H24:H25" si="12">+M24</f>
        <v>394700</v>
      </c>
      <c r="I24" s="486">
        <f>+'B) Reajuste Tarifas y Ocupación'!M13</f>
        <v>155400</v>
      </c>
      <c r="J24" s="211">
        <f>+'B) Reajuste Tarifas y Ocupación'!N13</f>
        <v>209800</v>
      </c>
      <c r="K24" s="211">
        <f>+'B) Reajuste Tarifas y Ocupación'!O13</f>
        <v>217500</v>
      </c>
      <c r="L24" s="211">
        <f>+'B) Reajuste Tarifas y Ocupación'!P13</f>
        <v>253200</v>
      </c>
      <c r="M24" s="482">
        <f>+'B) Reajuste Tarifas y Ocupación'!Q13</f>
        <v>394700</v>
      </c>
      <c r="N24" s="499"/>
      <c r="O24" s="509"/>
      <c r="P24" s="518">
        <f>+'B) Reajuste Tarifas y Ocupación'!C13</f>
        <v>138700</v>
      </c>
      <c r="Q24" s="741"/>
    </row>
    <row r="25" spans="1:247" x14ac:dyDescent="0.2">
      <c r="A25" s="773"/>
      <c r="B25" s="769"/>
      <c r="C25" s="100" t="s">
        <v>7</v>
      </c>
      <c r="D25" s="219">
        <f t="shared" si="8"/>
        <v>2</v>
      </c>
      <c r="E25" s="215">
        <f t="shared" si="9"/>
        <v>1</v>
      </c>
      <c r="F25" s="215">
        <f t="shared" si="10"/>
        <v>0</v>
      </c>
      <c r="G25" s="215">
        <f t="shared" si="11"/>
        <v>0</v>
      </c>
      <c r="H25" s="216">
        <f t="shared" si="12"/>
        <v>0</v>
      </c>
      <c r="I25" s="487">
        <f>+'B) Reajuste Tarifas y Ocupación'!C24</f>
        <v>2</v>
      </c>
      <c r="J25" s="215">
        <f>+'B) Reajuste Tarifas y Ocupación'!D24</f>
        <v>1</v>
      </c>
      <c r="K25" s="215">
        <f>+'B) Reajuste Tarifas y Ocupación'!E24</f>
        <v>0</v>
      </c>
      <c r="L25" s="215">
        <f>+'B) Reajuste Tarifas y Ocupación'!F24</f>
        <v>0</v>
      </c>
      <c r="M25" s="256">
        <f>+'B) Reajuste Tarifas y Ocupación'!G24</f>
        <v>0</v>
      </c>
      <c r="N25" s="500"/>
      <c r="O25" s="510"/>
      <c r="P25" s="519">
        <v>0</v>
      </c>
      <c r="Q25" s="742"/>
    </row>
    <row r="26" spans="1:247" ht="13.5" thickBot="1" x14ac:dyDescent="0.25">
      <c r="A26" s="773"/>
      <c r="B26" s="770"/>
      <c r="C26" s="101" t="s">
        <v>9</v>
      </c>
      <c r="D26" s="102">
        <f>D25*D24</f>
        <v>310800</v>
      </c>
      <c r="E26" s="218">
        <f>E25*E24</f>
        <v>209800</v>
      </c>
      <c r="F26" s="218">
        <f t="shared" ref="F26:H26" si="13">F25*F24</f>
        <v>0</v>
      </c>
      <c r="G26" s="218">
        <f t="shared" si="13"/>
        <v>0</v>
      </c>
      <c r="H26" s="103">
        <f t="shared" si="13"/>
        <v>0</v>
      </c>
      <c r="I26" s="489">
        <f>I25*I24*10</f>
        <v>3108000</v>
      </c>
      <c r="J26" s="218">
        <f t="shared" ref="J26:M26" si="14">J25*J24*10</f>
        <v>2098000</v>
      </c>
      <c r="K26" s="218">
        <f t="shared" si="14"/>
        <v>0</v>
      </c>
      <c r="L26" s="218">
        <f t="shared" si="14"/>
        <v>0</v>
      </c>
      <c r="M26" s="257">
        <f t="shared" si="14"/>
        <v>0</v>
      </c>
      <c r="N26" s="501">
        <f>SUM(D26:H26)</f>
        <v>520600</v>
      </c>
      <c r="O26" s="511">
        <f>SUM(I26:M26)</f>
        <v>5206000</v>
      </c>
      <c r="P26" s="520">
        <f>P25*P24</f>
        <v>0</v>
      </c>
      <c r="Q26" s="514">
        <f>N26+O26+P26</f>
        <v>5726600</v>
      </c>
    </row>
    <row r="27" spans="1:247" x14ac:dyDescent="0.2">
      <c r="A27" s="773"/>
      <c r="B27" s="775" t="str">
        <f>+'B) Reajuste Tarifas y Ocupación'!B14</f>
        <v>Jornada Completa</v>
      </c>
      <c r="C27" s="324" t="s">
        <v>273</v>
      </c>
      <c r="D27" s="207">
        <f t="shared" ref="D27:F28" si="15">+I27</f>
        <v>181200</v>
      </c>
      <c r="E27" s="211">
        <f t="shared" si="15"/>
        <v>244500</v>
      </c>
      <c r="F27" s="211">
        <f t="shared" si="15"/>
        <v>253600</v>
      </c>
      <c r="G27" s="211">
        <f t="shared" ref="G27:H28" si="16">+L27</f>
        <v>304600</v>
      </c>
      <c r="H27" s="212">
        <f t="shared" si="16"/>
        <v>483900</v>
      </c>
      <c r="I27" s="490">
        <f>+'B) Reajuste Tarifas y Ocupación'!M14</f>
        <v>181200</v>
      </c>
      <c r="J27" s="252">
        <f>+'B) Reajuste Tarifas y Ocupación'!N14</f>
        <v>244500</v>
      </c>
      <c r="K27" s="252">
        <f>+'B) Reajuste Tarifas y Ocupación'!O14</f>
        <v>253600</v>
      </c>
      <c r="L27" s="252">
        <f>+'B) Reajuste Tarifas y Ocupación'!P14</f>
        <v>304600</v>
      </c>
      <c r="M27" s="496">
        <f>+'B) Reajuste Tarifas y Ocupación'!Q14</f>
        <v>483900</v>
      </c>
      <c r="N27" s="499"/>
      <c r="O27" s="509"/>
      <c r="P27" s="518">
        <f>+'B) Reajuste Tarifas y Ocupación'!C14</f>
        <v>161700</v>
      </c>
      <c r="Q27" s="741"/>
    </row>
    <row r="28" spans="1:247" x14ac:dyDescent="0.2">
      <c r="A28" s="773"/>
      <c r="B28" s="776"/>
      <c r="C28" s="100" t="s">
        <v>7</v>
      </c>
      <c r="D28" s="219">
        <f t="shared" si="15"/>
        <v>62</v>
      </c>
      <c r="E28" s="215">
        <f t="shared" si="15"/>
        <v>1</v>
      </c>
      <c r="F28" s="215">
        <f t="shared" si="15"/>
        <v>2</v>
      </c>
      <c r="G28" s="215">
        <f t="shared" si="16"/>
        <v>0</v>
      </c>
      <c r="H28" s="216">
        <f t="shared" si="16"/>
        <v>0</v>
      </c>
      <c r="I28" s="487">
        <f>+'B) Reajuste Tarifas y Ocupación'!C25</f>
        <v>62</v>
      </c>
      <c r="J28" s="215">
        <f>+'B) Reajuste Tarifas y Ocupación'!D25</f>
        <v>1</v>
      </c>
      <c r="K28" s="215">
        <f>+'B) Reajuste Tarifas y Ocupación'!E25</f>
        <v>2</v>
      </c>
      <c r="L28" s="215">
        <f>+'B) Reajuste Tarifas y Ocupación'!F25</f>
        <v>0</v>
      </c>
      <c r="M28" s="256">
        <f>+'B) Reajuste Tarifas y Ocupación'!G25</f>
        <v>0</v>
      </c>
      <c r="N28" s="500"/>
      <c r="O28" s="510"/>
      <c r="P28" s="519">
        <v>20</v>
      </c>
      <c r="Q28" s="742"/>
    </row>
    <row r="29" spans="1:247" ht="13.5" thickBot="1" x14ac:dyDescent="0.25">
      <c r="A29" s="773"/>
      <c r="B29" s="777"/>
      <c r="C29" s="101" t="s">
        <v>9</v>
      </c>
      <c r="D29" s="250">
        <f t="shared" ref="D29:H29" si="17">D28*D27</f>
        <v>11234400</v>
      </c>
      <c r="E29" s="473">
        <f t="shared" si="17"/>
        <v>244500</v>
      </c>
      <c r="F29" s="473">
        <f t="shared" ref="F29" si="18">F28*F27</f>
        <v>507200</v>
      </c>
      <c r="G29" s="473">
        <f t="shared" si="17"/>
        <v>0</v>
      </c>
      <c r="H29" s="251">
        <f t="shared" si="17"/>
        <v>0</v>
      </c>
      <c r="I29" s="488">
        <f t="shared" ref="I29:M29" si="19">I28*I27*10</f>
        <v>112344000</v>
      </c>
      <c r="J29" s="473">
        <f t="shared" si="19"/>
        <v>2445000</v>
      </c>
      <c r="K29" s="473">
        <f t="shared" ref="K29" si="20">K28*K27*10</f>
        <v>5072000</v>
      </c>
      <c r="L29" s="473">
        <f t="shared" si="19"/>
        <v>0</v>
      </c>
      <c r="M29" s="474">
        <f t="shared" si="19"/>
        <v>0</v>
      </c>
      <c r="N29" s="502">
        <f>SUM(D29:H29)</f>
        <v>11986100</v>
      </c>
      <c r="O29" s="512">
        <f>SUM(I29:M29)</f>
        <v>119861000</v>
      </c>
      <c r="P29" s="521">
        <f>P28*P27</f>
        <v>3234000</v>
      </c>
      <c r="Q29" s="515">
        <f>N29+O29+P29</f>
        <v>135081100</v>
      </c>
    </row>
    <row r="30" spans="1:247" ht="15.75" thickBot="1" x14ac:dyDescent="0.25">
      <c r="A30" s="774"/>
      <c r="B30" s="771" t="s">
        <v>10</v>
      </c>
      <c r="C30" s="771"/>
      <c r="D30" s="479">
        <f>+D23+D26+D29</f>
        <v>11762600</v>
      </c>
      <c r="E30" s="480">
        <f t="shared" ref="E30:Q30" si="21">+E23+E26+E29</f>
        <v>454300</v>
      </c>
      <c r="F30" s="480">
        <f t="shared" si="21"/>
        <v>507200</v>
      </c>
      <c r="G30" s="480">
        <f t="shared" si="21"/>
        <v>0</v>
      </c>
      <c r="H30" s="481">
        <f t="shared" si="21"/>
        <v>0</v>
      </c>
      <c r="I30" s="484">
        <f t="shared" si="21"/>
        <v>117626000</v>
      </c>
      <c r="J30" s="480">
        <f t="shared" si="21"/>
        <v>4543000</v>
      </c>
      <c r="K30" s="480">
        <f t="shared" si="21"/>
        <v>5072000</v>
      </c>
      <c r="L30" s="480">
        <f t="shared" si="21"/>
        <v>0</v>
      </c>
      <c r="M30" s="483">
        <f t="shared" si="21"/>
        <v>0</v>
      </c>
      <c r="N30" s="479">
        <f t="shared" si="21"/>
        <v>12724100</v>
      </c>
      <c r="O30" s="483">
        <f t="shared" si="21"/>
        <v>127241000</v>
      </c>
      <c r="P30" s="254">
        <f t="shared" si="21"/>
        <v>3234000</v>
      </c>
      <c r="Q30" s="516">
        <f t="shared" si="21"/>
        <v>143199100</v>
      </c>
    </row>
    <row r="31" spans="1:247" ht="12.75" customHeight="1" x14ac:dyDescent="0.2">
      <c r="A31" s="780" t="str">
        <f>+'B) Reajuste Tarifas y Ocupación'!A15</f>
        <v>Sala Cuna Pequeños Héroes</v>
      </c>
      <c r="B31" s="768" t="str">
        <f>+'B) Reajuste Tarifas y Ocupación'!B15</f>
        <v>Diurna</v>
      </c>
      <c r="C31" s="324" t="s">
        <v>273</v>
      </c>
      <c r="D31" s="475"/>
      <c r="E31" s="476">
        <f t="shared" ref="E31:G32" si="22">+J31</f>
        <v>537000</v>
      </c>
      <c r="F31" s="476">
        <f t="shared" si="22"/>
        <v>556900</v>
      </c>
      <c r="G31" s="476">
        <f t="shared" si="22"/>
        <v>497200</v>
      </c>
      <c r="H31" s="478">
        <f>+M31</f>
        <v>596600</v>
      </c>
      <c r="I31" s="491">
        <f>+'B) Reajuste Tarifas y Ocupación'!M15</f>
        <v>397800</v>
      </c>
      <c r="J31" s="476">
        <f>+'B) Reajuste Tarifas y Ocupación'!N15</f>
        <v>537000</v>
      </c>
      <c r="K31" s="476">
        <f>+'B) Reajuste Tarifas y Ocupación'!O15</f>
        <v>556900</v>
      </c>
      <c r="L31" s="476">
        <f>+'B) Reajuste Tarifas y Ocupación'!P15</f>
        <v>497200</v>
      </c>
      <c r="M31" s="477">
        <f>+'B) Reajuste Tarifas y Ocupación'!Q15</f>
        <v>596600</v>
      </c>
      <c r="N31" s="503"/>
      <c r="O31" s="513"/>
      <c r="P31" s="522"/>
      <c r="Q31" s="784"/>
    </row>
    <row r="32" spans="1:247" ht="12.75" customHeight="1" x14ac:dyDescent="0.2">
      <c r="A32" s="781"/>
      <c r="B32" s="769"/>
      <c r="C32" s="213" t="s">
        <v>7</v>
      </c>
      <c r="D32" s="255"/>
      <c r="E32" s="215">
        <f t="shared" si="22"/>
        <v>0</v>
      </c>
      <c r="F32" s="215">
        <f t="shared" si="22"/>
        <v>0</v>
      </c>
      <c r="G32" s="215">
        <f t="shared" si="22"/>
        <v>0</v>
      </c>
      <c r="H32" s="216">
        <f t="shared" ref="H32" si="23">+M32</f>
        <v>0</v>
      </c>
      <c r="I32" s="487">
        <f>+'B) Reajuste Tarifas y Ocupación'!C26</f>
        <v>14</v>
      </c>
      <c r="J32" s="215">
        <f>+'B) Reajuste Tarifas y Ocupación'!D26</f>
        <v>0</v>
      </c>
      <c r="K32" s="215">
        <f>+'B) Reajuste Tarifas y Ocupación'!E26</f>
        <v>0</v>
      </c>
      <c r="L32" s="215">
        <f>+'B) Reajuste Tarifas y Ocupación'!F26</f>
        <v>0</v>
      </c>
      <c r="M32" s="256">
        <f>+'B) Reajuste Tarifas y Ocupación'!G26</f>
        <v>0</v>
      </c>
      <c r="N32" s="500"/>
      <c r="O32" s="510"/>
      <c r="P32" s="523"/>
      <c r="Q32" s="742"/>
    </row>
    <row r="33" spans="1:17" ht="13.5" customHeight="1" thickBot="1" x14ac:dyDescent="0.25">
      <c r="A33" s="781"/>
      <c r="B33" s="770"/>
      <c r="C33" s="217" t="s">
        <v>9</v>
      </c>
      <c r="D33" s="102">
        <f>D32*D31</f>
        <v>0</v>
      </c>
      <c r="E33" s="218">
        <f>E32*E31</f>
        <v>0</v>
      </c>
      <c r="F33" s="218">
        <f t="shared" ref="F33:H33" si="24">F32*F31</f>
        <v>0</v>
      </c>
      <c r="G33" s="218">
        <f t="shared" si="24"/>
        <v>0</v>
      </c>
      <c r="H33" s="103">
        <f t="shared" si="24"/>
        <v>0</v>
      </c>
      <c r="I33" s="488">
        <f>I32*I31*12</f>
        <v>66830400</v>
      </c>
      <c r="J33" s="473">
        <f t="shared" ref="J33:M33" si="25">J32*J31*12</f>
        <v>0</v>
      </c>
      <c r="K33" s="473">
        <f t="shared" si="25"/>
        <v>0</v>
      </c>
      <c r="L33" s="473">
        <f t="shared" si="25"/>
        <v>0</v>
      </c>
      <c r="M33" s="474">
        <f t="shared" si="25"/>
        <v>0</v>
      </c>
      <c r="N33" s="501">
        <f>SUM(D33:H33)</f>
        <v>0</v>
      </c>
      <c r="O33" s="511">
        <f>SUM(I33:M33)</f>
        <v>66830400</v>
      </c>
      <c r="P33" s="524"/>
      <c r="Q33" s="514">
        <f>N33+O33+P33</f>
        <v>66830400</v>
      </c>
    </row>
    <row r="34" spans="1:17" ht="12.75" customHeight="1" x14ac:dyDescent="0.2">
      <c r="A34" s="781"/>
      <c r="B34" s="775" t="str">
        <f>+'B) Reajuste Tarifas y Ocupación'!B16</f>
        <v>Nocturna</v>
      </c>
      <c r="C34" s="324" t="s">
        <v>273</v>
      </c>
      <c r="D34" s="255"/>
      <c r="E34" s="214"/>
      <c r="F34" s="214"/>
      <c r="G34" s="214"/>
      <c r="H34" s="495"/>
      <c r="I34" s="492"/>
      <c r="J34" s="210"/>
      <c r="K34" s="210"/>
      <c r="L34" s="210"/>
      <c r="M34" s="497"/>
      <c r="N34" s="499"/>
      <c r="O34" s="509"/>
      <c r="P34" s="525"/>
      <c r="Q34" s="741"/>
    </row>
    <row r="35" spans="1:17" ht="12.75" customHeight="1" x14ac:dyDescent="0.2">
      <c r="A35" s="781"/>
      <c r="B35" s="776"/>
      <c r="C35" s="100" t="s">
        <v>7</v>
      </c>
      <c r="D35" s="255"/>
      <c r="E35" s="321">
        <f t="shared" ref="E35" si="26">+J35</f>
        <v>0</v>
      </c>
      <c r="F35" s="321">
        <f t="shared" ref="F35" si="27">+K35</f>
        <v>0</v>
      </c>
      <c r="G35" s="321">
        <f t="shared" ref="G35" si="28">+L35</f>
        <v>0</v>
      </c>
      <c r="H35" s="323">
        <f t="shared" ref="H35" si="29">+M35</f>
        <v>0</v>
      </c>
      <c r="I35" s="493">
        <f>+'B) Reajuste Tarifas y Ocupación'!C27</f>
        <v>0</v>
      </c>
      <c r="J35" s="321">
        <f>+'B) Reajuste Tarifas y Ocupación'!D27</f>
        <v>0</v>
      </c>
      <c r="K35" s="321">
        <f>+'B) Reajuste Tarifas y Ocupación'!E27</f>
        <v>0</v>
      </c>
      <c r="L35" s="321">
        <f>+'B) Reajuste Tarifas y Ocupación'!F27</f>
        <v>0</v>
      </c>
      <c r="M35" s="322">
        <f>+'B) Reajuste Tarifas y Ocupación'!G27</f>
        <v>0</v>
      </c>
      <c r="N35" s="500"/>
      <c r="O35" s="510"/>
      <c r="P35" s="523"/>
      <c r="Q35" s="742"/>
    </row>
    <row r="36" spans="1:17" ht="13.5" customHeight="1" thickBot="1" x14ac:dyDescent="0.25">
      <c r="A36" s="781"/>
      <c r="B36" s="777"/>
      <c r="C36" s="101" t="s">
        <v>9</v>
      </c>
      <c r="D36" s="102">
        <f>D35*D34</f>
        <v>0</v>
      </c>
      <c r="E36" s="218">
        <f>E35*E34</f>
        <v>0</v>
      </c>
      <c r="F36" s="218">
        <f t="shared" ref="F36:G36" si="30">F35*F34</f>
        <v>0</v>
      </c>
      <c r="G36" s="218">
        <f t="shared" si="30"/>
        <v>0</v>
      </c>
      <c r="H36" s="103">
        <f>H35*H34</f>
        <v>0</v>
      </c>
      <c r="I36" s="488">
        <f>I35*I34*12</f>
        <v>0</v>
      </c>
      <c r="J36" s="473">
        <f t="shared" ref="J36" si="31">J35*J34*12</f>
        <v>0</v>
      </c>
      <c r="K36" s="473">
        <f t="shared" ref="K36" si="32">K35*K34*12</f>
        <v>0</v>
      </c>
      <c r="L36" s="473">
        <f t="shared" ref="L36" si="33">L35*L34*12</f>
        <v>0</v>
      </c>
      <c r="M36" s="474">
        <f t="shared" ref="M36" si="34">M35*M34*12</f>
        <v>0</v>
      </c>
      <c r="N36" s="501">
        <f>SUM(D36:H36)</f>
        <v>0</v>
      </c>
      <c r="O36" s="511">
        <f>SUM(I36:M36)</f>
        <v>0</v>
      </c>
      <c r="P36" s="524"/>
      <c r="Q36" s="514">
        <f>N36+O36+P36</f>
        <v>0</v>
      </c>
    </row>
    <row r="37" spans="1:17" ht="12.75" customHeight="1" x14ac:dyDescent="0.2">
      <c r="A37" s="781"/>
      <c r="B37" s="775" t="str">
        <f>+'B) Reajuste Tarifas y Ocupación'!B17</f>
        <v>Media Jornada</v>
      </c>
      <c r="C37" s="324" t="s">
        <v>273</v>
      </c>
      <c r="D37" s="255"/>
      <c r="E37" s="211">
        <f t="shared" ref="E37:E38" si="35">+J37</f>
        <v>322600</v>
      </c>
      <c r="F37" s="211">
        <f t="shared" ref="F37:F38" si="36">+K37</f>
        <v>334500</v>
      </c>
      <c r="G37" s="211">
        <f t="shared" ref="G37:G38" si="37">+L37</f>
        <v>358100</v>
      </c>
      <c r="H37" s="212">
        <f>+M37</f>
        <v>477400</v>
      </c>
      <c r="I37" s="494">
        <f>+'B) Reajuste Tarifas y Ocupación'!M17</f>
        <v>238900</v>
      </c>
      <c r="J37" s="258">
        <f>+'B) Reajuste Tarifas y Ocupación'!N17</f>
        <v>322600</v>
      </c>
      <c r="K37" s="258">
        <f>+'B) Reajuste Tarifas y Ocupación'!O17</f>
        <v>334500</v>
      </c>
      <c r="L37" s="258">
        <f>+'B) Reajuste Tarifas y Ocupación'!P17</f>
        <v>358100</v>
      </c>
      <c r="M37" s="498">
        <f>+'B) Reajuste Tarifas y Ocupación'!Q17</f>
        <v>477400</v>
      </c>
      <c r="N37" s="499"/>
      <c r="O37" s="509"/>
      <c r="P37" s="525"/>
      <c r="Q37" s="741"/>
    </row>
    <row r="38" spans="1:17" ht="12.75" customHeight="1" x14ac:dyDescent="0.2">
      <c r="A38" s="781"/>
      <c r="B38" s="776"/>
      <c r="C38" s="100" t="s">
        <v>7</v>
      </c>
      <c r="D38" s="255"/>
      <c r="E38" s="215">
        <f t="shared" si="35"/>
        <v>0</v>
      </c>
      <c r="F38" s="215">
        <f t="shared" si="36"/>
        <v>0</v>
      </c>
      <c r="G38" s="215">
        <f t="shared" si="37"/>
        <v>0</v>
      </c>
      <c r="H38" s="216">
        <f t="shared" ref="H38" si="38">+M38</f>
        <v>0</v>
      </c>
      <c r="I38" s="487">
        <f>+'B) Reajuste Tarifas y Ocupación'!C28</f>
        <v>0</v>
      </c>
      <c r="J38" s="215">
        <f>+'B) Reajuste Tarifas y Ocupación'!D28</f>
        <v>0</v>
      </c>
      <c r="K38" s="215">
        <f>+'B) Reajuste Tarifas y Ocupación'!E28</f>
        <v>0</v>
      </c>
      <c r="L38" s="215">
        <f>+'B) Reajuste Tarifas y Ocupación'!F28</f>
        <v>0</v>
      </c>
      <c r="M38" s="256">
        <f>+'B) Reajuste Tarifas y Ocupación'!G28</f>
        <v>0</v>
      </c>
      <c r="N38" s="500"/>
      <c r="O38" s="510"/>
      <c r="P38" s="523"/>
      <c r="Q38" s="742"/>
    </row>
    <row r="39" spans="1:17" ht="13.5" customHeight="1" thickBot="1" x14ac:dyDescent="0.25">
      <c r="A39" s="781"/>
      <c r="B39" s="777"/>
      <c r="C39" s="101" t="s">
        <v>9</v>
      </c>
      <c r="D39" s="250">
        <f>D38*D37</f>
        <v>0</v>
      </c>
      <c r="E39" s="473">
        <f>E38*E37</f>
        <v>0</v>
      </c>
      <c r="F39" s="473">
        <f t="shared" ref="F39:H39" si="39">F38*F37</f>
        <v>0</v>
      </c>
      <c r="G39" s="473">
        <f t="shared" si="39"/>
        <v>0</v>
      </c>
      <c r="H39" s="251">
        <f t="shared" si="39"/>
        <v>0</v>
      </c>
      <c r="I39" s="488">
        <f>I38*I37*12</f>
        <v>0</v>
      </c>
      <c r="J39" s="473">
        <f t="shared" ref="J39" si="40">J38*J37*12</f>
        <v>0</v>
      </c>
      <c r="K39" s="473">
        <f t="shared" ref="K39" si="41">K38*K37*12</f>
        <v>0</v>
      </c>
      <c r="L39" s="473">
        <f t="shared" ref="L39" si="42">L38*L37*12</f>
        <v>0</v>
      </c>
      <c r="M39" s="474">
        <f t="shared" ref="M39" si="43">M38*M37*12</f>
        <v>0</v>
      </c>
      <c r="N39" s="502">
        <f>SUM(D39:H39)</f>
        <v>0</v>
      </c>
      <c r="O39" s="512">
        <f>SUM(I39:M39)</f>
        <v>0</v>
      </c>
      <c r="P39" s="526"/>
      <c r="Q39" s="515">
        <f>N39+O39+P39</f>
        <v>0</v>
      </c>
    </row>
    <row r="40" spans="1:17" ht="15.75" customHeight="1" thickBot="1" x14ac:dyDescent="0.25">
      <c r="A40" s="782"/>
      <c r="B40" s="783" t="s">
        <v>10</v>
      </c>
      <c r="C40" s="783"/>
      <c r="D40" s="479">
        <f>+D33+D39+D36</f>
        <v>0</v>
      </c>
      <c r="E40" s="480">
        <f t="shared" ref="E40:P40" si="44">+E33+E39+E36</f>
        <v>0</v>
      </c>
      <c r="F40" s="480">
        <f>+F33+F39+F36</f>
        <v>0</v>
      </c>
      <c r="G40" s="480">
        <f t="shared" si="44"/>
        <v>0</v>
      </c>
      <c r="H40" s="481">
        <f t="shared" si="44"/>
        <v>0</v>
      </c>
      <c r="I40" s="484">
        <f>+I33+I39+I36</f>
        <v>66830400</v>
      </c>
      <c r="J40" s="480">
        <f>+J33+J39+J36</f>
        <v>0</v>
      </c>
      <c r="K40" s="480">
        <f t="shared" si="44"/>
        <v>0</v>
      </c>
      <c r="L40" s="480">
        <f t="shared" si="44"/>
        <v>0</v>
      </c>
      <c r="M40" s="483">
        <f>+M33+M39+M36</f>
        <v>0</v>
      </c>
      <c r="N40" s="479">
        <f t="shared" si="44"/>
        <v>0</v>
      </c>
      <c r="O40" s="483">
        <f t="shared" si="44"/>
        <v>66830400</v>
      </c>
      <c r="P40" s="254">
        <f t="shared" si="44"/>
        <v>0</v>
      </c>
      <c r="Q40" s="516">
        <f>+Q33+Q39+Q36</f>
        <v>66830400</v>
      </c>
    </row>
    <row r="41" spans="1:17" ht="15" customHeight="1" thickBot="1" x14ac:dyDescent="0.25">
      <c r="A41" s="778" t="s">
        <v>8</v>
      </c>
      <c r="B41" s="779"/>
      <c r="C41" s="779"/>
      <c r="D41" s="504">
        <f>+D30+D40</f>
        <v>11762600</v>
      </c>
      <c r="E41" s="505">
        <f t="shared" ref="E41:P41" si="45">+E30+E40</f>
        <v>454300</v>
      </c>
      <c r="F41" s="505">
        <f t="shared" si="45"/>
        <v>507200</v>
      </c>
      <c r="G41" s="505">
        <f t="shared" si="45"/>
        <v>0</v>
      </c>
      <c r="H41" s="506">
        <f t="shared" si="45"/>
        <v>0</v>
      </c>
      <c r="I41" s="507">
        <f t="shared" si="45"/>
        <v>184456400</v>
      </c>
      <c r="J41" s="505">
        <f t="shared" si="45"/>
        <v>4543000</v>
      </c>
      <c r="K41" s="505">
        <f t="shared" si="45"/>
        <v>5072000</v>
      </c>
      <c r="L41" s="505">
        <f t="shared" si="45"/>
        <v>0</v>
      </c>
      <c r="M41" s="508">
        <f t="shared" si="45"/>
        <v>0</v>
      </c>
      <c r="N41" s="504">
        <f t="shared" si="45"/>
        <v>12724100</v>
      </c>
      <c r="O41" s="508">
        <f>+O30+O40</f>
        <v>194071400</v>
      </c>
      <c r="P41" s="527">
        <f t="shared" si="45"/>
        <v>3234000</v>
      </c>
      <c r="Q41" s="517">
        <f>+Q30+Q40</f>
        <v>210029500</v>
      </c>
    </row>
  </sheetData>
  <mergeCells count="30">
    <mergeCell ref="Q31:Q32"/>
    <mergeCell ref="B34:B36"/>
    <mergeCell ref="Q34:Q35"/>
    <mergeCell ref="B37:B39"/>
    <mergeCell ref="Q37:Q38"/>
    <mergeCell ref="B24:B26"/>
    <mergeCell ref="B30:C30"/>
    <mergeCell ref="A21:A30"/>
    <mergeCell ref="B21:B23"/>
    <mergeCell ref="A41:C41"/>
    <mergeCell ref="B27:B29"/>
    <mergeCell ref="A31:A40"/>
    <mergeCell ref="B31:B33"/>
    <mergeCell ref="B40:C40"/>
    <mergeCell ref="Q27:Q28"/>
    <mergeCell ref="C4:D4"/>
    <mergeCell ref="E4:G4"/>
    <mergeCell ref="C19:C20"/>
    <mergeCell ref="D19:H19"/>
    <mergeCell ref="I19:M19"/>
    <mergeCell ref="Q24:Q25"/>
    <mergeCell ref="P19:P20"/>
    <mergeCell ref="N19:N20"/>
    <mergeCell ref="O19:O20"/>
    <mergeCell ref="Q19:Q20"/>
    <mergeCell ref="Q21:Q22"/>
    <mergeCell ref="A6:D6"/>
    <mergeCell ref="A17:D17"/>
    <mergeCell ref="A19:A20"/>
    <mergeCell ref="B19:B20"/>
  </mergeCells>
  <phoneticPr fontId="33" type="noConversion"/>
  <conditionalFormatting sqref="C13:N13 E17:N17 B9:I9 B12:I12 B10:C11 E10:I11 D14:N16">
    <cfRule type="cellIs" dxfId="7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2:H22 D21:H21 J21 D27:Q27 I23:Q23 J22:O22 L21:Q21 Q22 D29:Q29 D28:O28 Q28" unlockedFormula="1"/>
    <ignoredError sqref="F23:H23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8"/>
  <sheetViews>
    <sheetView showGridLines="0" tabSelected="1" zoomScale="80" zoomScaleNormal="80" workbookViewId="0">
      <selection activeCell="K24" sqref="K24"/>
    </sheetView>
  </sheetViews>
  <sheetFormatPr baseColWidth="10" defaultColWidth="11.42578125" defaultRowHeight="12.75" x14ac:dyDescent="0.2"/>
  <cols>
    <col min="1" max="1" width="56.5703125" customWidth="1"/>
    <col min="2" max="2" width="33.85546875" customWidth="1"/>
    <col min="3" max="3" width="12.28515625" customWidth="1"/>
    <col min="4" max="4" width="13.7109375" bestFit="1" customWidth="1"/>
    <col min="5" max="5" width="15.5703125" bestFit="1" customWidth="1"/>
    <col min="6" max="6" width="14.5703125" customWidth="1"/>
    <col min="7" max="7" width="14.85546875" customWidth="1"/>
    <col min="8" max="8" width="11.85546875" bestFit="1" customWidth="1"/>
    <col min="9" max="9" width="14.5703125" bestFit="1" customWidth="1"/>
    <col min="10" max="10" width="14.5703125" customWidth="1"/>
    <col min="11" max="12" width="11.85546875" customWidth="1"/>
    <col min="13" max="13" width="14" customWidth="1"/>
    <col min="14" max="15" width="14.5703125" customWidth="1"/>
    <col min="16" max="18" width="11.85546875" customWidth="1"/>
    <col min="19" max="19" width="32.7109375" customWidth="1"/>
    <col min="20" max="20" width="33" bestFit="1" customWidth="1"/>
    <col min="21" max="21" width="13.85546875" customWidth="1"/>
    <col min="22" max="22" width="14.5703125" bestFit="1" customWidth="1"/>
    <col min="23" max="23" width="14.5703125" customWidth="1"/>
    <col min="24" max="24" width="12.85546875" bestFit="1" customWidth="1"/>
  </cols>
  <sheetData>
    <row r="1" spans="1:256" s="4" customFormat="1" x14ac:dyDescent="0.2">
      <c r="A1" s="3"/>
      <c r="F1" s="29" t="s">
        <v>202</v>
      </c>
      <c r="S1" s="3"/>
      <c r="IU1" s="2"/>
      <c r="IV1" s="2"/>
    </row>
    <row r="2" spans="1:256" s="4" customFormat="1" x14ac:dyDescent="0.2">
      <c r="A2" s="5"/>
      <c r="F2" s="29" t="s">
        <v>195</v>
      </c>
      <c r="S2" s="5"/>
      <c r="IU2" s="2"/>
      <c r="IV2" s="2"/>
    </row>
    <row r="3" spans="1:256" s="4" customFormat="1" x14ac:dyDescent="0.2">
      <c r="A3" s="2"/>
      <c r="S3" s="2"/>
      <c r="IU3" s="2"/>
      <c r="IV3" s="2"/>
    </row>
    <row r="4" spans="1:256" s="4" customFormat="1" ht="13.5" thickBot="1" x14ac:dyDescent="0.25">
      <c r="A4" s="2"/>
      <c r="B4" s="16"/>
      <c r="S4" s="2"/>
      <c r="T4" s="16"/>
      <c r="IL4" s="2"/>
      <c r="IM4" s="2"/>
      <c r="IN4" s="2"/>
      <c r="IO4" s="2"/>
      <c r="IP4" s="2"/>
      <c r="IQ4" s="2"/>
    </row>
    <row r="5" spans="1:256" s="4" customFormat="1" ht="18" customHeight="1" thickBot="1" x14ac:dyDescent="0.25">
      <c r="A5" s="2"/>
      <c r="B5" s="16"/>
      <c r="C5" s="743" t="s">
        <v>0</v>
      </c>
      <c r="D5" s="794"/>
      <c r="E5" s="6"/>
      <c r="F5" s="804" t="s">
        <v>122</v>
      </c>
      <c r="G5" s="805"/>
      <c r="S5" s="2"/>
      <c r="T5" s="16"/>
      <c r="V5" s="1"/>
      <c r="W5" s="1"/>
      <c r="IL5" s="2"/>
      <c r="IM5" s="2"/>
      <c r="IN5" s="2"/>
      <c r="IO5" s="2"/>
      <c r="IP5" s="2"/>
      <c r="IQ5" s="2"/>
    </row>
    <row r="6" spans="1:256" s="4" customFormat="1" ht="18" customHeight="1" x14ac:dyDescent="0.2">
      <c r="A6" s="2"/>
      <c r="B6" s="16"/>
      <c r="C6" s="6"/>
      <c r="D6" s="6"/>
      <c r="E6" s="6"/>
      <c r="F6" s="29"/>
      <c r="G6" s="29"/>
      <c r="S6" s="2"/>
      <c r="T6" s="16"/>
      <c r="V6" s="1"/>
      <c r="W6" s="1"/>
      <c r="IL6" s="2"/>
      <c r="IM6" s="2"/>
      <c r="IN6" s="2"/>
      <c r="IO6" s="2"/>
      <c r="IP6" s="2"/>
      <c r="IQ6" s="2"/>
    </row>
    <row r="7" spans="1:256" s="4" customFormat="1" ht="18" customHeight="1" x14ac:dyDescent="0.2">
      <c r="A7" s="2"/>
      <c r="B7" s="16"/>
      <c r="C7" s="6"/>
      <c r="D7" s="6"/>
      <c r="E7" s="6"/>
      <c r="F7" s="29"/>
      <c r="G7" s="29"/>
      <c r="S7" s="2"/>
      <c r="T7" s="16"/>
      <c r="V7" s="34"/>
      <c r="W7" s="34"/>
      <c r="IL7" s="2"/>
      <c r="IM7" s="2"/>
      <c r="IN7" s="2"/>
      <c r="IO7" s="2"/>
      <c r="IP7" s="2"/>
      <c r="IQ7" s="2"/>
    </row>
    <row r="8" spans="1:256" s="4" customFormat="1" ht="15.75" x14ac:dyDescent="0.2">
      <c r="A8" s="788" t="s">
        <v>149</v>
      </c>
      <c r="B8" s="788"/>
      <c r="C8" s="788"/>
      <c r="D8" s="788"/>
      <c r="E8" s="55"/>
      <c r="F8" s="29"/>
      <c r="G8" s="29"/>
      <c r="IL8" s="2"/>
      <c r="IM8" s="2"/>
      <c r="IN8" s="2"/>
      <c r="IO8" s="2"/>
      <c r="IP8" s="2"/>
      <c r="IQ8" s="2"/>
    </row>
    <row r="9" spans="1:256" ht="13.5" customHeight="1" thickBot="1" x14ac:dyDescent="0.25"/>
    <row r="10" spans="1:256" ht="15.75" customHeight="1" x14ac:dyDescent="0.2">
      <c r="A10" s="811" t="s">
        <v>134</v>
      </c>
      <c r="B10" s="809" t="s">
        <v>5</v>
      </c>
      <c r="C10" s="785" t="s">
        <v>260</v>
      </c>
      <c r="D10" s="786"/>
      <c r="E10" s="786"/>
      <c r="F10" s="786"/>
      <c r="G10" s="787"/>
      <c r="H10" s="789" t="s">
        <v>107</v>
      </c>
      <c r="I10" s="790"/>
      <c r="J10" s="790"/>
      <c r="K10" s="790"/>
      <c r="L10" s="789"/>
      <c r="M10" s="785" t="s">
        <v>266</v>
      </c>
      <c r="N10" s="786"/>
      <c r="O10" s="786"/>
      <c r="P10" s="786"/>
      <c r="Q10" s="787"/>
      <c r="R10" s="12"/>
    </row>
    <row r="11" spans="1:256" ht="64.5" thickBot="1" x14ac:dyDescent="0.25">
      <c r="A11" s="812"/>
      <c r="B11" s="810"/>
      <c r="C11" s="247" t="s">
        <v>85</v>
      </c>
      <c r="D11" s="248" t="s">
        <v>137</v>
      </c>
      <c r="E11" s="248" t="s">
        <v>138</v>
      </c>
      <c r="F11" s="248" t="s">
        <v>86</v>
      </c>
      <c r="G11" s="249" t="s">
        <v>87</v>
      </c>
      <c r="H11" s="378" t="s">
        <v>85</v>
      </c>
      <c r="I11" s="306" t="s">
        <v>137</v>
      </c>
      <c r="J11" s="306" t="s">
        <v>138</v>
      </c>
      <c r="K11" s="307" t="s">
        <v>86</v>
      </c>
      <c r="L11" s="388" t="s">
        <v>87</v>
      </c>
      <c r="M11" s="247" t="s">
        <v>85</v>
      </c>
      <c r="N11" s="248" t="s">
        <v>137</v>
      </c>
      <c r="O11" s="248" t="s">
        <v>138</v>
      </c>
      <c r="P11" s="248" t="s">
        <v>86</v>
      </c>
      <c r="Q11" s="249" t="s">
        <v>87</v>
      </c>
      <c r="R11" s="12"/>
    </row>
    <row r="12" spans="1:256" ht="13.5" customHeight="1" x14ac:dyDescent="0.2">
      <c r="A12" s="791" t="s">
        <v>226</v>
      </c>
      <c r="B12" s="374" t="s">
        <v>126</v>
      </c>
      <c r="C12" s="382">
        <v>97000</v>
      </c>
      <c r="D12" s="208">
        <v>131000</v>
      </c>
      <c r="E12" s="208">
        <v>135800</v>
      </c>
      <c r="F12" s="208">
        <v>166300</v>
      </c>
      <c r="G12" s="383">
        <v>244300</v>
      </c>
      <c r="H12" s="379">
        <v>0.12</v>
      </c>
      <c r="I12" s="309">
        <f>+H12</f>
        <v>0.12</v>
      </c>
      <c r="J12" s="309">
        <f>+H12</f>
        <v>0.12</v>
      </c>
      <c r="K12" s="309">
        <f>+H12</f>
        <v>0.12</v>
      </c>
      <c r="L12" s="389">
        <f>+H12</f>
        <v>0.12</v>
      </c>
      <c r="M12" s="347">
        <f>CEILING(C12*(1+H12),100)</f>
        <v>108700</v>
      </c>
      <c r="N12" s="348">
        <f>+CEILING(C12*(1.35)*(1+I12),100)</f>
        <v>146700</v>
      </c>
      <c r="O12" s="348">
        <f>+CEILING(C12*(1.4)*(1+J12),100)</f>
        <v>152100</v>
      </c>
      <c r="P12" s="348">
        <f>+CEILING(F12*(1+K12),100)</f>
        <v>186300</v>
      </c>
      <c r="Q12" s="349">
        <f>+CEILING(G12*(1+L12),100)</f>
        <v>273700</v>
      </c>
      <c r="R12" s="43"/>
    </row>
    <row r="13" spans="1:256" ht="13.5" customHeight="1" x14ac:dyDescent="0.2">
      <c r="A13" s="792"/>
      <c r="B13" s="375" t="s">
        <v>208</v>
      </c>
      <c r="C13" s="384">
        <v>138700</v>
      </c>
      <c r="D13" s="209">
        <v>187200</v>
      </c>
      <c r="E13" s="209">
        <v>194200</v>
      </c>
      <c r="F13" s="209">
        <v>226000</v>
      </c>
      <c r="G13" s="385">
        <v>352400</v>
      </c>
      <c r="H13" s="380">
        <v>0.12</v>
      </c>
      <c r="I13" s="310">
        <f>+H13</f>
        <v>0.12</v>
      </c>
      <c r="J13" s="310">
        <f>+H13</f>
        <v>0.12</v>
      </c>
      <c r="K13" s="310">
        <f>+H13</f>
        <v>0.12</v>
      </c>
      <c r="L13" s="390">
        <f>+H13</f>
        <v>0.12</v>
      </c>
      <c r="M13" s="350">
        <f>CEILING(C13*(1+H13),100)</f>
        <v>155400</v>
      </c>
      <c r="N13" s="351">
        <f t="shared" ref="N13:N15" si="0">+CEILING(C13*(1.35)*(1+I13),100)</f>
        <v>209800</v>
      </c>
      <c r="O13" s="351">
        <f t="shared" ref="O13:O15" si="1">+CEILING(C13*(1.4)*(1+J13),100)</f>
        <v>217500</v>
      </c>
      <c r="P13" s="351">
        <f>+CEILING(F13*(1+K13),100)</f>
        <v>253200</v>
      </c>
      <c r="Q13" s="352">
        <f>+CEILING(G13*(1+L13),100)</f>
        <v>394700</v>
      </c>
      <c r="R13" s="43"/>
    </row>
    <row r="14" spans="1:256" ht="13.5" customHeight="1" thickBot="1" x14ac:dyDescent="0.25">
      <c r="A14" s="793"/>
      <c r="B14" s="376" t="s">
        <v>209</v>
      </c>
      <c r="C14" s="386">
        <v>161700</v>
      </c>
      <c r="D14" s="373">
        <v>218200</v>
      </c>
      <c r="E14" s="373">
        <v>226300</v>
      </c>
      <c r="F14" s="373">
        <v>271900</v>
      </c>
      <c r="G14" s="387">
        <v>432000</v>
      </c>
      <c r="H14" s="381">
        <v>0.12</v>
      </c>
      <c r="I14" s="311">
        <f t="shared" ref="I14" si="2">+H14</f>
        <v>0.12</v>
      </c>
      <c r="J14" s="311">
        <f t="shared" ref="J14" si="3">+H14</f>
        <v>0.12</v>
      </c>
      <c r="K14" s="311">
        <f t="shared" ref="K14" si="4">+H14</f>
        <v>0.12</v>
      </c>
      <c r="L14" s="391">
        <f t="shared" ref="L14" si="5">+H14</f>
        <v>0.12</v>
      </c>
      <c r="M14" s="353">
        <f t="shared" ref="M14:M15" si="6">CEILING(C14*(1+H14),100)</f>
        <v>181200</v>
      </c>
      <c r="N14" s="354">
        <f t="shared" si="0"/>
        <v>244500</v>
      </c>
      <c r="O14" s="354">
        <f t="shared" si="1"/>
        <v>253600</v>
      </c>
      <c r="P14" s="354">
        <f t="shared" ref="P14:Q15" si="7">+CEILING(F14*(1+K14),100)</f>
        <v>304600</v>
      </c>
      <c r="Q14" s="355">
        <f t="shared" si="7"/>
        <v>483900</v>
      </c>
    </row>
    <row r="15" spans="1:256" ht="12.75" customHeight="1" x14ac:dyDescent="0.2">
      <c r="A15" s="791" t="s">
        <v>227</v>
      </c>
      <c r="B15" s="374" t="s">
        <v>223</v>
      </c>
      <c r="C15" s="382">
        <v>368300</v>
      </c>
      <c r="D15" s="208">
        <v>497200</v>
      </c>
      <c r="E15" s="208">
        <v>515600</v>
      </c>
      <c r="F15" s="208">
        <v>460300</v>
      </c>
      <c r="G15" s="383">
        <v>552400</v>
      </c>
      <c r="H15" s="379">
        <v>0.08</v>
      </c>
      <c r="I15" s="309">
        <f t="shared" ref="I15" si="8">+H15</f>
        <v>0.08</v>
      </c>
      <c r="J15" s="309">
        <f t="shared" ref="J15" si="9">+H15</f>
        <v>0.08</v>
      </c>
      <c r="K15" s="309">
        <f t="shared" ref="K15" si="10">+H15</f>
        <v>0.08</v>
      </c>
      <c r="L15" s="389">
        <f t="shared" ref="L15" si="11">+H15</f>
        <v>0.08</v>
      </c>
      <c r="M15" s="347">
        <f t="shared" si="6"/>
        <v>397800</v>
      </c>
      <c r="N15" s="348">
        <f t="shared" si="0"/>
        <v>537000</v>
      </c>
      <c r="O15" s="348">
        <f t="shared" si="1"/>
        <v>556900</v>
      </c>
      <c r="P15" s="348">
        <f t="shared" si="7"/>
        <v>497200</v>
      </c>
      <c r="Q15" s="349">
        <f t="shared" si="7"/>
        <v>596600</v>
      </c>
    </row>
    <row r="16" spans="1:256" x14ac:dyDescent="0.2">
      <c r="A16" s="817"/>
      <c r="B16" s="377" t="s">
        <v>222</v>
      </c>
      <c r="C16" s="536"/>
      <c r="D16" s="537"/>
      <c r="E16" s="537"/>
      <c r="F16" s="537"/>
      <c r="G16" s="538"/>
      <c r="H16" s="818"/>
      <c r="I16" s="819"/>
      <c r="J16" s="819"/>
      <c r="K16" s="819"/>
      <c r="L16" s="820"/>
      <c r="M16" s="795"/>
      <c r="N16" s="796"/>
      <c r="O16" s="796"/>
      <c r="P16" s="796"/>
      <c r="Q16" s="797"/>
    </row>
    <row r="17" spans="1:17" ht="13.5" thickBot="1" x14ac:dyDescent="0.25">
      <c r="A17" s="793"/>
      <c r="B17" s="376" t="s">
        <v>221</v>
      </c>
      <c r="C17" s="528">
        <v>221200</v>
      </c>
      <c r="D17" s="529">
        <v>298600</v>
      </c>
      <c r="E17" s="529">
        <v>309600</v>
      </c>
      <c r="F17" s="529">
        <v>331500</v>
      </c>
      <c r="G17" s="530">
        <v>442000</v>
      </c>
      <c r="H17" s="381">
        <v>0.08</v>
      </c>
      <c r="I17" s="311">
        <f t="shared" ref="I17" si="12">+H17</f>
        <v>0.08</v>
      </c>
      <c r="J17" s="311">
        <f t="shared" ref="J17" si="13">+H17</f>
        <v>0.08</v>
      </c>
      <c r="K17" s="311">
        <f t="shared" ref="K17" si="14">+H17</f>
        <v>0.08</v>
      </c>
      <c r="L17" s="391">
        <f t="shared" ref="L17" si="15">+H17</f>
        <v>0.08</v>
      </c>
      <c r="M17" s="353">
        <f t="shared" ref="M17" si="16">CEILING(C17*(1+H17),100)</f>
        <v>238900</v>
      </c>
      <c r="N17" s="354">
        <f>+CEILING(C17*(1.35)*(1+I17),100)</f>
        <v>322600</v>
      </c>
      <c r="O17" s="354">
        <f>+CEILING(C17*(1.4)*(1+J17),100)</f>
        <v>334500</v>
      </c>
      <c r="P17" s="354">
        <f t="shared" ref="P17" si="17">+CEILING(F17*(1+K17),100)</f>
        <v>358100</v>
      </c>
      <c r="Q17" s="355">
        <f>+CEILING(G17*(1+L17),100)</f>
        <v>477400</v>
      </c>
    </row>
    <row r="18" spans="1:17" x14ac:dyDescent="0.2">
      <c r="D18" s="64"/>
      <c r="G18" s="356"/>
    </row>
    <row r="19" spans="1:17" ht="15.75" x14ac:dyDescent="0.2">
      <c r="A19" s="788" t="s">
        <v>150</v>
      </c>
      <c r="B19" s="788"/>
      <c r="C19" s="788"/>
      <c r="D19" s="788"/>
      <c r="E19" s="788"/>
      <c r="F19" s="788"/>
      <c r="G19" s="4"/>
      <c r="H19" s="4"/>
    </row>
    <row r="20" spans="1:17" ht="13.5" thickBot="1" x14ac:dyDescent="0.25"/>
    <row r="21" spans="1:17" ht="16.5" thickBot="1" x14ac:dyDescent="0.25">
      <c r="A21" s="815" t="s">
        <v>134</v>
      </c>
      <c r="B21" s="813" t="s">
        <v>5</v>
      </c>
      <c r="C21" s="806" t="s">
        <v>265</v>
      </c>
      <c r="D21" s="807"/>
      <c r="E21" s="807"/>
      <c r="F21" s="807"/>
      <c r="G21" s="807"/>
      <c r="H21" s="808"/>
    </row>
    <row r="22" spans="1:17" ht="79.5" customHeight="1" thickBot="1" x14ac:dyDescent="0.25">
      <c r="A22" s="816"/>
      <c r="B22" s="814"/>
      <c r="C22" s="50" t="s">
        <v>85</v>
      </c>
      <c r="D22" s="51" t="s">
        <v>137</v>
      </c>
      <c r="E22" s="51" t="s">
        <v>138</v>
      </c>
      <c r="F22" s="51" t="s">
        <v>86</v>
      </c>
      <c r="G22" s="394" t="s">
        <v>87</v>
      </c>
      <c r="H22" s="400" t="s">
        <v>133</v>
      </c>
    </row>
    <row r="23" spans="1:17" ht="20.100000000000001" customHeight="1" x14ac:dyDescent="0.2">
      <c r="A23" s="801" t="str">
        <f>+A12</f>
        <v>Jardín Infantil Pequeños Héroes</v>
      </c>
      <c r="B23" s="125" t="str">
        <f>+B12</f>
        <v>Media jornada</v>
      </c>
      <c r="C23" s="546">
        <v>2</v>
      </c>
      <c r="D23" s="547"/>
      <c r="E23" s="547">
        <v>0</v>
      </c>
      <c r="F23" s="547"/>
      <c r="G23" s="548"/>
      <c r="H23" s="401">
        <f t="shared" ref="H23:H28" si="18">SUM(C23:G23)</f>
        <v>2</v>
      </c>
    </row>
    <row r="24" spans="1:17" ht="20.100000000000001" customHeight="1" thickBot="1" x14ac:dyDescent="0.25">
      <c r="A24" s="802"/>
      <c r="B24" s="126" t="str">
        <f t="shared" ref="B24:B28" si="19">+B13</f>
        <v>Media jornada Extendida</v>
      </c>
      <c r="C24" s="123">
        <v>2</v>
      </c>
      <c r="D24" s="99">
        <v>1</v>
      </c>
      <c r="E24" s="99"/>
      <c r="F24" s="99"/>
      <c r="G24" s="396"/>
      <c r="H24" s="402">
        <f t="shared" si="18"/>
        <v>3</v>
      </c>
    </row>
    <row r="25" spans="1:17" ht="20.100000000000001" customHeight="1" thickBot="1" x14ac:dyDescent="0.25">
      <c r="A25" s="803"/>
      <c r="B25" s="190" t="str">
        <f t="shared" si="19"/>
        <v>Jornada Completa</v>
      </c>
      <c r="C25" s="549">
        <v>62</v>
      </c>
      <c r="D25" s="550">
        <v>1</v>
      </c>
      <c r="E25" s="550">
        <v>2</v>
      </c>
      <c r="F25" s="550"/>
      <c r="G25" s="397"/>
      <c r="H25" s="403">
        <f t="shared" si="18"/>
        <v>65</v>
      </c>
      <c r="I25" s="399">
        <f>SUM(H23:H25)</f>
        <v>70</v>
      </c>
    </row>
    <row r="26" spans="1:17" ht="19.5" customHeight="1" x14ac:dyDescent="0.2">
      <c r="A26" s="798" t="str">
        <f>+A15</f>
        <v>Sala Cuna Pequeños Héroes</v>
      </c>
      <c r="B26" s="125" t="str">
        <f t="shared" si="19"/>
        <v>Diurna</v>
      </c>
      <c r="C26" s="122">
        <v>14</v>
      </c>
      <c r="D26" s="62"/>
      <c r="E26" s="62"/>
      <c r="F26" s="62"/>
      <c r="G26" s="395"/>
      <c r="H26" s="401">
        <f t="shared" si="18"/>
        <v>14</v>
      </c>
    </row>
    <row r="27" spans="1:17" ht="19.5" customHeight="1" thickBot="1" x14ac:dyDescent="0.25">
      <c r="A27" s="799"/>
      <c r="B27" s="126" t="str">
        <f t="shared" si="19"/>
        <v>Nocturna</v>
      </c>
      <c r="C27" s="392"/>
      <c r="D27" s="393"/>
      <c r="E27" s="393"/>
      <c r="F27" s="393"/>
      <c r="G27" s="398"/>
      <c r="H27" s="404">
        <f t="shared" si="18"/>
        <v>0</v>
      </c>
    </row>
    <row r="28" spans="1:17" ht="19.5" customHeight="1" thickBot="1" x14ac:dyDescent="0.25">
      <c r="A28" s="800"/>
      <c r="B28" s="127" t="str">
        <f t="shared" si="19"/>
        <v>Media Jornada</v>
      </c>
      <c r="C28" s="124">
        <v>0</v>
      </c>
      <c r="D28" s="63"/>
      <c r="E28" s="63"/>
      <c r="F28" s="63"/>
      <c r="G28" s="397"/>
      <c r="H28" s="403">
        <f t="shared" si="18"/>
        <v>0</v>
      </c>
      <c r="I28" s="399">
        <f>SUM(H26:H28)</f>
        <v>14</v>
      </c>
    </row>
  </sheetData>
  <mergeCells count="18">
    <mergeCell ref="A26:A28"/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A15:A17"/>
    <mergeCell ref="H16:L16"/>
    <mergeCell ref="M10:Q10"/>
    <mergeCell ref="A19:F19"/>
    <mergeCell ref="H10:L10"/>
    <mergeCell ref="A12:A14"/>
    <mergeCell ref="C5:D5"/>
    <mergeCell ref="M16:Q16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207"/>
  <sheetViews>
    <sheetView showGridLines="0" topLeftCell="A49" zoomScale="80" zoomScaleNormal="80" workbookViewId="0">
      <selection activeCell="E126" sqref="E126"/>
    </sheetView>
  </sheetViews>
  <sheetFormatPr baseColWidth="10" defaultColWidth="11.42578125" defaultRowHeight="12.75" x14ac:dyDescent="0.2"/>
  <cols>
    <col min="1" max="1" width="30.28515625" style="2" customWidth="1"/>
    <col min="2" max="2" width="21.140625" style="2" customWidth="1"/>
    <col min="3" max="3" width="57.42578125" style="2" bestFit="1" customWidth="1"/>
    <col min="4" max="4" width="17" style="2" customWidth="1"/>
    <col min="5" max="5" width="14.28515625" style="2" customWidth="1"/>
    <col min="6" max="6" width="14.42578125" style="17" customWidth="1"/>
    <col min="7" max="7" width="14.28515625" style="4" customWidth="1"/>
    <col min="8" max="8" width="23" style="4" customWidth="1"/>
    <col min="9" max="9" width="15.7109375" style="2" bestFit="1" customWidth="1"/>
    <col min="10" max="10" width="14.85546875" style="2" customWidth="1"/>
    <col min="11" max="11" width="1.85546875" style="2" customWidth="1"/>
    <col min="12" max="12" width="92.85546875" style="2" bestFit="1" customWidth="1"/>
    <col min="13" max="13" width="15.5703125" style="11" customWidth="1"/>
    <col min="14" max="14" width="15.42578125" style="11" customWidth="1"/>
    <col min="15" max="15" width="15.28515625" style="11" customWidth="1"/>
    <col min="16" max="16384" width="11.42578125" style="2"/>
  </cols>
  <sheetData>
    <row r="1" spans="1:8" x14ac:dyDescent="0.2">
      <c r="C1" s="29"/>
      <c r="D1" s="29" t="s">
        <v>203</v>
      </c>
      <c r="E1" s="29"/>
      <c r="F1" s="29"/>
      <c r="G1" s="29"/>
      <c r="H1" s="29"/>
    </row>
    <row r="2" spans="1:8" x14ac:dyDescent="0.2">
      <c r="C2" s="29"/>
      <c r="D2" s="29" t="s">
        <v>211</v>
      </c>
      <c r="E2" s="29"/>
      <c r="F2" s="29"/>
      <c r="G2" s="29"/>
      <c r="H2" s="29"/>
    </row>
    <row r="3" spans="1:8" x14ac:dyDescent="0.2">
      <c r="C3" s="29"/>
      <c r="E3" s="29"/>
      <c r="F3" s="29"/>
      <c r="G3" s="29"/>
      <c r="H3" s="29"/>
    </row>
    <row r="4" spans="1:8" ht="19.5" customHeight="1" x14ac:dyDescent="0.2">
      <c r="C4" s="6" t="s">
        <v>0</v>
      </c>
      <c r="D4" s="824" t="s">
        <v>151</v>
      </c>
      <c r="E4" s="825"/>
      <c r="F4" s="29"/>
      <c r="G4" s="29"/>
      <c r="H4" s="29"/>
    </row>
    <row r="5" spans="1:8" x14ac:dyDescent="0.2">
      <c r="B5" s="29"/>
      <c r="C5" s="29"/>
      <c r="D5" s="29"/>
      <c r="E5" s="29"/>
      <c r="F5" s="29"/>
      <c r="G5" s="29"/>
      <c r="H5" s="29"/>
    </row>
    <row r="6" spans="1:8" x14ac:dyDescent="0.2">
      <c r="B6" s="29"/>
      <c r="C6" s="29"/>
      <c r="D6" s="29"/>
      <c r="E6" s="29"/>
      <c r="F6" s="29"/>
      <c r="G6" s="29"/>
      <c r="H6" s="29"/>
    </row>
    <row r="7" spans="1:8" x14ac:dyDescent="0.2">
      <c r="C7" s="4"/>
    </row>
    <row r="8" spans="1:8" ht="15.75" x14ac:dyDescent="0.2">
      <c r="A8" s="788" t="s">
        <v>152</v>
      </c>
      <c r="B8" s="788"/>
      <c r="C8" s="788"/>
      <c r="D8" s="29"/>
      <c r="G8" s="2"/>
    </row>
    <row r="10" spans="1:8" ht="12.75" customHeight="1" x14ac:dyDescent="0.2">
      <c r="A10" s="830" t="s">
        <v>112</v>
      </c>
      <c r="B10" s="834" t="s">
        <v>75</v>
      </c>
      <c r="C10" s="832" t="s">
        <v>76</v>
      </c>
      <c r="D10" s="827" t="s">
        <v>77</v>
      </c>
      <c r="E10" s="826" t="s">
        <v>78</v>
      </c>
      <c r="F10" s="826"/>
      <c r="G10" s="826"/>
      <c r="H10" s="828" t="s">
        <v>267</v>
      </c>
    </row>
    <row r="11" spans="1:8" ht="39" customHeight="1" x14ac:dyDescent="0.2">
      <c r="A11" s="831"/>
      <c r="B11" s="835"/>
      <c r="C11" s="833"/>
      <c r="D11" s="827"/>
      <c r="E11" s="89" t="s">
        <v>67</v>
      </c>
      <c r="F11" s="90" t="s">
        <v>68</v>
      </c>
      <c r="G11" s="91" t="s">
        <v>6</v>
      </c>
      <c r="H11" s="829"/>
    </row>
    <row r="12" spans="1:8" ht="15.75" customHeight="1" x14ac:dyDescent="0.2">
      <c r="A12" s="837" t="str">
        <f>+'B) Reajuste Tarifas y Ocupación'!A12</f>
        <v>Jardín Infantil Pequeños Héroes</v>
      </c>
      <c r="B12" s="192"/>
      <c r="C12" s="160" t="s">
        <v>11</v>
      </c>
      <c r="D12" s="161">
        <f>SUM(D13+D18)</f>
        <v>58262075.170000002</v>
      </c>
      <c r="E12" s="220"/>
      <c r="F12" s="220"/>
      <c r="G12" s="162">
        <f>SUM(G13,G18)</f>
        <v>15054270</v>
      </c>
      <c r="H12" s="163">
        <f>SUM(H13,H18)</f>
        <v>73316345.170000002</v>
      </c>
    </row>
    <row r="13" spans="1:8" ht="12.75" customHeight="1" x14ac:dyDescent="0.2">
      <c r="A13" s="837"/>
      <c r="B13" s="164"/>
      <c r="C13" s="165" t="s">
        <v>12</v>
      </c>
      <c r="D13" s="166">
        <f>SUM(D14:D17)</f>
        <v>50136075.170000002</v>
      </c>
      <c r="E13" s="236"/>
      <c r="F13" s="236"/>
      <c r="G13" s="167">
        <f>SUM(G14:G17)</f>
        <v>0</v>
      </c>
      <c r="H13" s="168">
        <f>SUM(H14:H17)</f>
        <v>50136075.170000002</v>
      </c>
    </row>
    <row r="14" spans="1:8" ht="12.75" customHeight="1" x14ac:dyDescent="0.2">
      <c r="A14" s="837"/>
      <c r="B14" s="169">
        <v>53103040100000</v>
      </c>
      <c r="C14" s="170" t="s">
        <v>94</v>
      </c>
      <c r="D14" s="171">
        <f>+'F) Remuneraciones'!L11</f>
        <v>50136075.170000002</v>
      </c>
      <c r="E14" s="172">
        <v>0</v>
      </c>
      <c r="F14" s="223">
        <v>0</v>
      </c>
      <c r="G14" s="172">
        <f>E14*F14</f>
        <v>0</v>
      </c>
      <c r="H14" s="173">
        <f>D14+G14</f>
        <v>50136075.170000002</v>
      </c>
    </row>
    <row r="15" spans="1:8" ht="12.75" customHeight="1" x14ac:dyDescent="0.2">
      <c r="A15" s="837"/>
      <c r="B15" s="169">
        <v>53103050000000</v>
      </c>
      <c r="C15" s="170" t="s">
        <v>171</v>
      </c>
      <c r="D15" s="86">
        <v>0</v>
      </c>
      <c r="E15" s="88">
        <v>0</v>
      </c>
      <c r="F15" s="87">
        <v>0</v>
      </c>
      <c r="G15" s="172">
        <f>E15*F15</f>
        <v>0</v>
      </c>
      <c r="H15" s="173">
        <f>D15+G15</f>
        <v>0</v>
      </c>
    </row>
    <row r="16" spans="1:8" ht="12.75" customHeight="1" x14ac:dyDescent="0.2">
      <c r="A16" s="837"/>
      <c r="B16" s="193">
        <v>53103040400000</v>
      </c>
      <c r="C16" s="174" t="s">
        <v>172</v>
      </c>
      <c r="D16" s="86">
        <v>0</v>
      </c>
      <c r="E16" s="88">
        <v>0</v>
      </c>
      <c r="F16" s="87">
        <v>0</v>
      </c>
      <c r="G16" s="172">
        <f>E16*F16</f>
        <v>0</v>
      </c>
      <c r="H16" s="173">
        <f>D16+G16</f>
        <v>0</v>
      </c>
    </row>
    <row r="17" spans="1:15" ht="12.75" customHeight="1" x14ac:dyDescent="0.2">
      <c r="A17" s="837"/>
      <c r="B17" s="169">
        <v>53103080010000</v>
      </c>
      <c r="C17" s="170" t="s">
        <v>173</v>
      </c>
      <c r="D17" s="86">
        <v>0</v>
      </c>
      <c r="E17" s="88">
        <v>0</v>
      </c>
      <c r="F17" s="87">
        <v>0</v>
      </c>
      <c r="G17" s="172">
        <f>E17*F17</f>
        <v>0</v>
      </c>
      <c r="H17" s="173">
        <f>D17+G17</f>
        <v>0</v>
      </c>
      <c r="L17" s="822" t="s">
        <v>230</v>
      </c>
      <c r="M17" s="821" t="s">
        <v>224</v>
      </c>
      <c r="N17" s="821" t="s">
        <v>228</v>
      </c>
      <c r="O17" s="821" t="s">
        <v>229</v>
      </c>
    </row>
    <row r="18" spans="1:15" ht="12.75" customHeight="1" x14ac:dyDescent="0.2">
      <c r="A18" s="837"/>
      <c r="B18" s="164"/>
      <c r="C18" s="165" t="s">
        <v>16</v>
      </c>
      <c r="D18" s="166">
        <f>SUM(D19:D38)</f>
        <v>8126000</v>
      </c>
      <c r="E18" s="236"/>
      <c r="F18" s="236"/>
      <c r="G18" s="166">
        <f>SUM(G19:G38)</f>
        <v>15054270</v>
      </c>
      <c r="H18" s="168">
        <f>SUM(H19:H38)</f>
        <v>23180270</v>
      </c>
      <c r="L18" s="823"/>
      <c r="M18" s="821"/>
      <c r="N18" s="821"/>
      <c r="O18" s="821"/>
    </row>
    <row r="19" spans="1:15" ht="12.75" customHeight="1" x14ac:dyDescent="0.2">
      <c r="A19" s="837"/>
      <c r="B19" s="169">
        <v>53201010100000</v>
      </c>
      <c r="C19" s="175" t="s">
        <v>174</v>
      </c>
      <c r="D19" s="551">
        <v>0</v>
      </c>
      <c r="E19" s="552">
        <f>21*11*1</f>
        <v>231</v>
      </c>
      <c r="F19" s="553">
        <v>2250</v>
      </c>
      <c r="G19" s="172">
        <f t="shared" ref="G19:G38" si="0">E19*F19</f>
        <v>519750</v>
      </c>
      <c r="H19" s="173">
        <f t="shared" ref="H19:H38" si="1">D19+G19</f>
        <v>519750</v>
      </c>
      <c r="L19" s="319" t="s">
        <v>11</v>
      </c>
      <c r="M19" s="320"/>
      <c r="N19" s="320"/>
      <c r="O19" s="320"/>
    </row>
    <row r="20" spans="1:15" ht="12.75" customHeight="1" x14ac:dyDescent="0.2">
      <c r="A20" s="837"/>
      <c r="B20" s="169">
        <v>53201010100000</v>
      </c>
      <c r="C20" s="175" t="s">
        <v>175</v>
      </c>
      <c r="D20" s="551">
        <v>370000</v>
      </c>
      <c r="E20" s="552">
        <f>+(21*10*70)+(21*1*15)</f>
        <v>15015</v>
      </c>
      <c r="F20" s="553">
        <v>968</v>
      </c>
      <c r="G20" s="172">
        <f t="shared" si="0"/>
        <v>14534520</v>
      </c>
      <c r="H20" s="173">
        <f t="shared" si="1"/>
        <v>14904520</v>
      </c>
      <c r="L20" s="316" t="s">
        <v>16</v>
      </c>
      <c r="M20" s="317"/>
      <c r="N20" s="318"/>
      <c r="O20" s="318"/>
    </row>
    <row r="21" spans="1:15" ht="12.75" customHeight="1" x14ac:dyDescent="0.2">
      <c r="A21" s="837"/>
      <c r="B21" s="169">
        <v>53201010100000</v>
      </c>
      <c r="C21" s="175" t="s">
        <v>176</v>
      </c>
      <c r="D21" s="86">
        <v>0</v>
      </c>
      <c r="E21" s="88">
        <v>0</v>
      </c>
      <c r="F21" s="87">
        <v>0</v>
      </c>
      <c r="G21" s="172">
        <f t="shared" si="0"/>
        <v>0</v>
      </c>
      <c r="H21" s="173">
        <f t="shared" si="1"/>
        <v>0</v>
      </c>
      <c r="L21" s="197" t="s">
        <v>177</v>
      </c>
      <c r="M21" s="230">
        <v>0</v>
      </c>
      <c r="N21" s="196">
        <f t="shared" ref="N21:N68" si="2">M21*0.7</f>
        <v>0</v>
      </c>
      <c r="O21" s="196">
        <f t="shared" ref="O21:O68" si="3">M21*0.3</f>
        <v>0</v>
      </c>
    </row>
    <row r="22" spans="1:15" ht="12.75" customHeight="1" x14ac:dyDescent="0.2">
      <c r="A22" s="837"/>
      <c r="B22" s="169">
        <v>53202010100000</v>
      </c>
      <c r="C22" s="170" t="s">
        <v>177</v>
      </c>
      <c r="D22" s="222">
        <f>N21</f>
        <v>0</v>
      </c>
      <c r="E22" s="555">
        <v>0</v>
      </c>
      <c r="F22" s="556">
        <v>0</v>
      </c>
      <c r="G22" s="172">
        <f t="shared" si="0"/>
        <v>0</v>
      </c>
      <c r="H22" s="173">
        <f t="shared" si="1"/>
        <v>0</v>
      </c>
      <c r="L22" s="170" t="s">
        <v>19</v>
      </c>
      <c r="M22" s="231">
        <v>0</v>
      </c>
      <c r="N22" s="196">
        <f t="shared" si="2"/>
        <v>0</v>
      </c>
      <c r="O22" s="196">
        <f t="shared" si="3"/>
        <v>0</v>
      </c>
    </row>
    <row r="23" spans="1:15" ht="12.75" customHeight="1" x14ac:dyDescent="0.2">
      <c r="A23" s="837"/>
      <c r="B23" s="169">
        <v>53203010100000</v>
      </c>
      <c r="C23" s="170" t="s">
        <v>19</v>
      </c>
      <c r="D23" s="172">
        <f>N22</f>
        <v>0</v>
      </c>
      <c r="E23" s="554">
        <v>0</v>
      </c>
      <c r="F23" s="556">
        <v>0</v>
      </c>
      <c r="G23" s="172">
        <f t="shared" si="0"/>
        <v>0</v>
      </c>
      <c r="H23" s="173">
        <f>D23+G23</f>
        <v>0</v>
      </c>
      <c r="L23" s="170" t="s">
        <v>178</v>
      </c>
      <c r="M23" s="231">
        <v>0</v>
      </c>
      <c r="N23" s="196">
        <f t="shared" si="2"/>
        <v>0</v>
      </c>
      <c r="O23" s="196">
        <f t="shared" si="3"/>
        <v>0</v>
      </c>
    </row>
    <row r="24" spans="1:15" ht="12.75" customHeight="1" x14ac:dyDescent="0.2">
      <c r="A24" s="837"/>
      <c r="B24" s="169">
        <v>53203030000000</v>
      </c>
      <c r="C24" s="170" t="s">
        <v>178</v>
      </c>
      <c r="D24" s="172">
        <f>N23</f>
        <v>0</v>
      </c>
      <c r="E24" s="554">
        <v>0</v>
      </c>
      <c r="F24" s="556">
        <v>0</v>
      </c>
      <c r="G24" s="172">
        <f t="shared" si="0"/>
        <v>0</v>
      </c>
      <c r="H24" s="173">
        <f t="shared" si="1"/>
        <v>0</v>
      </c>
      <c r="L24" s="170" t="s">
        <v>212</v>
      </c>
      <c r="M24" s="231">
        <v>130000</v>
      </c>
      <c r="N24" s="196">
        <f t="shared" si="2"/>
        <v>91000</v>
      </c>
      <c r="O24" s="196">
        <f t="shared" si="3"/>
        <v>39000</v>
      </c>
    </row>
    <row r="25" spans="1:15" ht="12.75" customHeight="1" x14ac:dyDescent="0.2">
      <c r="A25" s="837"/>
      <c r="B25" s="169">
        <v>53204030000000</v>
      </c>
      <c r="C25" s="170" t="s">
        <v>212</v>
      </c>
      <c r="D25" s="172">
        <f>N24</f>
        <v>91000</v>
      </c>
      <c r="E25" s="554">
        <v>0</v>
      </c>
      <c r="F25" s="556">
        <v>0</v>
      </c>
      <c r="G25" s="172">
        <f t="shared" si="0"/>
        <v>0</v>
      </c>
      <c r="H25" s="173">
        <f>D25+G25</f>
        <v>91000</v>
      </c>
      <c r="L25" s="170" t="s">
        <v>22</v>
      </c>
      <c r="M25" s="231">
        <v>1500000</v>
      </c>
      <c r="N25" s="196">
        <f t="shared" si="2"/>
        <v>1050000</v>
      </c>
      <c r="O25" s="196">
        <f t="shared" si="3"/>
        <v>450000</v>
      </c>
    </row>
    <row r="26" spans="1:15" ht="12.75" customHeight="1" x14ac:dyDescent="0.2">
      <c r="A26" s="837"/>
      <c r="B26" s="169">
        <v>53204100100001</v>
      </c>
      <c r="C26" s="170" t="s">
        <v>22</v>
      </c>
      <c r="D26" s="554">
        <f>+N25</f>
        <v>1050000</v>
      </c>
      <c r="E26" s="554">
        <v>0</v>
      </c>
      <c r="F26" s="556">
        <v>0</v>
      </c>
      <c r="G26" s="172">
        <f t="shared" si="0"/>
        <v>0</v>
      </c>
      <c r="H26" s="173">
        <f t="shared" si="1"/>
        <v>1050000</v>
      </c>
      <c r="L26" s="170" t="s">
        <v>180</v>
      </c>
      <c r="M26" s="231">
        <v>0</v>
      </c>
      <c r="N26" s="196">
        <f t="shared" si="2"/>
        <v>0</v>
      </c>
      <c r="O26" s="196">
        <f t="shared" si="3"/>
        <v>0</v>
      </c>
    </row>
    <row r="27" spans="1:15" ht="12.75" customHeight="1" x14ac:dyDescent="0.2">
      <c r="A27" s="837"/>
      <c r="B27" s="169">
        <v>53204130100000</v>
      </c>
      <c r="C27" s="170" t="s">
        <v>180</v>
      </c>
      <c r="D27" s="172">
        <f t="shared" ref="D27:D33" si="4">N26</f>
        <v>0</v>
      </c>
      <c r="E27" s="554">
        <v>0</v>
      </c>
      <c r="F27" s="556">
        <v>0</v>
      </c>
      <c r="G27" s="172">
        <f t="shared" si="0"/>
        <v>0</v>
      </c>
      <c r="H27" s="173">
        <f t="shared" si="1"/>
        <v>0</v>
      </c>
      <c r="L27" s="170" t="s">
        <v>24</v>
      </c>
      <c r="M27" s="231">
        <v>1500000</v>
      </c>
      <c r="N27" s="196">
        <f t="shared" si="2"/>
        <v>1050000</v>
      </c>
      <c r="O27" s="196">
        <f t="shared" si="3"/>
        <v>450000</v>
      </c>
    </row>
    <row r="28" spans="1:15" ht="12.75" customHeight="1" x14ac:dyDescent="0.2">
      <c r="A28" s="837"/>
      <c r="B28" s="169">
        <v>53205010100000</v>
      </c>
      <c r="C28" s="170" t="s">
        <v>24</v>
      </c>
      <c r="D28" s="172">
        <f t="shared" si="4"/>
        <v>1050000</v>
      </c>
      <c r="E28" s="554">
        <v>0</v>
      </c>
      <c r="F28" s="556">
        <v>0</v>
      </c>
      <c r="G28" s="172">
        <f t="shared" si="0"/>
        <v>0</v>
      </c>
      <c r="H28" s="173">
        <f t="shared" si="1"/>
        <v>1050000</v>
      </c>
      <c r="L28" s="170" t="s">
        <v>25</v>
      </c>
      <c r="M28" s="231">
        <v>1400000</v>
      </c>
      <c r="N28" s="196">
        <f t="shared" si="2"/>
        <v>979999.99999999988</v>
      </c>
      <c r="O28" s="196">
        <f t="shared" si="3"/>
        <v>420000</v>
      </c>
    </row>
    <row r="29" spans="1:15" ht="12.75" customHeight="1" x14ac:dyDescent="0.2">
      <c r="A29" s="837"/>
      <c r="B29" s="169">
        <v>53205020100000</v>
      </c>
      <c r="C29" s="170" t="s">
        <v>25</v>
      </c>
      <c r="D29" s="172">
        <f t="shared" si="4"/>
        <v>979999.99999999988</v>
      </c>
      <c r="E29" s="554">
        <v>0</v>
      </c>
      <c r="F29" s="556">
        <v>0</v>
      </c>
      <c r="G29" s="172">
        <f t="shared" si="0"/>
        <v>0</v>
      </c>
      <c r="H29" s="173">
        <f t="shared" si="1"/>
        <v>979999.99999999988</v>
      </c>
      <c r="L29" s="170" t="s">
        <v>26</v>
      </c>
      <c r="M29" s="231">
        <v>850000</v>
      </c>
      <c r="N29" s="196">
        <f t="shared" si="2"/>
        <v>595000</v>
      </c>
      <c r="O29" s="196">
        <f t="shared" si="3"/>
        <v>255000</v>
      </c>
    </row>
    <row r="30" spans="1:15" ht="12.75" customHeight="1" x14ac:dyDescent="0.2">
      <c r="A30" s="837"/>
      <c r="B30" s="169">
        <v>53205030100000</v>
      </c>
      <c r="C30" s="170" t="s">
        <v>26</v>
      </c>
      <c r="D30" s="172">
        <f t="shared" si="4"/>
        <v>595000</v>
      </c>
      <c r="E30" s="554">
        <v>0</v>
      </c>
      <c r="F30" s="556">
        <v>0</v>
      </c>
      <c r="G30" s="172">
        <f t="shared" si="0"/>
        <v>0</v>
      </c>
      <c r="H30" s="173">
        <f t="shared" si="1"/>
        <v>595000</v>
      </c>
      <c r="L30" s="170" t="s">
        <v>27</v>
      </c>
      <c r="M30" s="231">
        <v>0</v>
      </c>
      <c r="N30" s="196">
        <f t="shared" si="2"/>
        <v>0</v>
      </c>
      <c r="O30" s="196">
        <f t="shared" si="3"/>
        <v>0</v>
      </c>
    </row>
    <row r="31" spans="1:15" ht="12.75" customHeight="1" x14ac:dyDescent="0.2">
      <c r="A31" s="837"/>
      <c r="B31" s="169">
        <v>53205050100000</v>
      </c>
      <c r="C31" s="170" t="s">
        <v>27</v>
      </c>
      <c r="D31" s="172">
        <f t="shared" si="4"/>
        <v>0</v>
      </c>
      <c r="E31" s="554">
        <v>0</v>
      </c>
      <c r="F31" s="556">
        <v>0</v>
      </c>
      <c r="G31" s="172">
        <f t="shared" si="0"/>
        <v>0</v>
      </c>
      <c r="H31" s="173">
        <f t="shared" si="1"/>
        <v>0</v>
      </c>
      <c r="L31" s="170" t="s">
        <v>29</v>
      </c>
      <c r="M31" s="231">
        <v>500000</v>
      </c>
      <c r="N31" s="196">
        <f t="shared" si="2"/>
        <v>350000</v>
      </c>
      <c r="O31" s="196">
        <f t="shared" si="3"/>
        <v>150000</v>
      </c>
    </row>
    <row r="32" spans="1:15" ht="12.75" customHeight="1" x14ac:dyDescent="0.2">
      <c r="A32" s="837"/>
      <c r="B32" s="169">
        <v>53205070100000</v>
      </c>
      <c r="C32" s="170" t="s">
        <v>29</v>
      </c>
      <c r="D32" s="172">
        <f t="shared" si="4"/>
        <v>350000</v>
      </c>
      <c r="E32" s="554">
        <v>0</v>
      </c>
      <c r="F32" s="556">
        <v>0</v>
      </c>
      <c r="G32" s="172">
        <f t="shared" si="0"/>
        <v>0</v>
      </c>
      <c r="H32" s="173">
        <f t="shared" si="1"/>
        <v>350000</v>
      </c>
      <c r="L32" s="170" t="s">
        <v>30</v>
      </c>
      <c r="M32" s="231">
        <v>0</v>
      </c>
      <c r="N32" s="196">
        <f t="shared" si="2"/>
        <v>0</v>
      </c>
      <c r="O32" s="196">
        <f t="shared" si="3"/>
        <v>0</v>
      </c>
    </row>
    <row r="33" spans="1:15" ht="12.75" customHeight="1" x14ac:dyDescent="0.2">
      <c r="A33" s="837"/>
      <c r="B33" s="169">
        <v>53208010100000</v>
      </c>
      <c r="C33" s="170" t="s">
        <v>30</v>
      </c>
      <c r="D33" s="172">
        <f t="shared" si="4"/>
        <v>0</v>
      </c>
      <c r="E33" s="554">
        <v>0</v>
      </c>
      <c r="F33" s="556">
        <v>0</v>
      </c>
      <c r="G33" s="172">
        <f t="shared" si="0"/>
        <v>0</v>
      </c>
      <c r="H33" s="173">
        <f t="shared" si="1"/>
        <v>0</v>
      </c>
      <c r="L33" s="170" t="s">
        <v>31</v>
      </c>
      <c r="M33" s="232">
        <v>400000</v>
      </c>
      <c r="N33" s="196">
        <f t="shared" si="2"/>
        <v>280000</v>
      </c>
      <c r="O33" s="196">
        <f t="shared" si="3"/>
        <v>120000</v>
      </c>
    </row>
    <row r="34" spans="1:15" ht="12.75" customHeight="1" x14ac:dyDescent="0.2">
      <c r="A34" s="837"/>
      <c r="B34" s="169">
        <v>53208070100001</v>
      </c>
      <c r="C34" s="170" t="s">
        <v>31</v>
      </c>
      <c r="D34" s="172">
        <f>N33</f>
        <v>280000</v>
      </c>
      <c r="E34" s="554">
        <v>0</v>
      </c>
      <c r="F34" s="556">
        <v>0</v>
      </c>
      <c r="G34" s="172">
        <f t="shared" si="0"/>
        <v>0</v>
      </c>
      <c r="H34" s="173">
        <f t="shared" si="1"/>
        <v>280000</v>
      </c>
      <c r="L34" s="170" t="s">
        <v>181</v>
      </c>
      <c r="M34" s="231">
        <v>0</v>
      </c>
      <c r="N34" s="196">
        <f t="shared" si="2"/>
        <v>0</v>
      </c>
      <c r="O34" s="196">
        <f t="shared" si="3"/>
        <v>0</v>
      </c>
    </row>
    <row r="35" spans="1:15" ht="12.75" customHeight="1" x14ac:dyDescent="0.2">
      <c r="A35" s="837"/>
      <c r="B35" s="169">
        <v>53208100100001</v>
      </c>
      <c r="C35" s="170" t="s">
        <v>181</v>
      </c>
      <c r="D35" s="172">
        <f>N34</f>
        <v>0</v>
      </c>
      <c r="E35" s="554">
        <v>0</v>
      </c>
      <c r="F35" s="556">
        <v>0</v>
      </c>
      <c r="G35" s="172">
        <f t="shared" si="0"/>
        <v>0</v>
      </c>
      <c r="H35" s="173">
        <f t="shared" si="1"/>
        <v>0</v>
      </c>
      <c r="L35" s="170" t="s">
        <v>32</v>
      </c>
      <c r="M35" s="231">
        <v>0</v>
      </c>
      <c r="N35" s="196">
        <f t="shared" si="2"/>
        <v>0</v>
      </c>
      <c r="O35" s="196">
        <f t="shared" si="3"/>
        <v>0</v>
      </c>
    </row>
    <row r="36" spans="1:15" ht="12.75" customHeight="1" x14ac:dyDescent="0.2">
      <c r="A36" s="837"/>
      <c r="B36" s="169">
        <v>53211030000000</v>
      </c>
      <c r="C36" s="170" t="s">
        <v>32</v>
      </c>
      <c r="D36" s="172">
        <f t="shared" ref="D36:D37" si="5">N35</f>
        <v>0</v>
      </c>
      <c r="E36" s="554">
        <v>0</v>
      </c>
      <c r="F36" s="556">
        <v>0</v>
      </c>
      <c r="G36" s="172">
        <f t="shared" si="0"/>
        <v>0</v>
      </c>
      <c r="H36" s="173">
        <f t="shared" si="1"/>
        <v>0</v>
      </c>
      <c r="L36" s="197" t="s">
        <v>182</v>
      </c>
      <c r="M36" s="231">
        <f>400000*12</f>
        <v>4800000</v>
      </c>
      <c r="N36" s="196">
        <f t="shared" si="2"/>
        <v>3360000</v>
      </c>
      <c r="O36" s="196">
        <f t="shared" si="3"/>
        <v>1440000</v>
      </c>
    </row>
    <row r="37" spans="1:15" ht="12.75" customHeight="1" x14ac:dyDescent="0.2">
      <c r="A37" s="837"/>
      <c r="B37" s="169">
        <v>53212020100000</v>
      </c>
      <c r="C37" s="170" t="s">
        <v>182</v>
      </c>
      <c r="D37" s="172">
        <f t="shared" si="5"/>
        <v>3360000</v>
      </c>
      <c r="E37" s="554">
        <v>0</v>
      </c>
      <c r="F37" s="556">
        <v>0</v>
      </c>
      <c r="G37" s="172">
        <f t="shared" si="0"/>
        <v>0</v>
      </c>
      <c r="H37" s="173">
        <f t="shared" si="1"/>
        <v>3360000</v>
      </c>
      <c r="L37" s="170" t="s">
        <v>183</v>
      </c>
      <c r="M37" s="233">
        <v>0</v>
      </c>
      <c r="N37" s="196">
        <f t="shared" si="2"/>
        <v>0</v>
      </c>
      <c r="O37" s="196">
        <f t="shared" si="3"/>
        <v>0</v>
      </c>
    </row>
    <row r="38" spans="1:15" ht="12.75" customHeight="1" x14ac:dyDescent="0.2">
      <c r="A38" s="837"/>
      <c r="B38" s="169">
        <v>53214020000000</v>
      </c>
      <c r="C38" s="170" t="s">
        <v>183</v>
      </c>
      <c r="D38" s="172">
        <f>N37</f>
        <v>0</v>
      </c>
      <c r="E38" s="554">
        <v>0</v>
      </c>
      <c r="F38" s="556">
        <v>0</v>
      </c>
      <c r="G38" s="172">
        <f t="shared" si="0"/>
        <v>0</v>
      </c>
      <c r="H38" s="173">
        <f t="shared" si="1"/>
        <v>0</v>
      </c>
      <c r="L38" s="160" t="s">
        <v>34</v>
      </c>
      <c r="M38" s="234"/>
      <c r="N38" s="227"/>
      <c r="O38" s="227"/>
    </row>
    <row r="39" spans="1:15" ht="15.75" customHeight="1" x14ac:dyDescent="0.2">
      <c r="A39" s="837"/>
      <c r="B39" s="192"/>
      <c r="C39" s="160" t="s">
        <v>34</v>
      </c>
      <c r="D39" s="176">
        <f>SUM(D40,D45,D47,D56,D65,D73)</f>
        <v>21832273.399999999</v>
      </c>
      <c r="E39" s="237"/>
      <c r="F39" s="237"/>
      <c r="G39" s="161"/>
      <c r="H39" s="176">
        <f>SUM(H40,H45,H47,H56,H65,H73)</f>
        <v>25105093.399999999</v>
      </c>
      <c r="L39" s="165" t="s">
        <v>35</v>
      </c>
      <c r="M39" s="229"/>
      <c r="N39" s="226"/>
      <c r="O39" s="226"/>
    </row>
    <row r="40" spans="1:15" ht="12.75" customHeight="1" x14ac:dyDescent="0.2">
      <c r="A40" s="837"/>
      <c r="B40" s="164"/>
      <c r="C40" s="165" t="s">
        <v>35</v>
      </c>
      <c r="D40" s="166">
        <f>SUM(D41:D44)</f>
        <v>272273.39999999997</v>
      </c>
      <c r="E40" s="236"/>
      <c r="F40" s="236"/>
      <c r="G40" s="166">
        <f>SUM(G41:G44)</f>
        <v>380000</v>
      </c>
      <c r="H40" s="166">
        <f>SUM(H41:H44)</f>
        <v>652273.39999999991</v>
      </c>
      <c r="L40" s="170" t="s">
        <v>41</v>
      </c>
      <c r="M40" s="231">
        <v>0</v>
      </c>
      <c r="N40" s="196">
        <f t="shared" si="2"/>
        <v>0</v>
      </c>
      <c r="O40" s="196">
        <f t="shared" si="3"/>
        <v>0</v>
      </c>
    </row>
    <row r="41" spans="1:15" ht="12.75" customHeight="1" x14ac:dyDescent="0.2">
      <c r="A41" s="837"/>
      <c r="B41" s="169">
        <v>53202020100000</v>
      </c>
      <c r="C41" s="170" t="s">
        <v>184</v>
      </c>
      <c r="D41" s="86">
        <v>0</v>
      </c>
      <c r="E41" s="88">
        <v>30000</v>
      </c>
      <c r="F41" s="557">
        <v>11</v>
      </c>
      <c r="G41" s="172">
        <f>E41*F41</f>
        <v>330000</v>
      </c>
      <c r="H41" s="173">
        <f t="shared" ref="H41:H74" si="6">D41+G41</f>
        <v>330000</v>
      </c>
      <c r="L41" s="197" t="s">
        <v>186</v>
      </c>
      <c r="M41" s="231">
        <v>388962</v>
      </c>
      <c r="N41" s="196">
        <f t="shared" si="2"/>
        <v>272273.39999999997</v>
      </c>
      <c r="O41" s="196">
        <f t="shared" si="3"/>
        <v>116688.59999999999</v>
      </c>
    </row>
    <row r="42" spans="1:15" ht="12.75" customHeight="1" x14ac:dyDescent="0.2">
      <c r="A42" s="837"/>
      <c r="B42" s="169">
        <v>53202030000000</v>
      </c>
      <c r="C42" s="170" t="s">
        <v>234</v>
      </c>
      <c r="D42" s="86">
        <v>0</v>
      </c>
      <c r="E42" s="88">
        <v>50000</v>
      </c>
      <c r="F42" s="557">
        <v>1</v>
      </c>
      <c r="G42" s="172">
        <f t="shared" ref="G42:G74" si="7">E42*F42</f>
        <v>50000</v>
      </c>
      <c r="H42" s="173">
        <f t="shared" si="6"/>
        <v>50000</v>
      </c>
      <c r="L42" s="165" t="s">
        <v>42</v>
      </c>
      <c r="M42" s="229"/>
      <c r="N42" s="226"/>
      <c r="O42" s="226"/>
    </row>
    <row r="43" spans="1:15" ht="12.75" customHeight="1" x14ac:dyDescent="0.2">
      <c r="A43" s="837"/>
      <c r="B43" s="169">
        <v>53211020000000</v>
      </c>
      <c r="C43" s="170" t="s">
        <v>41</v>
      </c>
      <c r="D43" s="224">
        <f>N40</f>
        <v>0</v>
      </c>
      <c r="E43" s="558">
        <v>0</v>
      </c>
      <c r="F43" s="559">
        <v>0</v>
      </c>
      <c r="G43" s="172">
        <f t="shared" si="7"/>
        <v>0</v>
      </c>
      <c r="H43" s="173">
        <f t="shared" si="6"/>
        <v>0</v>
      </c>
      <c r="L43" s="170" t="s">
        <v>44</v>
      </c>
      <c r="M43" s="231">
        <v>0</v>
      </c>
      <c r="N43" s="196">
        <f t="shared" si="2"/>
        <v>0</v>
      </c>
      <c r="O43" s="196">
        <f t="shared" si="3"/>
        <v>0</v>
      </c>
    </row>
    <row r="44" spans="1:15" ht="12.75" customHeight="1" x14ac:dyDescent="0.2">
      <c r="A44" s="837"/>
      <c r="B44" s="169">
        <v>53101040600000</v>
      </c>
      <c r="C44" s="170" t="s">
        <v>186</v>
      </c>
      <c r="D44" s="224">
        <f>N41</f>
        <v>272273.39999999997</v>
      </c>
      <c r="E44" s="558">
        <v>0</v>
      </c>
      <c r="F44" s="559">
        <v>0</v>
      </c>
      <c r="G44" s="172">
        <f t="shared" si="7"/>
        <v>0</v>
      </c>
      <c r="H44" s="173">
        <f t="shared" si="6"/>
        <v>272273.39999999997</v>
      </c>
      <c r="L44" s="165" t="s">
        <v>45</v>
      </c>
      <c r="M44" s="235"/>
      <c r="N44" s="314"/>
      <c r="O44" s="314"/>
    </row>
    <row r="45" spans="1:15" ht="12.75" customHeight="1" x14ac:dyDescent="0.2">
      <c r="A45" s="837"/>
      <c r="B45" s="164"/>
      <c r="C45" s="165" t="s">
        <v>42</v>
      </c>
      <c r="D45" s="166">
        <f>SUM(D46:D46)</f>
        <v>0</v>
      </c>
      <c r="E45" s="560"/>
      <c r="F45" s="560"/>
      <c r="G45" s="177">
        <f>SUM(G46:G46)</f>
        <v>0</v>
      </c>
      <c r="H45" s="178">
        <f>SUM(H46:H46)</f>
        <v>0</v>
      </c>
      <c r="L45" s="170" t="s">
        <v>47</v>
      </c>
      <c r="M45" s="231">
        <v>500000</v>
      </c>
      <c r="N45" s="196">
        <f t="shared" si="2"/>
        <v>350000</v>
      </c>
      <c r="O45" s="196">
        <f t="shared" si="3"/>
        <v>150000</v>
      </c>
    </row>
    <row r="46" spans="1:15" ht="12.75" customHeight="1" x14ac:dyDescent="0.2">
      <c r="A46" s="837"/>
      <c r="B46" s="179">
        <v>53205990000000</v>
      </c>
      <c r="C46" s="170" t="s">
        <v>44</v>
      </c>
      <c r="D46" s="224">
        <f>N43</f>
        <v>0</v>
      </c>
      <c r="E46" s="558">
        <v>0</v>
      </c>
      <c r="F46" s="559">
        <v>0</v>
      </c>
      <c r="G46" s="172">
        <f t="shared" si="7"/>
        <v>0</v>
      </c>
      <c r="H46" s="173">
        <f t="shared" si="6"/>
        <v>0</v>
      </c>
      <c r="L46" s="170" t="s">
        <v>213</v>
      </c>
      <c r="M46" s="231">
        <v>0</v>
      </c>
      <c r="N46" s="196">
        <f t="shared" si="2"/>
        <v>0</v>
      </c>
      <c r="O46" s="196">
        <f t="shared" si="3"/>
        <v>0</v>
      </c>
    </row>
    <row r="47" spans="1:15" ht="12.75" customHeight="1" x14ac:dyDescent="0.2">
      <c r="A47" s="837"/>
      <c r="B47" s="164"/>
      <c r="C47" s="165" t="s">
        <v>45</v>
      </c>
      <c r="D47" s="166">
        <f>SUM(D48:D55)</f>
        <v>7420000</v>
      </c>
      <c r="E47" s="560"/>
      <c r="F47" s="560"/>
      <c r="G47" s="166">
        <f>SUM(G48:G55)</f>
        <v>0</v>
      </c>
      <c r="H47" s="168">
        <f>SUM(H48:H55)</f>
        <v>7420000</v>
      </c>
      <c r="L47" s="170" t="s">
        <v>49</v>
      </c>
      <c r="M47" s="231">
        <v>0</v>
      </c>
      <c r="N47" s="196">
        <f t="shared" si="2"/>
        <v>0</v>
      </c>
      <c r="O47" s="196">
        <f t="shared" si="3"/>
        <v>0</v>
      </c>
    </row>
    <row r="48" spans="1:15" ht="12.75" customHeight="1" x14ac:dyDescent="0.2">
      <c r="A48" s="837"/>
      <c r="B48" s="169">
        <v>53204010000000</v>
      </c>
      <c r="C48" s="170" t="s">
        <v>47</v>
      </c>
      <c r="D48" s="224">
        <f t="shared" ref="D48:D52" si="8">N45</f>
        <v>350000</v>
      </c>
      <c r="E48" s="558">
        <v>0</v>
      </c>
      <c r="F48" s="559">
        <v>0</v>
      </c>
      <c r="G48" s="224">
        <f t="shared" si="7"/>
        <v>0</v>
      </c>
      <c r="H48" s="173">
        <f t="shared" si="6"/>
        <v>350000</v>
      </c>
      <c r="L48" s="170" t="s">
        <v>50</v>
      </c>
      <c r="M48" s="231">
        <v>4200000</v>
      </c>
      <c r="N48" s="196">
        <f t="shared" si="2"/>
        <v>2940000</v>
      </c>
      <c r="O48" s="196">
        <f t="shared" si="3"/>
        <v>1260000</v>
      </c>
    </row>
    <row r="49" spans="1:15" ht="12.75" customHeight="1" x14ac:dyDescent="0.2">
      <c r="A49" s="837"/>
      <c r="B49" s="179">
        <v>53204040200000</v>
      </c>
      <c r="C49" s="170" t="s">
        <v>213</v>
      </c>
      <c r="D49" s="224">
        <f t="shared" si="8"/>
        <v>0</v>
      </c>
      <c r="E49" s="558">
        <v>0</v>
      </c>
      <c r="F49" s="559">
        <v>0</v>
      </c>
      <c r="G49" s="224">
        <f t="shared" si="7"/>
        <v>0</v>
      </c>
      <c r="H49" s="173">
        <f t="shared" si="6"/>
        <v>0</v>
      </c>
      <c r="L49" s="170" t="s">
        <v>51</v>
      </c>
      <c r="M49" s="231">
        <v>500000</v>
      </c>
      <c r="N49" s="196">
        <f t="shared" si="2"/>
        <v>350000</v>
      </c>
      <c r="O49" s="196">
        <f t="shared" si="3"/>
        <v>150000</v>
      </c>
    </row>
    <row r="50" spans="1:15" ht="12.75" customHeight="1" x14ac:dyDescent="0.2">
      <c r="A50" s="837"/>
      <c r="B50" s="169">
        <v>53204060000000</v>
      </c>
      <c r="C50" s="170" t="s">
        <v>49</v>
      </c>
      <c r="D50" s="224">
        <f t="shared" si="8"/>
        <v>0</v>
      </c>
      <c r="E50" s="558">
        <v>0</v>
      </c>
      <c r="F50" s="559">
        <v>0</v>
      </c>
      <c r="G50" s="224">
        <f t="shared" si="7"/>
        <v>0</v>
      </c>
      <c r="H50" s="173">
        <f t="shared" si="6"/>
        <v>0</v>
      </c>
      <c r="L50" s="170" t="s">
        <v>52</v>
      </c>
      <c r="M50" s="233">
        <v>4500000</v>
      </c>
      <c r="N50" s="196">
        <f t="shared" si="2"/>
        <v>3150000</v>
      </c>
      <c r="O50" s="196">
        <f t="shared" si="3"/>
        <v>1350000</v>
      </c>
    </row>
    <row r="51" spans="1:15" ht="12.75" customHeight="1" x14ac:dyDescent="0.2">
      <c r="A51" s="837"/>
      <c r="B51" s="169">
        <v>53204070000000</v>
      </c>
      <c r="C51" s="170" t="s">
        <v>50</v>
      </c>
      <c r="D51" s="224">
        <f t="shared" si="8"/>
        <v>2940000</v>
      </c>
      <c r="E51" s="558">
        <v>0</v>
      </c>
      <c r="F51" s="559">
        <v>0</v>
      </c>
      <c r="G51" s="224">
        <f t="shared" si="7"/>
        <v>0</v>
      </c>
      <c r="H51" s="173">
        <f t="shared" si="6"/>
        <v>2940000</v>
      </c>
      <c r="L51" s="197" t="s">
        <v>187</v>
      </c>
      <c r="M51" s="233">
        <v>900000</v>
      </c>
      <c r="N51" s="196">
        <f t="shared" si="2"/>
        <v>630000</v>
      </c>
      <c r="O51" s="196">
        <f t="shared" si="3"/>
        <v>270000</v>
      </c>
    </row>
    <row r="52" spans="1:15" ht="12.75" customHeight="1" x14ac:dyDescent="0.2">
      <c r="A52" s="837"/>
      <c r="B52" s="169">
        <v>53204080000000</v>
      </c>
      <c r="C52" s="170" t="s">
        <v>51</v>
      </c>
      <c r="D52" s="224">
        <f t="shared" si="8"/>
        <v>350000</v>
      </c>
      <c r="E52" s="558">
        <v>0</v>
      </c>
      <c r="F52" s="559">
        <v>0</v>
      </c>
      <c r="G52" s="224">
        <f t="shared" si="7"/>
        <v>0</v>
      </c>
      <c r="H52" s="173">
        <f t="shared" si="6"/>
        <v>350000</v>
      </c>
      <c r="L52" s="170" t="s">
        <v>179</v>
      </c>
      <c r="M52" s="231">
        <v>0</v>
      </c>
      <c r="N52" s="196">
        <f t="shared" si="2"/>
        <v>0</v>
      </c>
      <c r="O52" s="196">
        <f t="shared" si="3"/>
        <v>0</v>
      </c>
    </row>
    <row r="53" spans="1:15" ht="12.75" customHeight="1" x14ac:dyDescent="0.2">
      <c r="A53" s="837"/>
      <c r="B53" s="169">
        <v>53214010000000</v>
      </c>
      <c r="C53" s="170" t="s">
        <v>52</v>
      </c>
      <c r="D53" s="225">
        <f>N50</f>
        <v>3150000</v>
      </c>
      <c r="E53" s="561">
        <v>0</v>
      </c>
      <c r="F53" s="559">
        <v>0</v>
      </c>
      <c r="G53" s="224">
        <f t="shared" si="7"/>
        <v>0</v>
      </c>
      <c r="H53" s="173">
        <f t="shared" si="6"/>
        <v>3150000</v>
      </c>
      <c r="L53" s="165" t="s">
        <v>55</v>
      </c>
      <c r="M53" s="235"/>
      <c r="N53" s="228"/>
      <c r="O53" s="228"/>
    </row>
    <row r="54" spans="1:15" ht="12.75" customHeight="1" x14ac:dyDescent="0.2">
      <c r="A54" s="837"/>
      <c r="B54" s="169">
        <v>53214040000000</v>
      </c>
      <c r="C54" s="170" t="s">
        <v>187</v>
      </c>
      <c r="D54" s="225">
        <f>N51</f>
        <v>630000</v>
      </c>
      <c r="E54" s="561">
        <v>0</v>
      </c>
      <c r="F54" s="559">
        <v>0</v>
      </c>
      <c r="G54" s="224">
        <f t="shared" si="7"/>
        <v>0</v>
      </c>
      <c r="H54" s="173">
        <f t="shared" si="6"/>
        <v>630000</v>
      </c>
      <c r="L54" s="170" t="s">
        <v>56</v>
      </c>
      <c r="M54" s="231">
        <v>0</v>
      </c>
      <c r="N54" s="196">
        <f t="shared" si="2"/>
        <v>0</v>
      </c>
      <c r="O54" s="196">
        <f t="shared" si="3"/>
        <v>0</v>
      </c>
    </row>
    <row r="55" spans="1:15" ht="12.75" customHeight="1" x14ac:dyDescent="0.2">
      <c r="A55" s="837"/>
      <c r="B55" s="193">
        <v>53204020100000</v>
      </c>
      <c r="C55" s="170" t="s">
        <v>179</v>
      </c>
      <c r="D55" s="224">
        <f>N52</f>
        <v>0</v>
      </c>
      <c r="E55" s="558">
        <v>0</v>
      </c>
      <c r="F55" s="559">
        <v>0</v>
      </c>
      <c r="G55" s="224">
        <f t="shared" si="7"/>
        <v>0</v>
      </c>
      <c r="H55" s="173">
        <f t="shared" si="6"/>
        <v>0</v>
      </c>
      <c r="L55" s="170" t="s">
        <v>57</v>
      </c>
      <c r="M55" s="231">
        <v>600000</v>
      </c>
      <c r="N55" s="196">
        <f t="shared" si="2"/>
        <v>420000</v>
      </c>
      <c r="O55" s="196">
        <f t="shared" si="3"/>
        <v>180000</v>
      </c>
    </row>
    <row r="56" spans="1:15" ht="12.75" customHeight="1" x14ac:dyDescent="0.2">
      <c r="A56" s="837"/>
      <c r="B56" s="164"/>
      <c r="C56" s="165" t="s">
        <v>55</v>
      </c>
      <c r="D56" s="166">
        <f>SUM(D57:D64)</f>
        <v>2170000</v>
      </c>
      <c r="E56" s="560"/>
      <c r="F56" s="560"/>
      <c r="G56" s="166">
        <f>SUM(G57:G64)</f>
        <v>442820</v>
      </c>
      <c r="H56" s="168">
        <f>SUM(H57:H64)</f>
        <v>2612820</v>
      </c>
      <c r="L56" s="170" t="s">
        <v>170</v>
      </c>
      <c r="M56" s="231">
        <v>0</v>
      </c>
      <c r="N56" s="196">
        <f t="shared" si="2"/>
        <v>0</v>
      </c>
      <c r="O56" s="196">
        <f t="shared" si="3"/>
        <v>0</v>
      </c>
    </row>
    <row r="57" spans="1:15" ht="12.75" customHeight="1" x14ac:dyDescent="0.2">
      <c r="A57" s="837"/>
      <c r="B57" s="169">
        <v>53207010000000</v>
      </c>
      <c r="C57" s="170" t="s">
        <v>56</v>
      </c>
      <c r="D57" s="224">
        <f>N54</f>
        <v>0</v>
      </c>
      <c r="E57" s="558">
        <v>0</v>
      </c>
      <c r="F57" s="559">
        <v>0</v>
      </c>
      <c r="G57" s="224">
        <f t="shared" si="7"/>
        <v>0</v>
      </c>
      <c r="H57" s="173">
        <f t="shared" si="6"/>
        <v>0</v>
      </c>
      <c r="L57" s="170" t="s">
        <v>188</v>
      </c>
      <c r="M57" s="231">
        <v>600000</v>
      </c>
      <c r="N57" s="196">
        <f t="shared" si="2"/>
        <v>420000</v>
      </c>
      <c r="O57" s="196">
        <f t="shared" si="3"/>
        <v>180000</v>
      </c>
    </row>
    <row r="58" spans="1:15" ht="12.75" customHeight="1" x14ac:dyDescent="0.2">
      <c r="A58" s="837"/>
      <c r="B58" s="169">
        <v>53207020000000</v>
      </c>
      <c r="C58" s="170" t="s">
        <v>57</v>
      </c>
      <c r="D58" s="224">
        <f t="shared" ref="D58:D60" si="9">N55</f>
        <v>420000</v>
      </c>
      <c r="E58" s="558">
        <v>0</v>
      </c>
      <c r="F58" s="559">
        <v>0</v>
      </c>
      <c r="G58" s="224">
        <f t="shared" si="7"/>
        <v>0</v>
      </c>
      <c r="H58" s="173">
        <f t="shared" si="6"/>
        <v>420000</v>
      </c>
      <c r="L58" s="170" t="s">
        <v>191</v>
      </c>
      <c r="M58" s="231">
        <v>0</v>
      </c>
      <c r="N58" s="196">
        <f t="shared" si="2"/>
        <v>0</v>
      </c>
      <c r="O58" s="196">
        <f t="shared" si="3"/>
        <v>0</v>
      </c>
    </row>
    <row r="59" spans="1:15" ht="12.75" customHeight="1" x14ac:dyDescent="0.2">
      <c r="A59" s="837"/>
      <c r="B59" s="169">
        <v>53208020000000</v>
      </c>
      <c r="C59" s="170" t="s">
        <v>170</v>
      </c>
      <c r="D59" s="224">
        <f t="shared" si="9"/>
        <v>0</v>
      </c>
      <c r="E59" s="558">
        <v>0</v>
      </c>
      <c r="F59" s="559">
        <v>0</v>
      </c>
      <c r="G59" s="224">
        <f t="shared" si="7"/>
        <v>0</v>
      </c>
      <c r="H59" s="173">
        <f t="shared" si="6"/>
        <v>0</v>
      </c>
      <c r="L59" s="170" t="s">
        <v>189</v>
      </c>
      <c r="M59" s="231">
        <v>0</v>
      </c>
      <c r="N59" s="196">
        <f t="shared" si="2"/>
        <v>0</v>
      </c>
      <c r="O59" s="196">
        <f t="shared" si="3"/>
        <v>0</v>
      </c>
    </row>
    <row r="60" spans="1:15" ht="12.75" customHeight="1" x14ac:dyDescent="0.2">
      <c r="A60" s="837"/>
      <c r="B60" s="169">
        <v>53208990000000</v>
      </c>
      <c r="C60" s="170" t="s">
        <v>188</v>
      </c>
      <c r="D60" s="224">
        <f t="shared" si="9"/>
        <v>420000</v>
      </c>
      <c r="E60" s="558">
        <v>0</v>
      </c>
      <c r="F60" s="559">
        <v>0</v>
      </c>
      <c r="G60" s="224">
        <f t="shared" si="7"/>
        <v>0</v>
      </c>
      <c r="H60" s="173">
        <f t="shared" si="6"/>
        <v>420000</v>
      </c>
      <c r="L60" s="170" t="s">
        <v>64</v>
      </c>
      <c r="M60" s="231">
        <v>1900000</v>
      </c>
      <c r="N60" s="196">
        <f t="shared" si="2"/>
        <v>1330000</v>
      </c>
      <c r="O60" s="196">
        <f t="shared" si="3"/>
        <v>570000</v>
      </c>
    </row>
    <row r="61" spans="1:15" ht="12.75" customHeight="1" x14ac:dyDescent="0.2">
      <c r="A61" s="837"/>
      <c r="B61" s="193">
        <v>53210020300000</v>
      </c>
      <c r="C61" s="170" t="s">
        <v>190</v>
      </c>
      <c r="D61" s="131">
        <v>0</v>
      </c>
      <c r="E61" s="532">
        <v>6326</v>
      </c>
      <c r="F61" s="531">
        <f>+'B) Reajuste Tarifas y Ocupación'!I25</f>
        <v>70</v>
      </c>
      <c r="G61" s="172">
        <f t="shared" si="7"/>
        <v>442820</v>
      </c>
      <c r="H61" s="173">
        <f t="shared" si="6"/>
        <v>442820</v>
      </c>
      <c r="L61" s="165" t="s">
        <v>65</v>
      </c>
      <c r="M61" s="315"/>
      <c r="N61" s="314"/>
      <c r="O61" s="314"/>
    </row>
    <row r="62" spans="1:15" ht="12.75" customHeight="1" x14ac:dyDescent="0.2">
      <c r="A62" s="837"/>
      <c r="B62" s="169">
        <v>53208990000000</v>
      </c>
      <c r="C62" s="170" t="s">
        <v>191</v>
      </c>
      <c r="D62" s="172">
        <f>N58</f>
        <v>0</v>
      </c>
      <c r="E62" s="554">
        <v>0</v>
      </c>
      <c r="F62" s="556">
        <v>0</v>
      </c>
      <c r="G62" s="172">
        <f t="shared" si="7"/>
        <v>0</v>
      </c>
      <c r="H62" s="173">
        <f t="shared" si="6"/>
        <v>0</v>
      </c>
      <c r="L62" s="170" t="s">
        <v>98</v>
      </c>
      <c r="M62" s="231">
        <v>200000</v>
      </c>
      <c r="N62" s="196">
        <f t="shared" si="2"/>
        <v>140000</v>
      </c>
      <c r="O62" s="196">
        <f t="shared" si="3"/>
        <v>60000</v>
      </c>
    </row>
    <row r="63" spans="1:15" ht="12.75" customHeight="1" x14ac:dyDescent="0.2">
      <c r="A63" s="837"/>
      <c r="B63" s="169">
        <v>53209990000000</v>
      </c>
      <c r="C63" s="170" t="s">
        <v>189</v>
      </c>
      <c r="D63" s="172">
        <f t="shared" ref="D63" si="10">N59</f>
        <v>0</v>
      </c>
      <c r="E63" s="554">
        <v>0</v>
      </c>
      <c r="F63" s="556">
        <v>0</v>
      </c>
      <c r="G63" s="172">
        <f t="shared" si="7"/>
        <v>0</v>
      </c>
      <c r="H63" s="173">
        <f t="shared" si="6"/>
        <v>0</v>
      </c>
      <c r="L63" s="170" t="s">
        <v>99</v>
      </c>
      <c r="M63" s="231">
        <v>400000</v>
      </c>
      <c r="N63" s="196">
        <f t="shared" si="2"/>
        <v>280000</v>
      </c>
      <c r="O63" s="196">
        <f t="shared" si="3"/>
        <v>120000</v>
      </c>
    </row>
    <row r="64" spans="1:15" ht="12.75" customHeight="1" x14ac:dyDescent="0.2">
      <c r="A64" s="837"/>
      <c r="B64" s="169">
        <v>53210020100000</v>
      </c>
      <c r="C64" s="170" t="s">
        <v>64</v>
      </c>
      <c r="D64" s="172">
        <f>+N60</f>
        <v>1330000</v>
      </c>
      <c r="E64" s="554">
        <v>0</v>
      </c>
      <c r="F64" s="556">
        <v>0</v>
      </c>
      <c r="G64" s="172">
        <f t="shared" si="7"/>
        <v>0</v>
      </c>
      <c r="H64" s="173">
        <f t="shared" si="6"/>
        <v>1330000</v>
      </c>
      <c r="L64" s="170" t="s">
        <v>192</v>
      </c>
      <c r="M64" s="231">
        <v>0</v>
      </c>
      <c r="N64" s="196">
        <f t="shared" si="2"/>
        <v>0</v>
      </c>
      <c r="O64" s="196">
        <f t="shared" si="3"/>
        <v>0</v>
      </c>
    </row>
    <row r="65" spans="1:15" ht="12.75" customHeight="1" x14ac:dyDescent="0.2">
      <c r="A65" s="837"/>
      <c r="B65" s="164"/>
      <c r="C65" s="165" t="s">
        <v>65</v>
      </c>
      <c r="D65" s="166">
        <f>SUM(D66:D72)</f>
        <v>11970000</v>
      </c>
      <c r="E65" s="560"/>
      <c r="F65" s="560"/>
      <c r="G65" s="166">
        <f>SUM(G66:G72)</f>
        <v>0</v>
      </c>
      <c r="H65" s="168">
        <f>SUM(H66:H72)</f>
        <v>11970000</v>
      </c>
      <c r="L65" s="170" t="s">
        <v>101</v>
      </c>
      <c r="M65" s="231">
        <v>0</v>
      </c>
      <c r="N65" s="196">
        <f t="shared" si="2"/>
        <v>0</v>
      </c>
      <c r="O65" s="196">
        <f t="shared" si="3"/>
        <v>0</v>
      </c>
    </row>
    <row r="66" spans="1:15" ht="12.75" customHeight="1" x14ac:dyDescent="0.2">
      <c r="A66" s="837"/>
      <c r="B66" s="169">
        <v>53206030000000</v>
      </c>
      <c r="C66" s="170" t="s">
        <v>98</v>
      </c>
      <c r="D66" s="224">
        <f>N62</f>
        <v>140000</v>
      </c>
      <c r="E66" s="558">
        <v>0</v>
      </c>
      <c r="F66" s="559">
        <v>0</v>
      </c>
      <c r="G66" s="172">
        <f t="shared" si="7"/>
        <v>0</v>
      </c>
      <c r="H66" s="173">
        <f t="shared" si="6"/>
        <v>140000</v>
      </c>
      <c r="L66" s="197" t="s">
        <v>193</v>
      </c>
      <c r="M66" s="231">
        <v>16500000</v>
      </c>
      <c r="N66" s="196">
        <f t="shared" si="2"/>
        <v>11550000</v>
      </c>
      <c r="O66" s="196">
        <f t="shared" si="3"/>
        <v>4950000</v>
      </c>
    </row>
    <row r="67" spans="1:15" ht="12.75" customHeight="1" x14ac:dyDescent="0.2">
      <c r="A67" s="837"/>
      <c r="B67" s="169">
        <v>53206040000000</v>
      </c>
      <c r="C67" s="170" t="s">
        <v>99</v>
      </c>
      <c r="D67" s="224">
        <f t="shared" ref="D67:D72" si="11">N63</f>
        <v>280000</v>
      </c>
      <c r="E67" s="558">
        <v>0</v>
      </c>
      <c r="F67" s="559">
        <v>0</v>
      </c>
      <c r="G67" s="172">
        <f t="shared" si="7"/>
        <v>0</v>
      </c>
      <c r="H67" s="173">
        <f t="shared" si="6"/>
        <v>280000</v>
      </c>
      <c r="L67" s="170" t="s">
        <v>103</v>
      </c>
      <c r="M67" s="231">
        <v>0</v>
      </c>
      <c r="N67" s="196">
        <f t="shared" si="2"/>
        <v>0</v>
      </c>
      <c r="O67" s="196">
        <f t="shared" si="3"/>
        <v>0</v>
      </c>
    </row>
    <row r="68" spans="1:15" ht="12.75" customHeight="1" x14ac:dyDescent="0.2">
      <c r="A68" s="837"/>
      <c r="B68" s="169">
        <v>53206060000000</v>
      </c>
      <c r="C68" s="170" t="s">
        <v>192</v>
      </c>
      <c r="D68" s="224">
        <f t="shared" si="11"/>
        <v>0</v>
      </c>
      <c r="E68" s="558">
        <v>0</v>
      </c>
      <c r="F68" s="559">
        <v>0</v>
      </c>
      <c r="G68" s="172">
        <f t="shared" si="7"/>
        <v>0</v>
      </c>
      <c r="H68" s="173">
        <f t="shared" si="6"/>
        <v>0</v>
      </c>
      <c r="L68" s="170" t="s">
        <v>214</v>
      </c>
      <c r="M68" s="231">
        <v>0</v>
      </c>
      <c r="N68" s="196">
        <f t="shared" si="2"/>
        <v>0</v>
      </c>
      <c r="O68" s="196">
        <f t="shared" si="3"/>
        <v>0</v>
      </c>
    </row>
    <row r="69" spans="1:15" ht="12.75" customHeight="1" x14ac:dyDescent="0.2">
      <c r="A69" s="837"/>
      <c r="B69" s="169">
        <v>53206070000000</v>
      </c>
      <c r="C69" s="170" t="s">
        <v>101</v>
      </c>
      <c r="D69" s="224">
        <f t="shared" si="11"/>
        <v>0</v>
      </c>
      <c r="E69" s="558">
        <v>0</v>
      </c>
      <c r="F69" s="559">
        <v>0</v>
      </c>
      <c r="G69" s="172">
        <f t="shared" si="7"/>
        <v>0</v>
      </c>
      <c r="H69" s="173">
        <f t="shared" si="6"/>
        <v>0</v>
      </c>
    </row>
    <row r="70" spans="1:15" ht="12.75" customHeight="1" x14ac:dyDescent="0.2">
      <c r="A70" s="837"/>
      <c r="B70" s="169">
        <v>53206990000000</v>
      </c>
      <c r="C70" s="170" t="s">
        <v>193</v>
      </c>
      <c r="D70" s="224">
        <f t="shared" si="11"/>
        <v>11550000</v>
      </c>
      <c r="E70" s="558">
        <v>0</v>
      </c>
      <c r="F70" s="559">
        <v>0</v>
      </c>
      <c r="G70" s="172">
        <f t="shared" si="7"/>
        <v>0</v>
      </c>
      <c r="H70" s="173">
        <f t="shared" si="6"/>
        <v>11550000</v>
      </c>
    </row>
    <row r="71" spans="1:15" ht="12.75" customHeight="1" x14ac:dyDescent="0.2">
      <c r="A71" s="837"/>
      <c r="B71" s="169">
        <v>53208030000000</v>
      </c>
      <c r="C71" s="170" t="s">
        <v>103</v>
      </c>
      <c r="D71" s="224">
        <f t="shared" si="11"/>
        <v>0</v>
      </c>
      <c r="E71" s="558">
        <v>0</v>
      </c>
      <c r="F71" s="559">
        <v>0</v>
      </c>
      <c r="G71" s="172">
        <f t="shared" si="7"/>
        <v>0</v>
      </c>
      <c r="H71" s="173">
        <f t="shared" si="6"/>
        <v>0</v>
      </c>
    </row>
    <row r="72" spans="1:15" ht="12.75" customHeight="1" x14ac:dyDescent="0.2">
      <c r="A72" s="837"/>
      <c r="B72" s="169">
        <v>53206990000000</v>
      </c>
      <c r="C72" s="170" t="s">
        <v>214</v>
      </c>
      <c r="D72" s="224">
        <f t="shared" si="11"/>
        <v>0</v>
      </c>
      <c r="E72" s="558">
        <v>0</v>
      </c>
      <c r="F72" s="559">
        <v>0</v>
      </c>
      <c r="G72" s="172">
        <f t="shared" si="7"/>
        <v>0</v>
      </c>
      <c r="H72" s="173">
        <f>D72+G72</f>
        <v>0</v>
      </c>
    </row>
    <row r="73" spans="1:15" ht="12.75" customHeight="1" x14ac:dyDescent="0.2">
      <c r="A73" s="837"/>
      <c r="B73" s="164"/>
      <c r="C73" s="165" t="s">
        <v>66</v>
      </c>
      <c r="D73" s="166">
        <f>SUM(D74:D74)</f>
        <v>0</v>
      </c>
      <c r="E73" s="236"/>
      <c r="F73" s="236"/>
      <c r="G73" s="166">
        <f>SUM(G74:G74)</f>
        <v>2450000</v>
      </c>
      <c r="H73" s="168">
        <f>SUM(H74:H74)</f>
        <v>2450000</v>
      </c>
    </row>
    <row r="74" spans="1:15" ht="12.75" customHeight="1" x14ac:dyDescent="0.2">
      <c r="A74" s="837"/>
      <c r="B74" s="194"/>
      <c r="C74" s="182" t="s">
        <v>215</v>
      </c>
      <c r="D74" s="86">
        <v>0</v>
      </c>
      <c r="E74" s="86">
        <f>3500*10</f>
        <v>35000</v>
      </c>
      <c r="F74" s="221">
        <v>70</v>
      </c>
      <c r="G74" s="172">
        <f t="shared" si="7"/>
        <v>2450000</v>
      </c>
      <c r="H74" s="183">
        <f t="shared" si="6"/>
        <v>2450000</v>
      </c>
      <c r="I74" s="359" t="s">
        <v>216</v>
      </c>
      <c r="J74" s="180">
        <f>+H72+H71+H70+H69+H68+H67+H66+H64+H63+H62+H61+H60+H59+H58+H57+H55+H52+H51+H50+H49+H48+H46+H44+H43+H37+H36+H35+H33+H32+H31+H30+H29+H28+H27+H26+H25+H24+H23</f>
        <v>25971093.399999999</v>
      </c>
    </row>
    <row r="75" spans="1:15" collapsed="1" x14ac:dyDescent="0.2">
      <c r="A75" s="837"/>
      <c r="B75" s="195"/>
      <c r="C75" s="184" t="s">
        <v>104</v>
      </c>
      <c r="D75" s="185">
        <f>SUM(D12,D39)</f>
        <v>80094348.569999993</v>
      </c>
      <c r="E75" s="186"/>
      <c r="F75" s="186"/>
      <c r="G75" s="185">
        <f>SUM(G12,G39)</f>
        <v>15054270</v>
      </c>
      <c r="H75" s="181">
        <f>SUM(H12,H39)</f>
        <v>98421438.569999993</v>
      </c>
      <c r="I75" s="358" t="s">
        <v>217</v>
      </c>
      <c r="J75" s="187">
        <f>+H75-J74</f>
        <v>72450345.169999987</v>
      </c>
    </row>
    <row r="76" spans="1:15" ht="15.75" customHeight="1" x14ac:dyDescent="0.2">
      <c r="A76" s="837" t="s">
        <v>231</v>
      </c>
      <c r="B76" s="192"/>
      <c r="C76" s="160" t="s">
        <v>11</v>
      </c>
      <c r="D76" s="161">
        <f>SUM(D77+D82)</f>
        <v>17735241.880000003</v>
      </c>
      <c r="E76" s="220"/>
      <c r="F76" s="220"/>
      <c r="G76" s="162">
        <f>SUM(G77,G82)</f>
        <v>5811750</v>
      </c>
      <c r="H76" s="163">
        <f>SUM(H77,H82)</f>
        <v>23546991.880000003</v>
      </c>
    </row>
    <row r="77" spans="1:15" ht="12.75" customHeight="1" x14ac:dyDescent="0.2">
      <c r="A77" s="837"/>
      <c r="B77" s="164"/>
      <c r="C77" s="165" t="s">
        <v>12</v>
      </c>
      <c r="D77" s="166">
        <f>SUM(D78:D81)</f>
        <v>14411241.880000001</v>
      </c>
      <c r="E77" s="560"/>
      <c r="F77" s="560"/>
      <c r="G77" s="167">
        <f>SUM(G78:G81)</f>
        <v>0</v>
      </c>
      <c r="H77" s="168">
        <f>SUM(H78:H81)</f>
        <v>14411241.880000001</v>
      </c>
    </row>
    <row r="78" spans="1:15" ht="12.75" customHeight="1" x14ac:dyDescent="0.2">
      <c r="A78" s="837"/>
      <c r="B78" s="169">
        <v>53103040100000</v>
      </c>
      <c r="C78" s="170" t="s">
        <v>94</v>
      </c>
      <c r="D78" s="171">
        <f>+'F) Remuneraciones'!L23</f>
        <v>14411241.880000001</v>
      </c>
      <c r="E78" s="554">
        <v>0</v>
      </c>
      <c r="F78" s="562">
        <v>0</v>
      </c>
      <c r="G78" s="172">
        <f>E78*F78</f>
        <v>0</v>
      </c>
      <c r="H78" s="173">
        <f>D78+G78</f>
        <v>14411241.880000001</v>
      </c>
    </row>
    <row r="79" spans="1:15" ht="12.75" customHeight="1" x14ac:dyDescent="0.2">
      <c r="A79" s="837"/>
      <c r="B79" s="169">
        <v>53103050000000</v>
      </c>
      <c r="C79" s="170" t="s">
        <v>171</v>
      </c>
      <c r="D79" s="86">
        <v>0</v>
      </c>
      <c r="E79" s="88">
        <v>0</v>
      </c>
      <c r="F79" s="87">
        <v>0</v>
      </c>
      <c r="G79" s="172">
        <f>E79*F79</f>
        <v>0</v>
      </c>
      <c r="H79" s="173">
        <f>D79+G79</f>
        <v>0</v>
      </c>
    </row>
    <row r="80" spans="1:15" ht="12.75" customHeight="1" x14ac:dyDescent="0.2">
      <c r="A80" s="837"/>
      <c r="B80" s="193">
        <v>53103040400000</v>
      </c>
      <c r="C80" s="174" t="s">
        <v>172</v>
      </c>
      <c r="D80" s="86">
        <v>0</v>
      </c>
      <c r="E80" s="88">
        <v>0</v>
      </c>
      <c r="F80" s="87">
        <v>0</v>
      </c>
      <c r="G80" s="172">
        <f>E80*F80</f>
        <v>0</v>
      </c>
      <c r="H80" s="173">
        <f>D80+G80</f>
        <v>0</v>
      </c>
    </row>
    <row r="81" spans="1:8" ht="12.75" customHeight="1" x14ac:dyDescent="0.2">
      <c r="A81" s="837"/>
      <c r="B81" s="169">
        <v>53103080010000</v>
      </c>
      <c r="C81" s="170" t="s">
        <v>173</v>
      </c>
      <c r="D81" s="86">
        <v>0</v>
      </c>
      <c r="E81" s="88">
        <v>0</v>
      </c>
      <c r="F81" s="87">
        <v>0</v>
      </c>
      <c r="G81" s="172">
        <f>E81*F81</f>
        <v>0</v>
      </c>
      <c r="H81" s="173">
        <f>D81+G81</f>
        <v>0</v>
      </c>
    </row>
    <row r="82" spans="1:8" ht="12.75" customHeight="1" x14ac:dyDescent="0.2">
      <c r="A82" s="837"/>
      <c r="B82" s="164"/>
      <c r="C82" s="165" t="s">
        <v>16</v>
      </c>
      <c r="D82" s="166">
        <f>SUM(D83:D102)</f>
        <v>3324000</v>
      </c>
      <c r="E82" s="560"/>
      <c r="F82" s="560"/>
      <c r="G82" s="166">
        <f>SUM(G83:G102)</f>
        <v>5811750</v>
      </c>
      <c r="H82" s="168">
        <f>SUM(H83:H102)</f>
        <v>9135750</v>
      </c>
    </row>
    <row r="83" spans="1:8" ht="12.75" customHeight="1" x14ac:dyDescent="0.2">
      <c r="A83" s="837"/>
      <c r="B83" s="169">
        <v>53201010100000</v>
      </c>
      <c r="C83" s="175" t="s">
        <v>174</v>
      </c>
      <c r="D83" s="551">
        <v>0</v>
      </c>
      <c r="E83" s="552">
        <f>21*11*1</f>
        <v>231</v>
      </c>
      <c r="F83" s="553">
        <v>2250</v>
      </c>
      <c r="G83" s="172">
        <f t="shared" ref="G83:G102" si="12">E83*F83</f>
        <v>519750</v>
      </c>
      <c r="H83" s="173">
        <f t="shared" ref="H83:H86" si="13">D83+G83</f>
        <v>519750</v>
      </c>
    </row>
    <row r="84" spans="1:8" ht="12.75" customHeight="1" x14ac:dyDescent="0.2">
      <c r="A84" s="837"/>
      <c r="B84" s="169">
        <v>53201010100000</v>
      </c>
      <c r="C84" s="175" t="s">
        <v>175</v>
      </c>
      <c r="D84" s="551">
        <v>0</v>
      </c>
      <c r="E84" s="552">
        <f>+(21*12*14)</f>
        <v>3528</v>
      </c>
      <c r="F84" s="553">
        <v>1500</v>
      </c>
      <c r="G84" s="172">
        <f t="shared" si="12"/>
        <v>5292000</v>
      </c>
      <c r="H84" s="173">
        <f t="shared" si="13"/>
        <v>5292000</v>
      </c>
    </row>
    <row r="85" spans="1:8" ht="12.75" customHeight="1" x14ac:dyDescent="0.2">
      <c r="A85" s="837"/>
      <c r="B85" s="169">
        <v>53201010100000</v>
      </c>
      <c r="C85" s="175" t="s">
        <v>176</v>
      </c>
      <c r="D85" s="551">
        <v>0</v>
      </c>
      <c r="E85" s="552">
        <v>0</v>
      </c>
      <c r="F85" s="553">
        <v>0</v>
      </c>
      <c r="G85" s="172">
        <f t="shared" si="12"/>
        <v>0</v>
      </c>
      <c r="H85" s="173">
        <f t="shared" si="13"/>
        <v>0</v>
      </c>
    </row>
    <row r="86" spans="1:8" ht="12.75" customHeight="1" x14ac:dyDescent="0.2">
      <c r="A86" s="837"/>
      <c r="B86" s="169">
        <v>53202010100000</v>
      </c>
      <c r="C86" s="170" t="s">
        <v>177</v>
      </c>
      <c r="D86" s="172">
        <f>+O21</f>
        <v>0</v>
      </c>
      <c r="E86" s="554">
        <v>0</v>
      </c>
      <c r="F86" s="556">
        <v>0</v>
      </c>
      <c r="G86" s="172">
        <f t="shared" si="12"/>
        <v>0</v>
      </c>
      <c r="H86" s="173">
        <f t="shared" si="13"/>
        <v>0</v>
      </c>
    </row>
    <row r="87" spans="1:8" ht="12.75" customHeight="1" x14ac:dyDescent="0.2">
      <c r="A87" s="837"/>
      <c r="B87" s="169">
        <v>53203010100000</v>
      </c>
      <c r="C87" s="170" t="s">
        <v>19</v>
      </c>
      <c r="D87" s="172">
        <f t="shared" ref="D87:D102" si="14">+O22</f>
        <v>0</v>
      </c>
      <c r="E87" s="554">
        <v>0</v>
      </c>
      <c r="F87" s="556">
        <v>0</v>
      </c>
      <c r="G87" s="172">
        <f t="shared" si="12"/>
        <v>0</v>
      </c>
      <c r="H87" s="173">
        <f>D87+G87</f>
        <v>0</v>
      </c>
    </row>
    <row r="88" spans="1:8" ht="12.75" customHeight="1" x14ac:dyDescent="0.2">
      <c r="A88" s="837"/>
      <c r="B88" s="169">
        <v>53203030000000</v>
      </c>
      <c r="C88" s="170" t="s">
        <v>178</v>
      </c>
      <c r="D88" s="172">
        <f t="shared" si="14"/>
        <v>0</v>
      </c>
      <c r="E88" s="554">
        <v>0</v>
      </c>
      <c r="F88" s="556">
        <v>0</v>
      </c>
      <c r="G88" s="172">
        <f t="shared" si="12"/>
        <v>0</v>
      </c>
      <c r="H88" s="173">
        <f t="shared" ref="H88" si="15">D88+G88</f>
        <v>0</v>
      </c>
    </row>
    <row r="89" spans="1:8" ht="12.75" customHeight="1" x14ac:dyDescent="0.2">
      <c r="A89" s="837"/>
      <c r="B89" s="169">
        <v>53204030000000</v>
      </c>
      <c r="C89" s="170" t="s">
        <v>212</v>
      </c>
      <c r="D89" s="172">
        <f t="shared" si="14"/>
        <v>39000</v>
      </c>
      <c r="E89" s="554">
        <v>0</v>
      </c>
      <c r="F89" s="556">
        <v>0</v>
      </c>
      <c r="G89" s="172">
        <f t="shared" si="12"/>
        <v>0</v>
      </c>
      <c r="H89" s="173">
        <f>D89+G89</f>
        <v>39000</v>
      </c>
    </row>
    <row r="90" spans="1:8" ht="12.75" customHeight="1" x14ac:dyDescent="0.2">
      <c r="A90" s="837"/>
      <c r="B90" s="169">
        <v>53204100100001</v>
      </c>
      <c r="C90" s="170" t="s">
        <v>22</v>
      </c>
      <c r="D90" s="554">
        <f>+O25</f>
        <v>450000</v>
      </c>
      <c r="E90" s="554">
        <v>0</v>
      </c>
      <c r="F90" s="556">
        <v>0</v>
      </c>
      <c r="G90" s="172">
        <f t="shared" si="12"/>
        <v>0</v>
      </c>
      <c r="H90" s="173">
        <f t="shared" ref="H90:H102" si="16">D90+G90</f>
        <v>450000</v>
      </c>
    </row>
    <row r="91" spans="1:8" ht="12.75" customHeight="1" x14ac:dyDescent="0.2">
      <c r="A91" s="837"/>
      <c r="B91" s="169">
        <v>53204130100000</v>
      </c>
      <c r="C91" s="170" t="s">
        <v>180</v>
      </c>
      <c r="D91" s="172">
        <f t="shared" si="14"/>
        <v>0</v>
      </c>
      <c r="E91" s="554">
        <v>0</v>
      </c>
      <c r="F91" s="556">
        <v>0</v>
      </c>
      <c r="G91" s="172">
        <f t="shared" si="12"/>
        <v>0</v>
      </c>
      <c r="H91" s="173">
        <f t="shared" si="16"/>
        <v>0</v>
      </c>
    </row>
    <row r="92" spans="1:8" ht="12.75" customHeight="1" x14ac:dyDescent="0.2">
      <c r="A92" s="837"/>
      <c r="B92" s="169">
        <v>53205010100000</v>
      </c>
      <c r="C92" s="170" t="s">
        <v>24</v>
      </c>
      <c r="D92" s="172">
        <f t="shared" si="14"/>
        <v>450000</v>
      </c>
      <c r="E92" s="554">
        <v>0</v>
      </c>
      <c r="F92" s="556">
        <v>0</v>
      </c>
      <c r="G92" s="172">
        <f t="shared" si="12"/>
        <v>0</v>
      </c>
      <c r="H92" s="173">
        <f t="shared" si="16"/>
        <v>450000</v>
      </c>
    </row>
    <row r="93" spans="1:8" ht="12.75" customHeight="1" x14ac:dyDescent="0.2">
      <c r="A93" s="837"/>
      <c r="B93" s="169">
        <v>53205020100000</v>
      </c>
      <c r="C93" s="170" t="s">
        <v>25</v>
      </c>
      <c r="D93" s="172">
        <f t="shared" si="14"/>
        <v>420000</v>
      </c>
      <c r="E93" s="554">
        <v>0</v>
      </c>
      <c r="F93" s="556">
        <v>0</v>
      </c>
      <c r="G93" s="172">
        <f t="shared" si="12"/>
        <v>0</v>
      </c>
      <c r="H93" s="173">
        <f t="shared" si="16"/>
        <v>420000</v>
      </c>
    </row>
    <row r="94" spans="1:8" ht="12.75" customHeight="1" x14ac:dyDescent="0.2">
      <c r="A94" s="837"/>
      <c r="B94" s="169">
        <v>53205030100000</v>
      </c>
      <c r="C94" s="170" t="s">
        <v>26</v>
      </c>
      <c r="D94" s="172">
        <f t="shared" si="14"/>
        <v>255000</v>
      </c>
      <c r="E94" s="554">
        <v>0</v>
      </c>
      <c r="F94" s="556">
        <v>0</v>
      </c>
      <c r="G94" s="172">
        <f t="shared" si="12"/>
        <v>0</v>
      </c>
      <c r="H94" s="173">
        <f t="shared" si="16"/>
        <v>255000</v>
      </c>
    </row>
    <row r="95" spans="1:8" ht="12.75" customHeight="1" x14ac:dyDescent="0.2">
      <c r="A95" s="837"/>
      <c r="B95" s="169">
        <v>53205050100000</v>
      </c>
      <c r="C95" s="170" t="s">
        <v>27</v>
      </c>
      <c r="D95" s="172">
        <f t="shared" si="14"/>
        <v>0</v>
      </c>
      <c r="E95" s="554">
        <v>0</v>
      </c>
      <c r="F95" s="556">
        <v>0</v>
      </c>
      <c r="G95" s="172">
        <f t="shared" si="12"/>
        <v>0</v>
      </c>
      <c r="H95" s="173">
        <f t="shared" si="16"/>
        <v>0</v>
      </c>
    </row>
    <row r="96" spans="1:8" ht="12.75" customHeight="1" x14ac:dyDescent="0.2">
      <c r="A96" s="837"/>
      <c r="B96" s="169">
        <v>53205070100000</v>
      </c>
      <c r="C96" s="170" t="s">
        <v>29</v>
      </c>
      <c r="D96" s="172">
        <f t="shared" si="14"/>
        <v>150000</v>
      </c>
      <c r="E96" s="554">
        <v>0</v>
      </c>
      <c r="F96" s="556">
        <v>0</v>
      </c>
      <c r="G96" s="172">
        <f t="shared" si="12"/>
        <v>0</v>
      </c>
      <c r="H96" s="173">
        <f t="shared" si="16"/>
        <v>150000</v>
      </c>
    </row>
    <row r="97" spans="1:8" ht="12.75" customHeight="1" x14ac:dyDescent="0.2">
      <c r="A97" s="837"/>
      <c r="B97" s="169">
        <v>53208010100000</v>
      </c>
      <c r="C97" s="170" t="s">
        <v>30</v>
      </c>
      <c r="D97" s="172">
        <f t="shared" si="14"/>
        <v>0</v>
      </c>
      <c r="E97" s="554">
        <v>0</v>
      </c>
      <c r="F97" s="556">
        <v>0</v>
      </c>
      <c r="G97" s="172">
        <f t="shared" si="12"/>
        <v>0</v>
      </c>
      <c r="H97" s="173">
        <f t="shared" si="16"/>
        <v>0</v>
      </c>
    </row>
    <row r="98" spans="1:8" ht="12.75" customHeight="1" x14ac:dyDescent="0.2">
      <c r="A98" s="837"/>
      <c r="B98" s="169">
        <v>53208070100001</v>
      </c>
      <c r="C98" s="170" t="s">
        <v>31</v>
      </c>
      <c r="D98" s="172">
        <f t="shared" si="14"/>
        <v>120000</v>
      </c>
      <c r="E98" s="554">
        <v>0</v>
      </c>
      <c r="F98" s="556">
        <v>0</v>
      </c>
      <c r="G98" s="172">
        <f t="shared" si="12"/>
        <v>0</v>
      </c>
      <c r="H98" s="173">
        <f t="shared" si="16"/>
        <v>120000</v>
      </c>
    </row>
    <row r="99" spans="1:8" ht="12.75" customHeight="1" x14ac:dyDescent="0.2">
      <c r="A99" s="837"/>
      <c r="B99" s="169">
        <v>53208100100001</v>
      </c>
      <c r="C99" s="170" t="s">
        <v>181</v>
      </c>
      <c r="D99" s="172">
        <f t="shared" si="14"/>
        <v>0</v>
      </c>
      <c r="E99" s="554">
        <v>0</v>
      </c>
      <c r="F99" s="556">
        <v>0</v>
      </c>
      <c r="G99" s="172">
        <f t="shared" si="12"/>
        <v>0</v>
      </c>
      <c r="H99" s="173">
        <f t="shared" si="16"/>
        <v>0</v>
      </c>
    </row>
    <row r="100" spans="1:8" ht="12.75" customHeight="1" x14ac:dyDescent="0.2">
      <c r="A100" s="837"/>
      <c r="B100" s="169">
        <v>53211030000000</v>
      </c>
      <c r="C100" s="170" t="s">
        <v>32</v>
      </c>
      <c r="D100" s="172">
        <f t="shared" si="14"/>
        <v>0</v>
      </c>
      <c r="E100" s="554">
        <v>0</v>
      </c>
      <c r="F100" s="556">
        <v>0</v>
      </c>
      <c r="G100" s="172">
        <f t="shared" si="12"/>
        <v>0</v>
      </c>
      <c r="H100" s="173">
        <f t="shared" si="16"/>
        <v>0</v>
      </c>
    </row>
    <row r="101" spans="1:8" ht="12.75" customHeight="1" x14ac:dyDescent="0.2">
      <c r="A101" s="837"/>
      <c r="B101" s="169">
        <v>53212020100000</v>
      </c>
      <c r="C101" s="170" t="s">
        <v>182</v>
      </c>
      <c r="D101" s="172">
        <f t="shared" si="14"/>
        <v>1440000</v>
      </c>
      <c r="E101" s="554">
        <v>0</v>
      </c>
      <c r="F101" s="556">
        <v>0</v>
      </c>
      <c r="G101" s="172">
        <f t="shared" si="12"/>
        <v>0</v>
      </c>
      <c r="H101" s="173">
        <f t="shared" si="16"/>
        <v>1440000</v>
      </c>
    </row>
    <row r="102" spans="1:8" ht="12.75" customHeight="1" x14ac:dyDescent="0.2">
      <c r="A102" s="837"/>
      <c r="B102" s="169">
        <v>53214020000000</v>
      </c>
      <c r="C102" s="170" t="s">
        <v>183</v>
      </c>
      <c r="D102" s="172">
        <f t="shared" si="14"/>
        <v>0</v>
      </c>
      <c r="E102" s="554">
        <v>0</v>
      </c>
      <c r="F102" s="556">
        <v>0</v>
      </c>
      <c r="G102" s="172">
        <f t="shared" si="12"/>
        <v>0</v>
      </c>
      <c r="H102" s="173">
        <f t="shared" si="16"/>
        <v>0</v>
      </c>
    </row>
    <row r="103" spans="1:8" ht="15.75" customHeight="1" x14ac:dyDescent="0.2">
      <c r="A103" s="837"/>
      <c r="B103" s="192"/>
      <c r="C103" s="160" t="s">
        <v>34</v>
      </c>
      <c r="D103" s="176">
        <f>SUM(D104,D109,D111,D120,D129,D137)</f>
        <v>9446688.5999999996</v>
      </c>
      <c r="E103" s="563"/>
      <c r="F103" s="563"/>
      <c r="G103" s="161"/>
      <c r="H103" s="176">
        <f>SUM(H104,H109,H111,H120,H129,H137)</f>
        <v>10165252.6</v>
      </c>
    </row>
    <row r="104" spans="1:8" ht="12.75" customHeight="1" x14ac:dyDescent="0.2">
      <c r="A104" s="837"/>
      <c r="B104" s="164"/>
      <c r="C104" s="165" t="s">
        <v>35</v>
      </c>
      <c r="D104" s="166">
        <f>SUM(D105:D108)</f>
        <v>206688.59999999998</v>
      </c>
      <c r="E104" s="560"/>
      <c r="F104" s="560"/>
      <c r="G104" s="166">
        <f>SUM(G105:G108)</f>
        <v>140000</v>
      </c>
      <c r="H104" s="166">
        <f>SUM(H105:H108)</f>
        <v>346688.6</v>
      </c>
    </row>
    <row r="105" spans="1:8" ht="12.75" customHeight="1" x14ac:dyDescent="0.2">
      <c r="A105" s="837"/>
      <c r="B105" s="169">
        <v>53202020100000</v>
      </c>
      <c r="C105" s="170" t="s">
        <v>184</v>
      </c>
      <c r="D105" s="86">
        <f>30000*3</f>
        <v>90000</v>
      </c>
      <c r="E105" s="88">
        <v>30000</v>
      </c>
      <c r="F105" s="557">
        <v>3</v>
      </c>
      <c r="G105" s="172">
        <f>E105*F105</f>
        <v>90000</v>
      </c>
      <c r="H105" s="173">
        <f t="shared" ref="H105:H108" si="17">D105+G105</f>
        <v>180000</v>
      </c>
    </row>
    <row r="106" spans="1:8" ht="12.75" customHeight="1" x14ac:dyDescent="0.2">
      <c r="A106" s="837"/>
      <c r="B106" s="169">
        <v>53202030000000</v>
      </c>
      <c r="C106" s="170" t="s">
        <v>234</v>
      </c>
      <c r="D106" s="86">
        <v>0</v>
      </c>
      <c r="E106" s="88">
        <v>50000</v>
      </c>
      <c r="F106" s="557">
        <v>1</v>
      </c>
      <c r="G106" s="172">
        <f t="shared" ref="G106:G108" si="18">E106*F106</f>
        <v>50000</v>
      </c>
      <c r="H106" s="173">
        <f t="shared" si="17"/>
        <v>50000</v>
      </c>
    </row>
    <row r="107" spans="1:8" ht="12.75" customHeight="1" x14ac:dyDescent="0.2">
      <c r="A107" s="837"/>
      <c r="B107" s="169">
        <v>53211020000000</v>
      </c>
      <c r="C107" s="170" t="s">
        <v>41</v>
      </c>
      <c r="D107" s="224">
        <f>O40</f>
        <v>0</v>
      </c>
      <c r="E107" s="558">
        <v>0</v>
      </c>
      <c r="F107" s="559">
        <v>0</v>
      </c>
      <c r="G107" s="172">
        <f t="shared" si="18"/>
        <v>0</v>
      </c>
      <c r="H107" s="173">
        <f t="shared" si="17"/>
        <v>0</v>
      </c>
    </row>
    <row r="108" spans="1:8" ht="12.75" customHeight="1" x14ac:dyDescent="0.2">
      <c r="A108" s="837"/>
      <c r="B108" s="169">
        <v>53101040600000</v>
      </c>
      <c r="C108" s="170" t="s">
        <v>186</v>
      </c>
      <c r="D108" s="224">
        <f>O41</f>
        <v>116688.59999999999</v>
      </c>
      <c r="E108" s="558">
        <v>0</v>
      </c>
      <c r="F108" s="559">
        <v>0</v>
      </c>
      <c r="G108" s="172">
        <f t="shared" si="18"/>
        <v>0</v>
      </c>
      <c r="H108" s="173">
        <f t="shared" si="17"/>
        <v>116688.59999999999</v>
      </c>
    </row>
    <row r="109" spans="1:8" ht="12.75" customHeight="1" x14ac:dyDescent="0.2">
      <c r="A109" s="837"/>
      <c r="B109" s="164"/>
      <c r="C109" s="165" t="s">
        <v>42</v>
      </c>
      <c r="D109" s="166">
        <f>SUM(D110:D110)</f>
        <v>0</v>
      </c>
      <c r="E109" s="560"/>
      <c r="F109" s="560"/>
      <c r="G109" s="177">
        <f>SUM(G110:G110)</f>
        <v>0</v>
      </c>
      <c r="H109" s="178">
        <f>SUM(H110:H110)</f>
        <v>0</v>
      </c>
    </row>
    <row r="110" spans="1:8" ht="12.75" customHeight="1" x14ac:dyDescent="0.2">
      <c r="A110" s="837"/>
      <c r="B110" s="179">
        <v>53205990000000</v>
      </c>
      <c r="C110" s="170" t="s">
        <v>44</v>
      </c>
      <c r="D110" s="224">
        <f>O43</f>
        <v>0</v>
      </c>
      <c r="E110" s="558">
        <v>0</v>
      </c>
      <c r="F110" s="559">
        <v>0</v>
      </c>
      <c r="G110" s="172">
        <f t="shared" ref="G110" si="19">E110*F110</f>
        <v>0</v>
      </c>
      <c r="H110" s="173">
        <f t="shared" ref="H110" si="20">D110+G110</f>
        <v>0</v>
      </c>
    </row>
    <row r="111" spans="1:8" ht="12.75" customHeight="1" x14ac:dyDescent="0.2">
      <c r="A111" s="837"/>
      <c r="B111" s="164"/>
      <c r="C111" s="165" t="s">
        <v>45</v>
      </c>
      <c r="D111" s="166">
        <f>SUM(D112:D119)</f>
        <v>3180000</v>
      </c>
      <c r="E111" s="560"/>
      <c r="F111" s="560"/>
      <c r="G111" s="166">
        <f>SUM(G112:G119)</f>
        <v>0</v>
      </c>
      <c r="H111" s="168">
        <f>SUM(H112:H119)</f>
        <v>3180000</v>
      </c>
    </row>
    <row r="112" spans="1:8" ht="12.75" customHeight="1" x14ac:dyDescent="0.2">
      <c r="A112" s="837"/>
      <c r="B112" s="169">
        <v>53204010000000</v>
      </c>
      <c r="C112" s="170" t="s">
        <v>47</v>
      </c>
      <c r="D112" s="224">
        <f>+O45</f>
        <v>150000</v>
      </c>
      <c r="E112" s="558">
        <v>0</v>
      </c>
      <c r="F112" s="559">
        <v>0</v>
      </c>
      <c r="G112" s="224">
        <f t="shared" ref="G112:G119" si="21">E112*F112</f>
        <v>0</v>
      </c>
      <c r="H112" s="173">
        <f t="shared" ref="H112:H119" si="22">D112+G112</f>
        <v>150000</v>
      </c>
    </row>
    <row r="113" spans="1:8" ht="12.75" customHeight="1" x14ac:dyDescent="0.2">
      <c r="A113" s="837"/>
      <c r="B113" s="179">
        <v>53204040200000</v>
      </c>
      <c r="C113" s="170" t="s">
        <v>213</v>
      </c>
      <c r="D113" s="224">
        <f t="shared" ref="D113:D119" si="23">+O46</f>
        <v>0</v>
      </c>
      <c r="E113" s="558">
        <v>0</v>
      </c>
      <c r="F113" s="559">
        <v>0</v>
      </c>
      <c r="G113" s="224">
        <f t="shared" si="21"/>
        <v>0</v>
      </c>
      <c r="H113" s="173">
        <f t="shared" si="22"/>
        <v>0</v>
      </c>
    </row>
    <row r="114" spans="1:8" ht="12.75" customHeight="1" x14ac:dyDescent="0.2">
      <c r="A114" s="837"/>
      <c r="B114" s="169">
        <v>53204060000000</v>
      </c>
      <c r="C114" s="170" t="s">
        <v>49</v>
      </c>
      <c r="D114" s="224">
        <f t="shared" si="23"/>
        <v>0</v>
      </c>
      <c r="E114" s="558">
        <v>0</v>
      </c>
      <c r="F114" s="559">
        <v>0</v>
      </c>
      <c r="G114" s="224">
        <f t="shared" si="21"/>
        <v>0</v>
      </c>
      <c r="H114" s="173">
        <f t="shared" si="22"/>
        <v>0</v>
      </c>
    </row>
    <row r="115" spans="1:8" ht="12.75" customHeight="1" x14ac:dyDescent="0.2">
      <c r="A115" s="837"/>
      <c r="B115" s="169">
        <v>53204070000000</v>
      </c>
      <c r="C115" s="170" t="s">
        <v>50</v>
      </c>
      <c r="D115" s="224">
        <f t="shared" si="23"/>
        <v>1260000</v>
      </c>
      <c r="E115" s="558">
        <v>0</v>
      </c>
      <c r="F115" s="559">
        <v>0</v>
      </c>
      <c r="G115" s="224">
        <f t="shared" si="21"/>
        <v>0</v>
      </c>
      <c r="H115" s="173">
        <f t="shared" si="22"/>
        <v>1260000</v>
      </c>
    </row>
    <row r="116" spans="1:8" ht="12.75" customHeight="1" x14ac:dyDescent="0.2">
      <c r="A116" s="837"/>
      <c r="B116" s="169">
        <v>53204080000000</v>
      </c>
      <c r="C116" s="170" t="s">
        <v>51</v>
      </c>
      <c r="D116" s="224">
        <f t="shared" si="23"/>
        <v>150000</v>
      </c>
      <c r="E116" s="558">
        <v>0</v>
      </c>
      <c r="F116" s="559">
        <v>0</v>
      </c>
      <c r="G116" s="224">
        <f t="shared" si="21"/>
        <v>0</v>
      </c>
      <c r="H116" s="173">
        <f t="shared" si="22"/>
        <v>150000</v>
      </c>
    </row>
    <row r="117" spans="1:8" ht="12.75" customHeight="1" x14ac:dyDescent="0.2">
      <c r="A117" s="837"/>
      <c r="B117" s="169">
        <v>53214010000000</v>
      </c>
      <c r="C117" s="170" t="s">
        <v>52</v>
      </c>
      <c r="D117" s="224">
        <f t="shared" si="23"/>
        <v>1350000</v>
      </c>
      <c r="E117" s="561">
        <v>0</v>
      </c>
      <c r="F117" s="559">
        <v>0</v>
      </c>
      <c r="G117" s="224">
        <f t="shared" si="21"/>
        <v>0</v>
      </c>
      <c r="H117" s="173">
        <f t="shared" si="22"/>
        <v>1350000</v>
      </c>
    </row>
    <row r="118" spans="1:8" ht="12.75" customHeight="1" x14ac:dyDescent="0.2">
      <c r="A118" s="837"/>
      <c r="B118" s="169">
        <v>53214040000000</v>
      </c>
      <c r="C118" s="170" t="s">
        <v>187</v>
      </c>
      <c r="D118" s="224">
        <f t="shared" si="23"/>
        <v>270000</v>
      </c>
      <c r="E118" s="561">
        <v>0</v>
      </c>
      <c r="F118" s="559">
        <v>0</v>
      </c>
      <c r="G118" s="224">
        <f t="shared" si="21"/>
        <v>0</v>
      </c>
      <c r="H118" s="173">
        <f t="shared" si="22"/>
        <v>270000</v>
      </c>
    </row>
    <row r="119" spans="1:8" ht="12.75" customHeight="1" x14ac:dyDescent="0.2">
      <c r="A119" s="837"/>
      <c r="B119" s="193">
        <v>53204020100000</v>
      </c>
      <c r="C119" s="170" t="s">
        <v>179</v>
      </c>
      <c r="D119" s="224">
        <f t="shared" si="23"/>
        <v>0</v>
      </c>
      <c r="E119" s="558">
        <v>0</v>
      </c>
      <c r="F119" s="559">
        <v>0</v>
      </c>
      <c r="G119" s="224">
        <f t="shared" si="21"/>
        <v>0</v>
      </c>
      <c r="H119" s="173">
        <f t="shared" si="22"/>
        <v>0</v>
      </c>
    </row>
    <row r="120" spans="1:8" ht="12.75" customHeight="1" x14ac:dyDescent="0.2">
      <c r="A120" s="837"/>
      <c r="B120" s="164"/>
      <c r="C120" s="165" t="s">
        <v>55</v>
      </c>
      <c r="D120" s="166">
        <f>SUM(D121:D128)</f>
        <v>930000</v>
      </c>
      <c r="E120" s="560"/>
      <c r="F120" s="560"/>
      <c r="G120" s="166">
        <f>SUM(G121:G128)</f>
        <v>88564</v>
      </c>
      <c r="H120" s="168">
        <f>SUM(H121:H128)</f>
        <v>1018564</v>
      </c>
    </row>
    <row r="121" spans="1:8" ht="12.75" customHeight="1" x14ac:dyDescent="0.2">
      <c r="A121" s="837"/>
      <c r="B121" s="169">
        <v>53207010000000</v>
      </c>
      <c r="C121" s="170" t="s">
        <v>56</v>
      </c>
      <c r="D121" s="224">
        <f>+O54</f>
        <v>0</v>
      </c>
      <c r="E121" s="558">
        <v>0</v>
      </c>
      <c r="F121" s="559">
        <v>0</v>
      </c>
      <c r="G121" s="224">
        <f t="shared" ref="G121:G128" si="24">E121*F121</f>
        <v>0</v>
      </c>
      <c r="H121" s="173">
        <f t="shared" ref="H121:H128" si="25">D121+G121</f>
        <v>0</v>
      </c>
    </row>
    <row r="122" spans="1:8" ht="12.75" customHeight="1" x14ac:dyDescent="0.2">
      <c r="A122" s="837"/>
      <c r="B122" s="169">
        <v>53207020000000</v>
      </c>
      <c r="C122" s="170" t="s">
        <v>57</v>
      </c>
      <c r="D122" s="224">
        <f t="shared" ref="D122:D124" si="26">+O55</f>
        <v>180000</v>
      </c>
      <c r="E122" s="558">
        <v>0</v>
      </c>
      <c r="F122" s="559">
        <v>0</v>
      </c>
      <c r="G122" s="224">
        <f t="shared" si="24"/>
        <v>0</v>
      </c>
      <c r="H122" s="173">
        <f t="shared" si="25"/>
        <v>180000</v>
      </c>
    </row>
    <row r="123" spans="1:8" ht="12.75" customHeight="1" x14ac:dyDescent="0.2">
      <c r="A123" s="837"/>
      <c r="B123" s="169">
        <v>53208020000000</v>
      </c>
      <c r="C123" s="170" t="s">
        <v>170</v>
      </c>
      <c r="D123" s="224">
        <f t="shared" si="26"/>
        <v>0</v>
      </c>
      <c r="E123" s="558">
        <v>0</v>
      </c>
      <c r="F123" s="559">
        <v>0</v>
      </c>
      <c r="G123" s="224">
        <f t="shared" si="24"/>
        <v>0</v>
      </c>
      <c r="H123" s="173">
        <f t="shared" si="25"/>
        <v>0</v>
      </c>
    </row>
    <row r="124" spans="1:8" ht="12.75" customHeight="1" x14ac:dyDescent="0.2">
      <c r="A124" s="837"/>
      <c r="B124" s="169">
        <v>53208990000000</v>
      </c>
      <c r="C124" s="170" t="s">
        <v>188</v>
      </c>
      <c r="D124" s="224">
        <f t="shared" si="26"/>
        <v>180000</v>
      </c>
      <c r="E124" s="558">
        <v>0</v>
      </c>
      <c r="F124" s="559">
        <v>0</v>
      </c>
      <c r="G124" s="224">
        <f t="shared" si="24"/>
        <v>0</v>
      </c>
      <c r="H124" s="173">
        <f t="shared" si="25"/>
        <v>180000</v>
      </c>
    </row>
    <row r="125" spans="1:8" ht="12.75" customHeight="1" x14ac:dyDescent="0.2">
      <c r="A125" s="837"/>
      <c r="B125" s="193">
        <v>53210020300000</v>
      </c>
      <c r="C125" s="170" t="s">
        <v>190</v>
      </c>
      <c r="D125" s="131">
        <v>0</v>
      </c>
      <c r="E125" s="532">
        <v>6326</v>
      </c>
      <c r="F125" s="531">
        <f>+'B) Reajuste Tarifas y Ocupación'!I28</f>
        <v>14</v>
      </c>
      <c r="G125" s="172">
        <f t="shared" si="24"/>
        <v>88564</v>
      </c>
      <c r="H125" s="173">
        <f t="shared" si="25"/>
        <v>88564</v>
      </c>
    </row>
    <row r="126" spans="1:8" ht="12.75" customHeight="1" x14ac:dyDescent="0.2">
      <c r="A126" s="837"/>
      <c r="B126" s="169">
        <v>53208990000000</v>
      </c>
      <c r="C126" s="170" t="s">
        <v>191</v>
      </c>
      <c r="D126" s="172">
        <f>O58</f>
        <v>0</v>
      </c>
      <c r="E126" s="554">
        <v>0</v>
      </c>
      <c r="F126" s="556">
        <v>0</v>
      </c>
      <c r="G126" s="172">
        <f t="shared" si="24"/>
        <v>0</v>
      </c>
      <c r="H126" s="173">
        <f t="shared" si="25"/>
        <v>0</v>
      </c>
    </row>
    <row r="127" spans="1:8" ht="12.75" customHeight="1" x14ac:dyDescent="0.2">
      <c r="A127" s="837"/>
      <c r="B127" s="169">
        <v>53209990000000</v>
      </c>
      <c r="C127" s="170" t="s">
        <v>189</v>
      </c>
      <c r="D127" s="172">
        <f t="shared" ref="D127" si="27">O59</f>
        <v>0</v>
      </c>
      <c r="E127" s="554">
        <v>0</v>
      </c>
      <c r="F127" s="556">
        <v>0</v>
      </c>
      <c r="G127" s="172">
        <f t="shared" si="24"/>
        <v>0</v>
      </c>
      <c r="H127" s="173">
        <f t="shared" si="25"/>
        <v>0</v>
      </c>
    </row>
    <row r="128" spans="1:8" ht="12.75" customHeight="1" x14ac:dyDescent="0.2">
      <c r="A128" s="837"/>
      <c r="B128" s="169">
        <v>53210020100000</v>
      </c>
      <c r="C128" s="170" t="s">
        <v>64</v>
      </c>
      <c r="D128" s="172">
        <f>+O60</f>
        <v>570000</v>
      </c>
      <c r="E128" s="554">
        <v>0</v>
      </c>
      <c r="F128" s="556">
        <v>0</v>
      </c>
      <c r="G128" s="172">
        <f t="shared" si="24"/>
        <v>0</v>
      </c>
      <c r="H128" s="173">
        <f t="shared" si="25"/>
        <v>570000</v>
      </c>
    </row>
    <row r="129" spans="1:10" ht="12.75" customHeight="1" x14ac:dyDescent="0.2">
      <c r="A129" s="837"/>
      <c r="B129" s="164"/>
      <c r="C129" s="165" t="s">
        <v>65</v>
      </c>
      <c r="D129" s="166">
        <f>SUM(D130:D136)</f>
        <v>5130000</v>
      </c>
      <c r="E129" s="560"/>
      <c r="F129" s="560"/>
      <c r="G129" s="166">
        <f>SUM(G130:G136)</f>
        <v>0</v>
      </c>
      <c r="H129" s="168">
        <f>SUM(H130:H136)</f>
        <v>5130000</v>
      </c>
    </row>
    <row r="130" spans="1:10" ht="12.75" customHeight="1" x14ac:dyDescent="0.2">
      <c r="A130" s="837"/>
      <c r="B130" s="169">
        <v>53206030000000</v>
      </c>
      <c r="C130" s="170" t="s">
        <v>98</v>
      </c>
      <c r="D130" s="224">
        <f>+O62</f>
        <v>60000</v>
      </c>
      <c r="E130" s="558">
        <v>0</v>
      </c>
      <c r="F130" s="559">
        <v>0</v>
      </c>
      <c r="G130" s="172">
        <f t="shared" ref="G130:G136" si="28">E130*F130</f>
        <v>0</v>
      </c>
      <c r="H130" s="173">
        <f t="shared" ref="H130:H135" si="29">D130+G130</f>
        <v>60000</v>
      </c>
    </row>
    <row r="131" spans="1:10" ht="12.75" customHeight="1" x14ac:dyDescent="0.2">
      <c r="A131" s="837"/>
      <c r="B131" s="169">
        <v>53206040000000</v>
      </c>
      <c r="C131" s="170" t="s">
        <v>99</v>
      </c>
      <c r="D131" s="224">
        <f t="shared" ref="D131:D136" si="30">+O63</f>
        <v>120000</v>
      </c>
      <c r="E131" s="558">
        <v>0</v>
      </c>
      <c r="F131" s="559">
        <v>0</v>
      </c>
      <c r="G131" s="172">
        <f t="shared" si="28"/>
        <v>0</v>
      </c>
      <c r="H131" s="173">
        <f t="shared" si="29"/>
        <v>120000</v>
      </c>
    </row>
    <row r="132" spans="1:10" ht="12.75" customHeight="1" x14ac:dyDescent="0.2">
      <c r="A132" s="837"/>
      <c r="B132" s="169">
        <v>53206060000000</v>
      </c>
      <c r="C132" s="170" t="s">
        <v>192</v>
      </c>
      <c r="D132" s="224">
        <f t="shared" si="30"/>
        <v>0</v>
      </c>
      <c r="E132" s="558">
        <v>0</v>
      </c>
      <c r="F132" s="559">
        <v>0</v>
      </c>
      <c r="G132" s="172">
        <f t="shared" si="28"/>
        <v>0</v>
      </c>
      <c r="H132" s="173">
        <f t="shared" si="29"/>
        <v>0</v>
      </c>
    </row>
    <row r="133" spans="1:10" ht="12.75" customHeight="1" x14ac:dyDescent="0.2">
      <c r="A133" s="837"/>
      <c r="B133" s="169">
        <v>53206070000000</v>
      </c>
      <c r="C133" s="170" t="s">
        <v>101</v>
      </c>
      <c r="D133" s="224">
        <f t="shared" si="30"/>
        <v>0</v>
      </c>
      <c r="E133" s="558">
        <v>0</v>
      </c>
      <c r="F133" s="559">
        <v>0</v>
      </c>
      <c r="G133" s="172">
        <f t="shared" si="28"/>
        <v>0</v>
      </c>
      <c r="H133" s="173">
        <f t="shared" si="29"/>
        <v>0</v>
      </c>
    </row>
    <row r="134" spans="1:10" ht="12.75" customHeight="1" x14ac:dyDescent="0.2">
      <c r="A134" s="837"/>
      <c r="B134" s="169">
        <v>53206990000000</v>
      </c>
      <c r="C134" s="170" t="s">
        <v>193</v>
      </c>
      <c r="D134" s="224">
        <f t="shared" si="30"/>
        <v>4950000</v>
      </c>
      <c r="E134" s="558">
        <v>0</v>
      </c>
      <c r="F134" s="559">
        <v>0</v>
      </c>
      <c r="G134" s="172">
        <f t="shared" si="28"/>
        <v>0</v>
      </c>
      <c r="H134" s="173">
        <f t="shared" si="29"/>
        <v>4950000</v>
      </c>
    </row>
    <row r="135" spans="1:10" ht="12.75" customHeight="1" x14ac:dyDescent="0.2">
      <c r="A135" s="837"/>
      <c r="B135" s="169">
        <v>53208030000000</v>
      </c>
      <c r="C135" s="170" t="s">
        <v>103</v>
      </c>
      <c r="D135" s="224">
        <f t="shared" si="30"/>
        <v>0</v>
      </c>
      <c r="E135" s="558">
        <v>0</v>
      </c>
      <c r="F135" s="559">
        <v>0</v>
      </c>
      <c r="G135" s="172">
        <f t="shared" si="28"/>
        <v>0</v>
      </c>
      <c r="H135" s="173">
        <f t="shared" si="29"/>
        <v>0</v>
      </c>
    </row>
    <row r="136" spans="1:10" ht="12.75" customHeight="1" x14ac:dyDescent="0.2">
      <c r="A136" s="837"/>
      <c r="B136" s="169">
        <v>53206990000000</v>
      </c>
      <c r="C136" s="170" t="s">
        <v>214</v>
      </c>
      <c r="D136" s="224">
        <f t="shared" si="30"/>
        <v>0</v>
      </c>
      <c r="E136" s="558">
        <v>0</v>
      </c>
      <c r="F136" s="559">
        <v>0</v>
      </c>
      <c r="G136" s="172">
        <f t="shared" si="28"/>
        <v>0</v>
      </c>
      <c r="H136" s="173">
        <f>D136+G136</f>
        <v>0</v>
      </c>
    </row>
    <row r="137" spans="1:10" ht="12.75" customHeight="1" x14ac:dyDescent="0.2">
      <c r="A137" s="837"/>
      <c r="B137" s="164"/>
      <c r="C137" s="165" t="s">
        <v>66</v>
      </c>
      <c r="D137" s="166">
        <f>SUM(D138:D138)</f>
        <v>0</v>
      </c>
      <c r="E137" s="560"/>
      <c r="F137" s="560"/>
      <c r="G137" s="166">
        <f>SUM(G138:G138)</f>
        <v>490000</v>
      </c>
      <c r="H137" s="168">
        <f>SUM(H138:H138)</f>
        <v>490000</v>
      </c>
    </row>
    <row r="138" spans="1:10" ht="12.75" customHeight="1" x14ac:dyDescent="0.2">
      <c r="A138" s="837"/>
      <c r="B138" s="194"/>
      <c r="C138" s="182" t="s">
        <v>215</v>
      </c>
      <c r="D138" s="86"/>
      <c r="E138" s="86">
        <v>35000</v>
      </c>
      <c r="F138" s="557">
        <v>14</v>
      </c>
      <c r="G138" s="172">
        <f t="shared" ref="G138" si="31">E138*F138</f>
        <v>490000</v>
      </c>
      <c r="H138" s="183">
        <f t="shared" ref="H138" si="32">D138+G138</f>
        <v>490000</v>
      </c>
      <c r="I138" s="359" t="s">
        <v>216</v>
      </c>
      <c r="J138" s="180">
        <f>+H136+H135+H134+H133+H132+H131+H130+H128+H127+H126+H125+H124+H123+H122+H121+H119+H116+H115+H114+H113+H112+H110+H108+H107+H101+H100+H99+H97+H96+H95+H94+H93+H92+H91+H90+H89+H88+H87</f>
        <v>11029252.6</v>
      </c>
    </row>
    <row r="139" spans="1:10" collapsed="1" x14ac:dyDescent="0.2">
      <c r="A139" s="837"/>
      <c r="B139" s="195"/>
      <c r="C139" s="184" t="s">
        <v>104</v>
      </c>
      <c r="D139" s="185">
        <f>SUM(D76,D103)</f>
        <v>27181930.480000004</v>
      </c>
      <c r="E139" s="186"/>
      <c r="F139" s="186"/>
      <c r="G139" s="185">
        <f>SUM(G76,G103)</f>
        <v>5811750</v>
      </c>
      <c r="H139" s="181">
        <f>SUM(H76,H103)</f>
        <v>33712244.480000004</v>
      </c>
      <c r="I139" s="358" t="s">
        <v>217</v>
      </c>
      <c r="J139" s="187">
        <f>+H139-J138</f>
        <v>22682991.880000003</v>
      </c>
    </row>
    <row r="140" spans="1:10" x14ac:dyDescent="0.2">
      <c r="A140" s="836" t="s">
        <v>232</v>
      </c>
      <c r="B140" s="260"/>
      <c r="C140" s="261" t="s">
        <v>11</v>
      </c>
      <c r="D140" s="262">
        <f>SUM(D141,D146)</f>
        <v>0</v>
      </c>
      <c r="E140" s="263"/>
      <c r="F140" s="263"/>
      <c r="G140" s="264">
        <f>SUM(G141,G146)</f>
        <v>0</v>
      </c>
      <c r="H140" s="265">
        <f>SUM(H141,H146)</f>
        <v>0</v>
      </c>
    </row>
    <row r="141" spans="1:10" ht="15.75" customHeight="1" x14ac:dyDescent="0.2">
      <c r="A141" s="836"/>
      <c r="B141" s="266"/>
      <c r="C141" s="267" t="s">
        <v>12</v>
      </c>
      <c r="D141" s="268">
        <f>SUM(D142:D145)</f>
        <v>0</v>
      </c>
      <c r="E141" s="269"/>
      <c r="F141" s="269"/>
      <c r="G141" s="270">
        <f>SUM(G142:G145)</f>
        <v>0</v>
      </c>
      <c r="H141" s="271">
        <f>SUM(H142:H145)</f>
        <v>0</v>
      </c>
    </row>
    <row r="142" spans="1:10" ht="15.75" customHeight="1" x14ac:dyDescent="0.2">
      <c r="A142" s="836"/>
      <c r="B142" s="272">
        <v>53103040100000</v>
      </c>
      <c r="C142" s="273" t="s">
        <v>94</v>
      </c>
      <c r="D142" s="274">
        <f>'F) Remuneraciones'!L31</f>
        <v>0</v>
      </c>
      <c r="E142" s="275">
        <v>0</v>
      </c>
      <c r="F142" s="276">
        <v>0</v>
      </c>
      <c r="G142" s="277">
        <f>E142*F142</f>
        <v>0</v>
      </c>
      <c r="H142" s="278">
        <f>D142+G142</f>
        <v>0</v>
      </c>
    </row>
    <row r="143" spans="1:10" ht="15.75" customHeight="1" x14ac:dyDescent="0.2">
      <c r="A143" s="836"/>
      <c r="B143" s="272">
        <v>53103050000000</v>
      </c>
      <c r="C143" s="273" t="s">
        <v>233</v>
      </c>
      <c r="D143" s="279">
        <v>0</v>
      </c>
      <c r="E143" s="280">
        <v>0</v>
      </c>
      <c r="F143" s="281">
        <v>0</v>
      </c>
      <c r="G143" s="277">
        <f>E143*F143</f>
        <v>0</v>
      </c>
      <c r="H143" s="278">
        <f>D143+G143</f>
        <v>0</v>
      </c>
    </row>
    <row r="144" spans="1:10" ht="15.75" customHeight="1" x14ac:dyDescent="0.2">
      <c r="A144" s="836"/>
      <c r="B144" s="282">
        <v>53103040400000</v>
      </c>
      <c r="C144" s="283" t="s">
        <v>172</v>
      </c>
      <c r="D144" s="279">
        <v>0</v>
      </c>
      <c r="E144" s="280">
        <v>0</v>
      </c>
      <c r="F144" s="281">
        <v>0</v>
      </c>
      <c r="G144" s="277">
        <f>E144*F144</f>
        <v>0</v>
      </c>
      <c r="H144" s="278">
        <f>D144+G144</f>
        <v>0</v>
      </c>
    </row>
    <row r="145" spans="1:8" ht="15.75" customHeight="1" x14ac:dyDescent="0.2">
      <c r="A145" s="836"/>
      <c r="B145" s="272">
        <v>53103080010000</v>
      </c>
      <c r="C145" s="273" t="s">
        <v>173</v>
      </c>
      <c r="D145" s="279">
        <v>0</v>
      </c>
      <c r="E145" s="280">
        <v>0</v>
      </c>
      <c r="F145" s="281">
        <v>0</v>
      </c>
      <c r="G145" s="277">
        <f>E145*F145</f>
        <v>0</v>
      </c>
      <c r="H145" s="278">
        <f>D145+G145</f>
        <v>0</v>
      </c>
    </row>
    <row r="146" spans="1:8" ht="15.75" customHeight="1" x14ac:dyDescent="0.2">
      <c r="A146" s="836"/>
      <c r="B146" s="266"/>
      <c r="C146" s="267" t="s">
        <v>16</v>
      </c>
      <c r="D146" s="268">
        <f>SUM(D147:D166)</f>
        <v>0</v>
      </c>
      <c r="E146" s="269"/>
      <c r="F146" s="269"/>
      <c r="G146" s="268">
        <f>SUM(G147:G166)</f>
        <v>0</v>
      </c>
      <c r="H146" s="271">
        <f>SUM(H147:H166)</f>
        <v>0</v>
      </c>
    </row>
    <row r="147" spans="1:8" ht="15.75" customHeight="1" x14ac:dyDescent="0.2">
      <c r="A147" s="836"/>
      <c r="B147" s="272">
        <v>53201010100000</v>
      </c>
      <c r="C147" s="284" t="s">
        <v>174</v>
      </c>
      <c r="D147" s="279">
        <v>0</v>
      </c>
      <c r="E147" s="280">
        <v>0</v>
      </c>
      <c r="F147" s="281">
        <v>0</v>
      </c>
      <c r="G147" s="277">
        <f t="shared" ref="G147:G166" si="33">E147*F147</f>
        <v>0</v>
      </c>
      <c r="H147" s="278">
        <f t="shared" ref="H147:H166" si="34">D147+G147</f>
        <v>0</v>
      </c>
    </row>
    <row r="148" spans="1:8" ht="15.75" customHeight="1" x14ac:dyDescent="0.2">
      <c r="A148" s="836"/>
      <c r="B148" s="272">
        <v>53201010100000</v>
      </c>
      <c r="C148" s="284" t="s">
        <v>175</v>
      </c>
      <c r="D148" s="279">
        <v>0</v>
      </c>
      <c r="E148" s="280">
        <v>0</v>
      </c>
      <c r="F148" s="281">
        <v>0</v>
      </c>
      <c r="G148" s="277">
        <f t="shared" si="33"/>
        <v>0</v>
      </c>
      <c r="H148" s="278">
        <f t="shared" si="34"/>
        <v>0</v>
      </c>
    </row>
    <row r="149" spans="1:8" ht="15.75" customHeight="1" x14ac:dyDescent="0.2">
      <c r="A149" s="836"/>
      <c r="B149" s="272">
        <v>53201010100000</v>
      </c>
      <c r="C149" s="284" t="s">
        <v>176</v>
      </c>
      <c r="D149" s="279">
        <v>0</v>
      </c>
      <c r="E149" s="280">
        <v>0</v>
      </c>
      <c r="F149" s="281">
        <v>0</v>
      </c>
      <c r="G149" s="277">
        <f t="shared" si="33"/>
        <v>0</v>
      </c>
      <c r="H149" s="278">
        <f t="shared" si="34"/>
        <v>0</v>
      </c>
    </row>
    <row r="150" spans="1:8" ht="15.75" customHeight="1" x14ac:dyDescent="0.2">
      <c r="A150" s="836"/>
      <c r="B150" s="272">
        <v>53202010100000</v>
      </c>
      <c r="C150" s="273" t="s">
        <v>177</v>
      </c>
      <c r="D150" s="279">
        <v>0</v>
      </c>
      <c r="E150" s="280">
        <v>0</v>
      </c>
      <c r="F150" s="281">
        <v>0</v>
      </c>
      <c r="G150" s="277">
        <f t="shared" si="33"/>
        <v>0</v>
      </c>
      <c r="H150" s="278">
        <f t="shared" si="34"/>
        <v>0</v>
      </c>
    </row>
    <row r="151" spans="1:8" ht="15.75" customHeight="1" x14ac:dyDescent="0.2">
      <c r="A151" s="836"/>
      <c r="B151" s="272">
        <v>53203010100000</v>
      </c>
      <c r="C151" s="273" t="s">
        <v>19</v>
      </c>
      <c r="D151" s="285">
        <v>0</v>
      </c>
      <c r="E151" s="286">
        <v>0</v>
      </c>
      <c r="F151" s="287">
        <v>0</v>
      </c>
      <c r="G151" s="277">
        <f t="shared" si="33"/>
        <v>0</v>
      </c>
      <c r="H151" s="278">
        <f t="shared" si="34"/>
        <v>0</v>
      </c>
    </row>
    <row r="152" spans="1:8" ht="15.75" customHeight="1" x14ac:dyDescent="0.2">
      <c r="A152" s="836"/>
      <c r="B152" s="272">
        <v>53203030000000</v>
      </c>
      <c r="C152" s="273" t="s">
        <v>178</v>
      </c>
      <c r="D152" s="285">
        <v>0</v>
      </c>
      <c r="E152" s="286">
        <v>0</v>
      </c>
      <c r="F152" s="287">
        <v>0</v>
      </c>
      <c r="G152" s="277">
        <f t="shared" si="33"/>
        <v>0</v>
      </c>
      <c r="H152" s="278">
        <f t="shared" si="34"/>
        <v>0</v>
      </c>
    </row>
    <row r="153" spans="1:8" ht="15.75" customHeight="1" x14ac:dyDescent="0.2">
      <c r="A153" s="836"/>
      <c r="B153" s="272">
        <v>53204030000000</v>
      </c>
      <c r="C153" s="273" t="s">
        <v>212</v>
      </c>
      <c r="D153" s="285">
        <v>0</v>
      </c>
      <c r="E153" s="286">
        <v>0</v>
      </c>
      <c r="F153" s="287">
        <v>0</v>
      </c>
      <c r="G153" s="277">
        <f t="shared" si="33"/>
        <v>0</v>
      </c>
      <c r="H153" s="278">
        <f>D153+G153</f>
        <v>0</v>
      </c>
    </row>
    <row r="154" spans="1:8" ht="15.75" customHeight="1" x14ac:dyDescent="0.2">
      <c r="A154" s="836"/>
      <c r="B154" s="272">
        <v>53204100100001</v>
      </c>
      <c r="C154" s="273" t="s">
        <v>22</v>
      </c>
      <c r="D154" s="285">
        <v>0</v>
      </c>
      <c r="E154" s="286">
        <v>0</v>
      </c>
      <c r="F154" s="287">
        <v>0</v>
      </c>
      <c r="G154" s="277">
        <f t="shared" si="33"/>
        <v>0</v>
      </c>
      <c r="H154" s="278">
        <f t="shared" si="34"/>
        <v>0</v>
      </c>
    </row>
    <row r="155" spans="1:8" ht="15.75" customHeight="1" x14ac:dyDescent="0.2">
      <c r="A155" s="836"/>
      <c r="B155" s="272">
        <v>53204130100000</v>
      </c>
      <c r="C155" s="273" t="s">
        <v>180</v>
      </c>
      <c r="D155" s="285">
        <v>0</v>
      </c>
      <c r="E155" s="286">
        <v>0</v>
      </c>
      <c r="F155" s="287">
        <v>0</v>
      </c>
      <c r="G155" s="277">
        <f t="shared" si="33"/>
        <v>0</v>
      </c>
      <c r="H155" s="278">
        <f t="shared" si="34"/>
        <v>0</v>
      </c>
    </row>
    <row r="156" spans="1:8" ht="15.75" customHeight="1" x14ac:dyDescent="0.2">
      <c r="A156" s="836"/>
      <c r="B156" s="272">
        <v>53205010100000</v>
      </c>
      <c r="C156" s="273" t="s">
        <v>24</v>
      </c>
      <c r="D156" s="285">
        <v>0</v>
      </c>
      <c r="E156" s="286">
        <v>0</v>
      </c>
      <c r="F156" s="287">
        <v>0</v>
      </c>
      <c r="G156" s="277">
        <f t="shared" si="33"/>
        <v>0</v>
      </c>
      <c r="H156" s="278">
        <f t="shared" si="34"/>
        <v>0</v>
      </c>
    </row>
    <row r="157" spans="1:8" ht="15.75" customHeight="1" x14ac:dyDescent="0.2">
      <c r="A157" s="836"/>
      <c r="B157" s="272">
        <v>53205020100000</v>
      </c>
      <c r="C157" s="273" t="s">
        <v>25</v>
      </c>
      <c r="D157" s="285">
        <v>0</v>
      </c>
      <c r="E157" s="286">
        <v>0</v>
      </c>
      <c r="F157" s="287">
        <v>0</v>
      </c>
      <c r="G157" s="277">
        <f t="shared" si="33"/>
        <v>0</v>
      </c>
      <c r="H157" s="278">
        <f t="shared" si="34"/>
        <v>0</v>
      </c>
    </row>
    <row r="158" spans="1:8" ht="15.75" customHeight="1" x14ac:dyDescent="0.2">
      <c r="A158" s="836"/>
      <c r="B158" s="272">
        <v>53205030100000</v>
      </c>
      <c r="C158" s="273" t="s">
        <v>26</v>
      </c>
      <c r="D158" s="285">
        <v>0</v>
      </c>
      <c r="E158" s="286">
        <v>0</v>
      </c>
      <c r="F158" s="287">
        <v>0</v>
      </c>
      <c r="G158" s="277">
        <f t="shared" si="33"/>
        <v>0</v>
      </c>
      <c r="H158" s="278">
        <f t="shared" si="34"/>
        <v>0</v>
      </c>
    </row>
    <row r="159" spans="1:8" ht="15.75" customHeight="1" x14ac:dyDescent="0.2">
      <c r="A159" s="836"/>
      <c r="B159" s="272">
        <v>53205050100000</v>
      </c>
      <c r="C159" s="273" t="s">
        <v>27</v>
      </c>
      <c r="D159" s="285">
        <v>0</v>
      </c>
      <c r="E159" s="286">
        <v>0</v>
      </c>
      <c r="F159" s="287">
        <v>0</v>
      </c>
      <c r="G159" s="277">
        <f t="shared" si="33"/>
        <v>0</v>
      </c>
      <c r="H159" s="278">
        <f t="shared" si="34"/>
        <v>0</v>
      </c>
    </row>
    <row r="160" spans="1:8" ht="15.75" customHeight="1" x14ac:dyDescent="0.2">
      <c r="A160" s="836"/>
      <c r="B160" s="272">
        <v>53205070100000</v>
      </c>
      <c r="C160" s="273" t="s">
        <v>29</v>
      </c>
      <c r="D160" s="285">
        <v>0</v>
      </c>
      <c r="E160" s="286">
        <v>0</v>
      </c>
      <c r="F160" s="287">
        <v>0</v>
      </c>
      <c r="G160" s="277">
        <f t="shared" si="33"/>
        <v>0</v>
      </c>
      <c r="H160" s="278">
        <f t="shared" si="34"/>
        <v>0</v>
      </c>
    </row>
    <row r="161" spans="1:8" ht="15.75" customHeight="1" x14ac:dyDescent="0.2">
      <c r="A161" s="836"/>
      <c r="B161" s="272">
        <v>53208010100000</v>
      </c>
      <c r="C161" s="273" t="s">
        <v>30</v>
      </c>
      <c r="D161" s="285">
        <v>0</v>
      </c>
      <c r="E161" s="286">
        <v>0</v>
      </c>
      <c r="F161" s="287">
        <v>0</v>
      </c>
      <c r="G161" s="277">
        <f t="shared" si="33"/>
        <v>0</v>
      </c>
      <c r="H161" s="278">
        <f t="shared" si="34"/>
        <v>0</v>
      </c>
    </row>
    <row r="162" spans="1:8" ht="15.75" customHeight="1" x14ac:dyDescent="0.2">
      <c r="A162" s="836"/>
      <c r="B162" s="272">
        <v>53208070100001</v>
      </c>
      <c r="C162" s="273" t="s">
        <v>31</v>
      </c>
      <c r="D162" s="279">
        <v>0</v>
      </c>
      <c r="E162" s="280">
        <v>0</v>
      </c>
      <c r="F162" s="281">
        <v>0</v>
      </c>
      <c r="G162" s="277">
        <f t="shared" si="33"/>
        <v>0</v>
      </c>
      <c r="H162" s="278">
        <f t="shared" si="34"/>
        <v>0</v>
      </c>
    </row>
    <row r="163" spans="1:8" ht="15.75" customHeight="1" x14ac:dyDescent="0.2">
      <c r="A163" s="836"/>
      <c r="B163" s="272">
        <v>53208100100001</v>
      </c>
      <c r="C163" s="273" t="s">
        <v>181</v>
      </c>
      <c r="D163" s="285">
        <v>0</v>
      </c>
      <c r="E163" s="286">
        <v>0</v>
      </c>
      <c r="F163" s="287">
        <v>0</v>
      </c>
      <c r="G163" s="277">
        <f t="shared" si="33"/>
        <v>0</v>
      </c>
      <c r="H163" s="278">
        <f t="shared" si="34"/>
        <v>0</v>
      </c>
    </row>
    <row r="164" spans="1:8" ht="15.75" customHeight="1" x14ac:dyDescent="0.2">
      <c r="A164" s="836"/>
      <c r="B164" s="272">
        <v>53211030000000</v>
      </c>
      <c r="C164" s="273" t="s">
        <v>32</v>
      </c>
      <c r="D164" s="285">
        <v>0</v>
      </c>
      <c r="E164" s="286">
        <v>0</v>
      </c>
      <c r="F164" s="287">
        <v>0</v>
      </c>
      <c r="G164" s="277">
        <f t="shared" si="33"/>
        <v>0</v>
      </c>
      <c r="H164" s="278">
        <f t="shared" si="34"/>
        <v>0</v>
      </c>
    </row>
    <row r="165" spans="1:8" ht="15.75" customHeight="1" x14ac:dyDescent="0.2">
      <c r="A165" s="836"/>
      <c r="B165" s="272">
        <v>53212020100000</v>
      </c>
      <c r="C165" s="273" t="s">
        <v>182</v>
      </c>
      <c r="D165" s="285">
        <v>0</v>
      </c>
      <c r="E165" s="286">
        <v>0</v>
      </c>
      <c r="F165" s="287">
        <v>0</v>
      </c>
      <c r="G165" s="277">
        <f t="shared" si="33"/>
        <v>0</v>
      </c>
      <c r="H165" s="278">
        <f t="shared" si="34"/>
        <v>0</v>
      </c>
    </row>
    <row r="166" spans="1:8" ht="15.75" customHeight="1" x14ac:dyDescent="0.2">
      <c r="A166" s="836"/>
      <c r="B166" s="272">
        <v>53214020000000</v>
      </c>
      <c r="C166" s="273" t="s">
        <v>183</v>
      </c>
      <c r="D166" s="279">
        <v>0</v>
      </c>
      <c r="E166" s="280">
        <v>0</v>
      </c>
      <c r="F166" s="281">
        <v>0</v>
      </c>
      <c r="G166" s="277">
        <f t="shared" si="33"/>
        <v>0</v>
      </c>
      <c r="H166" s="278">
        <f t="shared" si="34"/>
        <v>0</v>
      </c>
    </row>
    <row r="167" spans="1:8" ht="15.75" customHeight="1" x14ac:dyDescent="0.2">
      <c r="A167" s="836"/>
      <c r="B167" s="260"/>
      <c r="C167" s="261" t="s">
        <v>34</v>
      </c>
      <c r="D167" s="262">
        <f>+D168+D173+D175+D184+D193+D201</f>
        <v>0</v>
      </c>
      <c r="E167" s="263"/>
      <c r="F167" s="263"/>
      <c r="G167" s="262">
        <f>SUM(G168,G173,G175,G184,G193,G201)</f>
        <v>0</v>
      </c>
      <c r="H167" s="288">
        <f>SUM(H168,H173,H175,H184,H193,H201)</f>
        <v>0</v>
      </c>
    </row>
    <row r="168" spans="1:8" ht="15.75" customHeight="1" x14ac:dyDescent="0.2">
      <c r="A168" s="836"/>
      <c r="B168" s="266"/>
      <c r="C168" s="267" t="s">
        <v>35</v>
      </c>
      <c r="D168" s="268">
        <f>SUM(D169:D172)</f>
        <v>0</v>
      </c>
      <c r="E168" s="269"/>
      <c r="F168" s="269"/>
      <c r="G168" s="289">
        <f>SUM(G169:G172)</f>
        <v>0</v>
      </c>
      <c r="H168" s="290">
        <f>SUM(H169:H172)</f>
        <v>0</v>
      </c>
    </row>
    <row r="169" spans="1:8" ht="15.75" customHeight="1" x14ac:dyDescent="0.2">
      <c r="A169" s="836"/>
      <c r="B169" s="272">
        <v>53202020100000</v>
      </c>
      <c r="C169" s="273" t="s">
        <v>184</v>
      </c>
      <c r="D169" s="279">
        <v>0</v>
      </c>
      <c r="E169" s="280">
        <v>0</v>
      </c>
      <c r="F169" s="281">
        <v>0</v>
      </c>
      <c r="G169" s="277">
        <f>E169*F169</f>
        <v>0</v>
      </c>
      <c r="H169" s="278">
        <f t="shared" ref="H169:H202" si="35">D169+G169</f>
        <v>0</v>
      </c>
    </row>
    <row r="170" spans="1:8" ht="15.75" customHeight="1" x14ac:dyDescent="0.2">
      <c r="A170" s="836"/>
      <c r="B170" s="272">
        <v>53202030000000</v>
      </c>
      <c r="C170" s="273" t="s">
        <v>185</v>
      </c>
      <c r="D170" s="279">
        <v>0</v>
      </c>
      <c r="E170" s="280">
        <v>0</v>
      </c>
      <c r="F170" s="281">
        <v>0</v>
      </c>
      <c r="G170" s="277">
        <f t="shared" ref="G170:G202" si="36">E170*F170</f>
        <v>0</v>
      </c>
      <c r="H170" s="278">
        <f t="shared" si="35"/>
        <v>0</v>
      </c>
    </row>
    <row r="171" spans="1:8" ht="15.75" customHeight="1" x14ac:dyDescent="0.2">
      <c r="A171" s="836"/>
      <c r="B171" s="272">
        <v>53211020000000</v>
      </c>
      <c r="C171" s="273" t="s">
        <v>41</v>
      </c>
      <c r="D171" s="286">
        <f>O104</f>
        <v>0</v>
      </c>
      <c r="E171" s="286">
        <v>0</v>
      </c>
      <c r="F171" s="286">
        <v>0</v>
      </c>
      <c r="G171" s="277">
        <f t="shared" si="36"/>
        <v>0</v>
      </c>
      <c r="H171" s="278">
        <f t="shared" si="35"/>
        <v>0</v>
      </c>
    </row>
    <row r="172" spans="1:8" ht="15.75" customHeight="1" x14ac:dyDescent="0.2">
      <c r="A172" s="836"/>
      <c r="B172" s="272">
        <v>53101040600000</v>
      </c>
      <c r="C172" s="273" t="s">
        <v>186</v>
      </c>
      <c r="D172" s="286">
        <f>O105</f>
        <v>0</v>
      </c>
      <c r="E172" s="286">
        <v>0</v>
      </c>
      <c r="F172" s="286">
        <v>0</v>
      </c>
      <c r="G172" s="277">
        <f t="shared" si="36"/>
        <v>0</v>
      </c>
      <c r="H172" s="278">
        <f t="shared" si="35"/>
        <v>0</v>
      </c>
    </row>
    <row r="173" spans="1:8" ht="15.75" customHeight="1" x14ac:dyDescent="0.2">
      <c r="A173" s="836"/>
      <c r="B173" s="266"/>
      <c r="C173" s="267" t="s">
        <v>42</v>
      </c>
      <c r="D173" s="268">
        <f>SUM(D174:D174)</f>
        <v>0</v>
      </c>
      <c r="E173" s="269"/>
      <c r="F173" s="269"/>
      <c r="G173" s="289">
        <f>SUM(G174:G174)</f>
        <v>0</v>
      </c>
      <c r="H173" s="290">
        <f>SUM(H174:H174)</f>
        <v>0</v>
      </c>
    </row>
    <row r="174" spans="1:8" ht="15.75" customHeight="1" x14ac:dyDescent="0.2">
      <c r="A174" s="836"/>
      <c r="B174" s="291">
        <v>53205990000000</v>
      </c>
      <c r="C174" s="273" t="s">
        <v>44</v>
      </c>
      <c r="D174" s="286">
        <v>0</v>
      </c>
      <c r="E174" s="286">
        <v>0</v>
      </c>
      <c r="F174" s="286">
        <v>0</v>
      </c>
      <c r="G174" s="277">
        <f t="shared" si="36"/>
        <v>0</v>
      </c>
      <c r="H174" s="278">
        <f t="shared" si="35"/>
        <v>0</v>
      </c>
    </row>
    <row r="175" spans="1:8" ht="15.75" customHeight="1" x14ac:dyDescent="0.2">
      <c r="A175" s="836"/>
      <c r="B175" s="266"/>
      <c r="C175" s="267" t="s">
        <v>45</v>
      </c>
      <c r="D175" s="268">
        <f>SUM(D176:D183)</f>
        <v>0</v>
      </c>
      <c r="E175" s="269"/>
      <c r="F175" s="269"/>
      <c r="G175" s="268">
        <f>SUM(G176:G183)</f>
        <v>0</v>
      </c>
      <c r="H175" s="271">
        <f>SUM(H176:H183)</f>
        <v>0</v>
      </c>
    </row>
    <row r="176" spans="1:8" ht="15.75" customHeight="1" x14ac:dyDescent="0.2">
      <c r="A176" s="836"/>
      <c r="B176" s="272">
        <v>53204010000000</v>
      </c>
      <c r="C176" s="273" t="s">
        <v>47</v>
      </c>
      <c r="D176" s="286">
        <v>0</v>
      </c>
      <c r="E176" s="286">
        <v>0</v>
      </c>
      <c r="F176" s="286">
        <v>0</v>
      </c>
      <c r="G176" s="277">
        <f t="shared" si="36"/>
        <v>0</v>
      </c>
      <c r="H176" s="278">
        <f t="shared" si="35"/>
        <v>0</v>
      </c>
    </row>
    <row r="177" spans="1:8" ht="15.75" customHeight="1" x14ac:dyDescent="0.2">
      <c r="A177" s="836"/>
      <c r="B177" s="291">
        <v>53204040200000</v>
      </c>
      <c r="C177" s="273" t="s">
        <v>213</v>
      </c>
      <c r="D177" s="286">
        <v>0</v>
      </c>
      <c r="E177" s="286">
        <v>0</v>
      </c>
      <c r="F177" s="286">
        <v>0</v>
      </c>
      <c r="G177" s="277">
        <f t="shared" si="36"/>
        <v>0</v>
      </c>
      <c r="H177" s="278">
        <f t="shared" si="35"/>
        <v>0</v>
      </c>
    </row>
    <row r="178" spans="1:8" ht="15.75" customHeight="1" x14ac:dyDescent="0.2">
      <c r="A178" s="836"/>
      <c r="B178" s="272">
        <v>53204060000000</v>
      </c>
      <c r="C178" s="273" t="s">
        <v>49</v>
      </c>
      <c r="D178" s="286">
        <v>0</v>
      </c>
      <c r="E178" s="286">
        <v>0</v>
      </c>
      <c r="F178" s="286">
        <v>0</v>
      </c>
      <c r="G178" s="277">
        <f t="shared" si="36"/>
        <v>0</v>
      </c>
      <c r="H178" s="278">
        <f t="shared" si="35"/>
        <v>0</v>
      </c>
    </row>
    <row r="179" spans="1:8" ht="15.75" customHeight="1" x14ac:dyDescent="0.2">
      <c r="A179" s="836"/>
      <c r="B179" s="272">
        <v>53204070000000</v>
      </c>
      <c r="C179" s="273" t="s">
        <v>50</v>
      </c>
      <c r="D179" s="286">
        <v>0</v>
      </c>
      <c r="E179" s="286">
        <v>0</v>
      </c>
      <c r="F179" s="286">
        <v>0</v>
      </c>
      <c r="G179" s="277">
        <f t="shared" si="36"/>
        <v>0</v>
      </c>
      <c r="H179" s="278">
        <f t="shared" si="35"/>
        <v>0</v>
      </c>
    </row>
    <row r="180" spans="1:8" ht="15.75" customHeight="1" x14ac:dyDescent="0.2">
      <c r="A180" s="836"/>
      <c r="B180" s="272">
        <v>53204080000000</v>
      </c>
      <c r="C180" s="273" t="s">
        <v>51</v>
      </c>
      <c r="D180" s="286">
        <v>0</v>
      </c>
      <c r="E180" s="286">
        <v>0</v>
      </c>
      <c r="F180" s="286">
        <v>0</v>
      </c>
      <c r="G180" s="277">
        <f t="shared" si="36"/>
        <v>0</v>
      </c>
      <c r="H180" s="278">
        <f t="shared" si="35"/>
        <v>0</v>
      </c>
    </row>
    <row r="181" spans="1:8" ht="15.75" customHeight="1" x14ac:dyDescent="0.2">
      <c r="A181" s="836"/>
      <c r="B181" s="272">
        <v>53214010000000</v>
      </c>
      <c r="C181" s="273" t="s">
        <v>52</v>
      </c>
      <c r="D181" s="292">
        <v>0</v>
      </c>
      <c r="E181" s="292">
        <v>0</v>
      </c>
      <c r="F181" s="292">
        <v>0</v>
      </c>
      <c r="G181" s="277">
        <f t="shared" si="36"/>
        <v>0</v>
      </c>
      <c r="H181" s="278">
        <f t="shared" si="35"/>
        <v>0</v>
      </c>
    </row>
    <row r="182" spans="1:8" ht="15.75" customHeight="1" x14ac:dyDescent="0.2">
      <c r="A182" s="836"/>
      <c r="B182" s="272">
        <v>53214040000000</v>
      </c>
      <c r="C182" s="273" t="s">
        <v>187</v>
      </c>
      <c r="D182" s="292">
        <v>0</v>
      </c>
      <c r="E182" s="292">
        <v>0</v>
      </c>
      <c r="F182" s="292">
        <v>0</v>
      </c>
      <c r="G182" s="277">
        <f t="shared" si="36"/>
        <v>0</v>
      </c>
      <c r="H182" s="278">
        <f t="shared" si="35"/>
        <v>0</v>
      </c>
    </row>
    <row r="183" spans="1:8" ht="15.75" customHeight="1" x14ac:dyDescent="0.2">
      <c r="A183" s="836"/>
      <c r="B183" s="282">
        <v>53204020100000</v>
      </c>
      <c r="C183" s="273" t="s">
        <v>179</v>
      </c>
      <c r="D183" s="286">
        <v>0</v>
      </c>
      <c r="E183" s="286">
        <v>0</v>
      </c>
      <c r="F183" s="286">
        <v>0</v>
      </c>
      <c r="G183" s="277">
        <f t="shared" si="36"/>
        <v>0</v>
      </c>
      <c r="H183" s="278">
        <f t="shared" si="35"/>
        <v>0</v>
      </c>
    </row>
    <row r="184" spans="1:8" ht="15.75" customHeight="1" x14ac:dyDescent="0.2">
      <c r="A184" s="836"/>
      <c r="B184" s="266"/>
      <c r="C184" s="267" t="s">
        <v>55</v>
      </c>
      <c r="D184" s="268">
        <f>SUM(D185:D192)</f>
        <v>0</v>
      </c>
      <c r="E184" s="269"/>
      <c r="F184" s="269"/>
      <c r="G184" s="268">
        <f>SUM(G185:G192)</f>
        <v>0</v>
      </c>
      <c r="H184" s="271">
        <f>SUM(H185:H192)</f>
        <v>0</v>
      </c>
    </row>
    <row r="185" spans="1:8" ht="15.75" customHeight="1" x14ac:dyDescent="0.2">
      <c r="A185" s="836"/>
      <c r="B185" s="272">
        <v>53207010000000</v>
      </c>
      <c r="C185" s="273" t="s">
        <v>56</v>
      </c>
      <c r="D185" s="286">
        <v>0</v>
      </c>
      <c r="E185" s="286">
        <v>0</v>
      </c>
      <c r="F185" s="286">
        <v>0</v>
      </c>
      <c r="G185" s="277">
        <f t="shared" si="36"/>
        <v>0</v>
      </c>
      <c r="H185" s="278">
        <f t="shared" si="35"/>
        <v>0</v>
      </c>
    </row>
    <row r="186" spans="1:8" ht="15.75" customHeight="1" x14ac:dyDescent="0.2">
      <c r="A186" s="836"/>
      <c r="B186" s="272">
        <v>53207020000000</v>
      </c>
      <c r="C186" s="273" t="s">
        <v>57</v>
      </c>
      <c r="D186" s="286">
        <v>0</v>
      </c>
      <c r="E186" s="286">
        <v>0</v>
      </c>
      <c r="F186" s="286">
        <v>0</v>
      </c>
      <c r="G186" s="277">
        <f t="shared" si="36"/>
        <v>0</v>
      </c>
      <c r="H186" s="278">
        <f t="shared" si="35"/>
        <v>0</v>
      </c>
    </row>
    <row r="187" spans="1:8" ht="15.75" customHeight="1" x14ac:dyDescent="0.2">
      <c r="A187" s="836"/>
      <c r="B187" s="272">
        <v>53208020000000</v>
      </c>
      <c r="C187" s="273" t="s">
        <v>170</v>
      </c>
      <c r="D187" s="286">
        <v>0</v>
      </c>
      <c r="E187" s="286">
        <v>0</v>
      </c>
      <c r="F187" s="286">
        <v>0</v>
      </c>
      <c r="G187" s="277">
        <f t="shared" si="36"/>
        <v>0</v>
      </c>
      <c r="H187" s="278">
        <f t="shared" si="35"/>
        <v>0</v>
      </c>
    </row>
    <row r="188" spans="1:8" ht="15.75" customHeight="1" x14ac:dyDescent="0.2">
      <c r="A188" s="836"/>
      <c r="B188" s="272">
        <v>53208990000000</v>
      </c>
      <c r="C188" s="273" t="s">
        <v>188</v>
      </c>
      <c r="D188" s="286">
        <v>0</v>
      </c>
      <c r="E188" s="286">
        <v>0</v>
      </c>
      <c r="F188" s="286">
        <v>0</v>
      </c>
      <c r="G188" s="277">
        <f t="shared" si="36"/>
        <v>0</v>
      </c>
      <c r="H188" s="278">
        <f t="shared" si="35"/>
        <v>0</v>
      </c>
    </row>
    <row r="189" spans="1:8" ht="15.75" customHeight="1" x14ac:dyDescent="0.2">
      <c r="A189" s="836"/>
      <c r="B189" s="282">
        <v>53210020300000</v>
      </c>
      <c r="C189" s="273" t="s">
        <v>190</v>
      </c>
      <c r="D189" s="285">
        <v>0</v>
      </c>
      <c r="E189" s="285">
        <v>0</v>
      </c>
      <c r="F189" s="287">
        <v>0</v>
      </c>
      <c r="G189" s="277">
        <f t="shared" si="36"/>
        <v>0</v>
      </c>
      <c r="H189" s="278">
        <f t="shared" si="35"/>
        <v>0</v>
      </c>
    </row>
    <row r="190" spans="1:8" ht="15.75" customHeight="1" x14ac:dyDescent="0.2">
      <c r="A190" s="836"/>
      <c r="B190" s="272">
        <v>53208990000000</v>
      </c>
      <c r="C190" s="273" t="s">
        <v>191</v>
      </c>
      <c r="D190" s="286">
        <v>0</v>
      </c>
      <c r="E190" s="286">
        <v>0</v>
      </c>
      <c r="F190" s="286">
        <v>0</v>
      </c>
      <c r="G190" s="277">
        <f t="shared" si="36"/>
        <v>0</v>
      </c>
      <c r="H190" s="278">
        <f t="shared" si="35"/>
        <v>0</v>
      </c>
    </row>
    <row r="191" spans="1:8" ht="15.75" customHeight="1" x14ac:dyDescent="0.2">
      <c r="A191" s="836"/>
      <c r="B191" s="272">
        <v>53209990000000</v>
      </c>
      <c r="C191" s="273" t="s">
        <v>189</v>
      </c>
      <c r="D191" s="286">
        <v>0</v>
      </c>
      <c r="E191" s="286">
        <v>0</v>
      </c>
      <c r="F191" s="286">
        <v>0</v>
      </c>
      <c r="G191" s="277">
        <f t="shared" si="36"/>
        <v>0</v>
      </c>
      <c r="H191" s="278">
        <f t="shared" si="35"/>
        <v>0</v>
      </c>
    </row>
    <row r="192" spans="1:8" ht="15.75" customHeight="1" x14ac:dyDescent="0.2">
      <c r="A192" s="836"/>
      <c r="B192" s="272">
        <v>53210020100000</v>
      </c>
      <c r="C192" s="273" t="s">
        <v>64</v>
      </c>
      <c r="D192" s="286">
        <v>0</v>
      </c>
      <c r="E192" s="286">
        <v>0</v>
      </c>
      <c r="F192" s="286">
        <v>0</v>
      </c>
      <c r="G192" s="277">
        <f t="shared" si="36"/>
        <v>0</v>
      </c>
      <c r="H192" s="278">
        <f t="shared" si="35"/>
        <v>0</v>
      </c>
    </row>
    <row r="193" spans="1:10" ht="15.75" customHeight="1" x14ac:dyDescent="0.2">
      <c r="A193" s="836"/>
      <c r="B193" s="266"/>
      <c r="C193" s="267" t="s">
        <v>65</v>
      </c>
      <c r="D193" s="268">
        <f>SUM(D194:D200)</f>
        <v>0</v>
      </c>
      <c r="E193" s="269"/>
      <c r="F193" s="269"/>
      <c r="G193" s="268">
        <f>SUM(G194:G200)</f>
        <v>0</v>
      </c>
      <c r="H193" s="271">
        <f>SUM(H194:H200)</f>
        <v>0</v>
      </c>
    </row>
    <row r="194" spans="1:10" ht="15.75" customHeight="1" x14ac:dyDescent="0.2">
      <c r="A194" s="836"/>
      <c r="B194" s="272">
        <v>53206030000000</v>
      </c>
      <c r="C194" s="273" t="s">
        <v>98</v>
      </c>
      <c r="D194" s="286">
        <v>0</v>
      </c>
      <c r="E194" s="286">
        <v>0</v>
      </c>
      <c r="F194" s="286">
        <v>0</v>
      </c>
      <c r="G194" s="277">
        <f t="shared" si="36"/>
        <v>0</v>
      </c>
      <c r="H194" s="278">
        <f t="shared" si="35"/>
        <v>0</v>
      </c>
    </row>
    <row r="195" spans="1:10" ht="15.75" customHeight="1" x14ac:dyDescent="0.2">
      <c r="A195" s="836"/>
      <c r="B195" s="272">
        <v>53206040000000</v>
      </c>
      <c r="C195" s="273" t="s">
        <v>99</v>
      </c>
      <c r="D195" s="286">
        <v>0</v>
      </c>
      <c r="E195" s="286">
        <v>0</v>
      </c>
      <c r="F195" s="286">
        <v>0</v>
      </c>
      <c r="G195" s="277">
        <f t="shared" si="36"/>
        <v>0</v>
      </c>
      <c r="H195" s="278">
        <f t="shared" si="35"/>
        <v>0</v>
      </c>
    </row>
    <row r="196" spans="1:10" ht="15.75" customHeight="1" x14ac:dyDescent="0.2">
      <c r="A196" s="836"/>
      <c r="B196" s="272">
        <v>53206060000000</v>
      </c>
      <c r="C196" s="273" t="s">
        <v>192</v>
      </c>
      <c r="D196" s="286">
        <v>0</v>
      </c>
      <c r="E196" s="286">
        <v>0</v>
      </c>
      <c r="F196" s="286">
        <v>0</v>
      </c>
      <c r="G196" s="277">
        <f t="shared" si="36"/>
        <v>0</v>
      </c>
      <c r="H196" s="278">
        <f t="shared" si="35"/>
        <v>0</v>
      </c>
    </row>
    <row r="197" spans="1:10" ht="15.75" customHeight="1" x14ac:dyDescent="0.2">
      <c r="A197" s="836"/>
      <c r="B197" s="272">
        <v>53206070000000</v>
      </c>
      <c r="C197" s="273" t="s">
        <v>101</v>
      </c>
      <c r="D197" s="286">
        <v>0</v>
      </c>
      <c r="E197" s="286">
        <v>0</v>
      </c>
      <c r="F197" s="286">
        <v>0</v>
      </c>
      <c r="G197" s="277">
        <f t="shared" si="36"/>
        <v>0</v>
      </c>
      <c r="H197" s="278">
        <f t="shared" si="35"/>
        <v>0</v>
      </c>
    </row>
    <row r="198" spans="1:10" ht="15.75" customHeight="1" x14ac:dyDescent="0.2">
      <c r="A198" s="836"/>
      <c r="B198" s="272">
        <v>53206990000000</v>
      </c>
      <c r="C198" s="273" t="s">
        <v>193</v>
      </c>
      <c r="D198" s="286">
        <v>0</v>
      </c>
      <c r="E198" s="286">
        <v>0</v>
      </c>
      <c r="F198" s="286">
        <v>0</v>
      </c>
      <c r="G198" s="277">
        <f t="shared" si="36"/>
        <v>0</v>
      </c>
      <c r="H198" s="278">
        <f t="shared" si="35"/>
        <v>0</v>
      </c>
    </row>
    <row r="199" spans="1:10" ht="15.75" customHeight="1" x14ac:dyDescent="0.2">
      <c r="A199" s="836"/>
      <c r="B199" s="272">
        <v>53208030000000</v>
      </c>
      <c r="C199" s="273" t="s">
        <v>103</v>
      </c>
      <c r="D199" s="286">
        <v>0</v>
      </c>
      <c r="E199" s="286">
        <v>0</v>
      </c>
      <c r="F199" s="286">
        <v>0</v>
      </c>
      <c r="G199" s="277">
        <f t="shared" si="36"/>
        <v>0</v>
      </c>
      <c r="H199" s="278">
        <f t="shared" si="35"/>
        <v>0</v>
      </c>
    </row>
    <row r="200" spans="1:10" ht="15.75" customHeight="1" x14ac:dyDescent="0.2">
      <c r="A200" s="836"/>
      <c r="B200" s="272">
        <v>53206990000000</v>
      </c>
      <c r="C200" s="273" t="s">
        <v>214</v>
      </c>
      <c r="D200" s="286">
        <v>0</v>
      </c>
      <c r="E200" s="286">
        <v>0</v>
      </c>
      <c r="F200" s="286">
        <v>0</v>
      </c>
      <c r="G200" s="277">
        <f t="shared" si="36"/>
        <v>0</v>
      </c>
      <c r="H200" s="278">
        <f t="shared" si="35"/>
        <v>0</v>
      </c>
    </row>
    <row r="201" spans="1:10" ht="15.75" customHeight="1" x14ac:dyDescent="0.2">
      <c r="A201" s="836"/>
      <c r="B201" s="266"/>
      <c r="C201" s="267" t="s">
        <v>66</v>
      </c>
      <c r="D201" s="268">
        <f>SUM(D202:D202)</f>
        <v>0</v>
      </c>
      <c r="E201" s="269"/>
      <c r="F201" s="269"/>
      <c r="G201" s="268">
        <f>SUM(G202:G202)</f>
        <v>0</v>
      </c>
      <c r="H201" s="271">
        <f>SUM(H202:H202)</f>
        <v>0</v>
      </c>
    </row>
    <row r="202" spans="1:10" ht="15.75" customHeight="1" x14ac:dyDescent="0.2">
      <c r="A202" s="836"/>
      <c r="B202" s="293"/>
      <c r="C202" s="294" t="s">
        <v>215</v>
      </c>
      <c r="D202" s="279">
        <v>0</v>
      </c>
      <c r="E202" s="279">
        <v>0</v>
      </c>
      <c r="F202" s="281">
        <v>0</v>
      </c>
      <c r="G202" s="277">
        <f t="shared" si="36"/>
        <v>0</v>
      </c>
      <c r="H202" s="295">
        <f t="shared" si="35"/>
        <v>0</v>
      </c>
      <c r="I202" s="360" t="s">
        <v>216</v>
      </c>
      <c r="J202" s="300">
        <f>+H200+H199+H198+H197+H196+H195+H194+H192+H191+H190+H189+H188+H187+H186+H185+H183+H180+H179+H178+H177+H176+H174+H172+H171+H165+H164+H163+H161+H160+H159+H158+H157+H156+H155+H154+H153+H152+H151</f>
        <v>0</v>
      </c>
    </row>
    <row r="203" spans="1:10" x14ac:dyDescent="0.2">
      <c r="A203" s="836"/>
      <c r="B203" s="296"/>
      <c r="C203" s="297" t="s">
        <v>104</v>
      </c>
      <c r="D203" s="298">
        <f>SUM(D140,D167)</f>
        <v>0</v>
      </c>
      <c r="E203" s="186"/>
      <c r="F203" s="186"/>
      <c r="G203" s="298">
        <f>SUM(G140,G167)</f>
        <v>0</v>
      </c>
      <c r="H203" s="299">
        <f>SUM(H140,H167)</f>
        <v>0</v>
      </c>
      <c r="I203" s="357" t="s">
        <v>217</v>
      </c>
      <c r="J203" s="301">
        <f>+H203-J202</f>
        <v>0</v>
      </c>
    </row>
    <row r="204" spans="1:10" x14ac:dyDescent="0.2">
      <c r="B204" s="157"/>
      <c r="C204" s="158" t="s">
        <v>104</v>
      </c>
      <c r="D204" s="159">
        <f>SUM(D203+D75)</f>
        <v>80094348.569999993</v>
      </c>
      <c r="E204" s="159">
        <f>SUM(E203+E75)</f>
        <v>0</v>
      </c>
      <c r="F204" s="159">
        <f>SUM(F203+F75)</f>
        <v>0</v>
      </c>
      <c r="G204" s="159">
        <f>SUM(G203+G75)</f>
        <v>15054270</v>
      </c>
      <c r="H204" s="159">
        <f>SUM(H203+H75+H139)</f>
        <v>132133683.05</v>
      </c>
    </row>
    <row r="206" spans="1:10" x14ac:dyDescent="0.2">
      <c r="I206" s="359" t="s">
        <v>218</v>
      </c>
      <c r="J206" s="180">
        <f>SUM(J202+J74+J138)</f>
        <v>37000346</v>
      </c>
    </row>
    <row r="207" spans="1:10" x14ac:dyDescent="0.2">
      <c r="I207" s="358" t="s">
        <v>219</v>
      </c>
      <c r="J207" s="187">
        <f>SUM(J203+J75+J139)</f>
        <v>95133337.049999982</v>
      </c>
    </row>
  </sheetData>
  <mergeCells count="15">
    <mergeCell ref="A8:C8"/>
    <mergeCell ref="A10:A11"/>
    <mergeCell ref="C10:C11"/>
    <mergeCell ref="B10:B11"/>
    <mergeCell ref="A140:A203"/>
    <mergeCell ref="A76:A139"/>
    <mergeCell ref="A12:A75"/>
    <mergeCell ref="M17:M18"/>
    <mergeCell ref="N17:N18"/>
    <mergeCell ref="O17:O18"/>
    <mergeCell ref="L17:L18"/>
    <mergeCell ref="D4:E4"/>
    <mergeCell ref="E10:G10"/>
    <mergeCell ref="D10:D11"/>
    <mergeCell ref="H10:H11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zoomScale="80" zoomScaleNormal="80" workbookViewId="0">
      <selection activeCell="K16" sqref="K16"/>
    </sheetView>
  </sheetViews>
  <sheetFormatPr baseColWidth="10" defaultColWidth="11.42578125" defaultRowHeight="12.75" x14ac:dyDescent="0.2"/>
  <cols>
    <col min="1" max="1" width="11.5703125" style="575" customWidth="1"/>
    <col min="2" max="2" width="28" style="575" customWidth="1"/>
    <col min="3" max="3" width="28.7109375" style="575" customWidth="1"/>
    <col min="4" max="4" width="24.140625" style="575" customWidth="1"/>
    <col min="5" max="5" width="25.140625" style="575" customWidth="1"/>
    <col min="6" max="6" width="22.140625" style="575" customWidth="1"/>
    <col min="7" max="7" width="14.85546875" style="575" customWidth="1"/>
    <col min="8" max="8" width="15" style="575" customWidth="1"/>
    <col min="9" max="9" width="15.140625" style="575" customWidth="1"/>
    <col min="10" max="10" width="17.42578125" style="575" customWidth="1"/>
    <col min="11" max="11" width="19.140625" style="575" customWidth="1"/>
    <col min="12" max="12" width="4.85546875" style="575" customWidth="1"/>
    <col min="13" max="13" width="19.140625" style="575" customWidth="1"/>
    <col min="14" max="14" width="16.140625" style="575" customWidth="1"/>
    <col min="15" max="15" width="17.140625" style="575" customWidth="1"/>
    <col min="16" max="16" width="14.85546875" style="575" customWidth="1"/>
    <col min="17" max="17" width="17.7109375" style="575" customWidth="1"/>
    <col min="18" max="18" width="17.140625" style="575" customWidth="1"/>
    <col min="19" max="19" width="17.42578125" style="575" customWidth="1"/>
    <col min="20" max="20" width="5" style="575" customWidth="1"/>
    <col min="21" max="21" width="19.85546875" style="575" bestFit="1" customWidth="1"/>
    <col min="22" max="22" width="52.140625" style="575" bestFit="1" customWidth="1"/>
    <col min="23" max="23" width="18.28515625" style="575" customWidth="1"/>
    <col min="24" max="24" width="5.7109375" style="575" customWidth="1"/>
    <col min="25" max="25" width="11.42578125" style="575" customWidth="1"/>
    <col min="26" max="31" width="14.28515625" style="575" customWidth="1"/>
    <col min="32" max="32" width="11.28515625" style="575" customWidth="1"/>
    <col min="33" max="38" width="14.28515625" style="575" customWidth="1"/>
    <col min="39" max="39" width="11.42578125" style="575"/>
    <col min="40" max="45" width="14.28515625" style="575" customWidth="1"/>
    <col min="46" max="16384" width="11.42578125" style="575"/>
  </cols>
  <sheetData>
    <row r="1" spans="1:242" s="565" customFormat="1" x14ac:dyDescent="0.2">
      <c r="E1" s="566" t="s">
        <v>204</v>
      </c>
      <c r="F1" s="566"/>
      <c r="G1" s="566"/>
      <c r="H1" s="566"/>
      <c r="I1" s="566"/>
      <c r="IG1" s="567"/>
      <c r="IH1" s="567"/>
    </row>
    <row r="2" spans="1:242" s="565" customFormat="1" x14ac:dyDescent="0.2">
      <c r="E2" s="566" t="s">
        <v>196</v>
      </c>
      <c r="F2" s="566"/>
      <c r="G2" s="566"/>
      <c r="H2" s="566"/>
      <c r="I2" s="566"/>
      <c r="IG2" s="567"/>
      <c r="IH2" s="567"/>
    </row>
    <row r="3" spans="1:242" s="565" customFormat="1" x14ac:dyDescent="0.2">
      <c r="B3" s="568"/>
      <c r="HX3" s="567"/>
      <c r="HY3" s="567"/>
      <c r="HZ3" s="567"/>
      <c r="IA3" s="567"/>
      <c r="IB3" s="567"/>
      <c r="IC3" s="567"/>
    </row>
    <row r="4" spans="1:242" s="565" customFormat="1" ht="18.75" customHeight="1" x14ac:dyDescent="0.2">
      <c r="B4" s="568"/>
      <c r="D4" s="569" t="s">
        <v>0</v>
      </c>
      <c r="E4" s="570" t="str">
        <f>+'B) Reajuste Tarifas y Ocupación'!F5</f>
        <v>(DEPTO./DELEG.)</v>
      </c>
      <c r="F4" s="571"/>
      <c r="G4" s="572"/>
      <c r="H4" s="572"/>
      <c r="I4" s="572"/>
      <c r="J4" s="572"/>
      <c r="O4" s="573"/>
      <c r="HX4" s="567"/>
      <c r="HY4" s="567"/>
      <c r="HZ4" s="567"/>
      <c r="IA4" s="567"/>
      <c r="IB4" s="567"/>
      <c r="IC4" s="567"/>
    </row>
    <row r="5" spans="1:242" s="565" customFormat="1" x14ac:dyDescent="0.2">
      <c r="B5" s="568"/>
      <c r="D5" s="574"/>
      <c r="E5" s="566"/>
      <c r="F5" s="566"/>
      <c r="G5" s="566"/>
      <c r="H5" s="566"/>
      <c r="I5" s="566"/>
      <c r="J5" s="566"/>
      <c r="O5" s="573"/>
      <c r="HX5" s="567"/>
      <c r="HY5" s="567"/>
      <c r="HZ5" s="567"/>
      <c r="IA5" s="567"/>
      <c r="IB5" s="567"/>
      <c r="IC5" s="567"/>
    </row>
    <row r="6" spans="1:242" s="565" customFormat="1" ht="13.5" thickBot="1" x14ac:dyDescent="0.25">
      <c r="B6" s="568"/>
      <c r="D6" s="574"/>
      <c r="E6" s="566"/>
      <c r="F6" s="566"/>
      <c r="G6" s="566"/>
      <c r="H6" s="566"/>
      <c r="I6" s="566"/>
      <c r="J6" s="566"/>
      <c r="O6" s="573"/>
      <c r="HX6" s="567"/>
      <c r="HY6" s="567"/>
      <c r="HZ6" s="567"/>
      <c r="IA6" s="567"/>
      <c r="IB6" s="567"/>
      <c r="IC6" s="567"/>
    </row>
    <row r="7" spans="1:242" x14ac:dyDescent="0.2">
      <c r="B7" s="576"/>
      <c r="C7" s="576"/>
      <c r="D7" s="576"/>
      <c r="E7" s="576"/>
      <c r="F7" s="576"/>
      <c r="G7" s="576"/>
      <c r="H7" s="576"/>
      <c r="I7" s="576"/>
      <c r="J7" s="577"/>
      <c r="K7" s="577"/>
      <c r="L7" s="577"/>
      <c r="M7" s="577"/>
      <c r="N7" s="577"/>
      <c r="O7" s="577"/>
      <c r="P7" s="577"/>
      <c r="Q7" s="577"/>
      <c r="R7" s="577"/>
      <c r="Y7" s="578"/>
      <c r="Z7" s="579"/>
      <c r="AA7" s="579"/>
      <c r="AB7" s="579"/>
      <c r="AC7" s="579"/>
      <c r="AD7" s="579"/>
      <c r="AE7" s="579"/>
      <c r="AF7" s="579"/>
      <c r="AG7" s="579"/>
      <c r="AH7" s="579"/>
      <c r="AI7" s="579"/>
      <c r="AJ7" s="579"/>
      <c r="AK7" s="579"/>
      <c r="AL7" s="579"/>
      <c r="AM7" s="579"/>
      <c r="AN7" s="579"/>
      <c r="AO7" s="579"/>
      <c r="AP7" s="579"/>
      <c r="AQ7" s="579"/>
      <c r="AR7" s="579"/>
      <c r="AS7" s="579"/>
      <c r="AT7" s="580"/>
    </row>
    <row r="8" spans="1:242" x14ac:dyDescent="0.2">
      <c r="B8" s="576"/>
      <c r="C8" s="576"/>
      <c r="D8" s="576"/>
      <c r="E8" s="576"/>
      <c r="F8" s="576"/>
      <c r="G8" s="576"/>
      <c r="H8" s="576"/>
      <c r="I8" s="576"/>
      <c r="J8" s="577"/>
      <c r="K8" s="577"/>
      <c r="L8" s="577"/>
      <c r="M8" s="577"/>
      <c r="N8" s="577"/>
      <c r="O8" s="577"/>
      <c r="P8" s="577"/>
      <c r="Q8" s="577"/>
      <c r="R8" s="577"/>
      <c r="Y8" s="581"/>
      <c r="AT8" s="582"/>
    </row>
    <row r="9" spans="1:242" ht="15.75" customHeight="1" x14ac:dyDescent="0.2">
      <c r="A9" s="838" t="s">
        <v>153</v>
      </c>
      <c r="B9" s="838"/>
      <c r="C9" s="838"/>
      <c r="D9" s="838"/>
      <c r="E9" s="838"/>
      <c r="F9" s="838"/>
      <c r="G9" s="838"/>
      <c r="H9" s="838"/>
      <c r="I9" s="583"/>
      <c r="J9" s="583"/>
      <c r="K9" s="583"/>
      <c r="L9" s="583"/>
      <c r="M9" s="839" t="s">
        <v>154</v>
      </c>
      <c r="N9" s="839"/>
      <c r="O9" s="839"/>
      <c r="P9" s="839"/>
      <c r="Q9" s="839"/>
      <c r="R9" s="839"/>
      <c r="S9" s="839"/>
      <c r="U9" s="839" t="s">
        <v>155</v>
      </c>
      <c r="V9" s="839"/>
      <c r="W9" s="839"/>
      <c r="X9" s="584"/>
      <c r="Y9" s="585"/>
      <c r="Z9" s="839" t="s">
        <v>210</v>
      </c>
      <c r="AA9" s="839"/>
      <c r="AB9" s="839"/>
      <c r="AC9" s="839"/>
      <c r="AD9" s="839"/>
      <c r="AE9" s="839"/>
      <c r="AF9" s="584"/>
      <c r="AG9" s="839" t="s">
        <v>157</v>
      </c>
      <c r="AH9" s="839"/>
      <c r="AI9" s="839"/>
      <c r="AJ9" s="839"/>
      <c r="AK9" s="839"/>
      <c r="AL9" s="839"/>
      <c r="AN9" s="839" t="s">
        <v>158</v>
      </c>
      <c r="AO9" s="839"/>
      <c r="AP9" s="839"/>
      <c r="AQ9" s="839"/>
      <c r="AR9" s="839"/>
      <c r="AS9" s="839"/>
      <c r="AT9" s="582"/>
    </row>
    <row r="10" spans="1:242" ht="13.5" customHeight="1" x14ac:dyDescent="0.2">
      <c r="B10" s="568"/>
      <c r="C10" s="574"/>
      <c r="D10" s="574"/>
      <c r="E10" s="566"/>
      <c r="F10" s="566"/>
      <c r="G10" s="566"/>
      <c r="H10" s="566"/>
      <c r="I10" s="566"/>
      <c r="J10" s="566"/>
      <c r="M10" s="839"/>
      <c r="N10" s="839"/>
      <c r="O10" s="839"/>
      <c r="P10" s="839"/>
      <c r="Q10" s="839"/>
      <c r="R10" s="839"/>
      <c r="S10" s="839"/>
      <c r="U10" s="839"/>
      <c r="V10" s="839"/>
      <c r="W10" s="839"/>
      <c r="Y10" s="581"/>
      <c r="Z10" s="839"/>
      <c r="AA10" s="839"/>
      <c r="AB10" s="839"/>
      <c r="AC10" s="839"/>
      <c r="AD10" s="839"/>
      <c r="AE10" s="839"/>
      <c r="AG10" s="839"/>
      <c r="AH10" s="839"/>
      <c r="AI10" s="839"/>
      <c r="AJ10" s="839"/>
      <c r="AK10" s="839"/>
      <c r="AL10" s="839"/>
      <c r="AN10" s="839"/>
      <c r="AO10" s="839"/>
      <c r="AP10" s="839"/>
      <c r="AQ10" s="839"/>
      <c r="AR10" s="839"/>
      <c r="AS10" s="839"/>
      <c r="AT10" s="582"/>
    </row>
    <row r="11" spans="1:242" x14ac:dyDescent="0.2">
      <c r="J11" s="586" t="s">
        <v>4</v>
      </c>
      <c r="K11" s="587">
        <v>0.11</v>
      </c>
      <c r="Y11" s="581"/>
      <c r="AT11" s="582"/>
    </row>
    <row r="12" spans="1:242" ht="12.75" customHeight="1" thickBot="1" x14ac:dyDescent="0.25">
      <c r="M12" s="863"/>
      <c r="N12" s="863"/>
      <c r="O12" s="863"/>
      <c r="P12" s="863"/>
      <c r="Q12" s="863"/>
      <c r="R12" s="863"/>
      <c r="Y12" s="581"/>
      <c r="AT12" s="582"/>
    </row>
    <row r="13" spans="1:242" ht="21.75" customHeight="1" x14ac:dyDescent="0.2">
      <c r="A13" s="852" t="s">
        <v>116</v>
      </c>
      <c r="B13" s="853"/>
      <c r="C13" s="856" t="s">
        <v>73</v>
      </c>
      <c r="D13" s="856" t="s">
        <v>74</v>
      </c>
      <c r="E13" s="858" t="s">
        <v>3</v>
      </c>
      <c r="F13" s="858" t="s">
        <v>81</v>
      </c>
      <c r="G13" s="860" t="s">
        <v>268</v>
      </c>
      <c r="H13" s="861"/>
      <c r="I13" s="861"/>
      <c r="J13" s="862"/>
      <c r="K13" s="846" t="s">
        <v>270</v>
      </c>
      <c r="L13" s="577"/>
      <c r="M13" s="844" t="s">
        <v>69</v>
      </c>
      <c r="N13" s="848"/>
      <c r="O13" s="849" t="s">
        <v>70</v>
      </c>
      <c r="P13" s="850"/>
      <c r="Q13" s="851" t="s">
        <v>71</v>
      </c>
      <c r="R13" s="851"/>
      <c r="S13" s="882" t="s">
        <v>144</v>
      </c>
      <c r="U13" s="840" t="s">
        <v>75</v>
      </c>
      <c r="V13" s="842" t="s">
        <v>76</v>
      </c>
      <c r="W13" s="864" t="s">
        <v>271</v>
      </c>
      <c r="Y13" s="581"/>
      <c r="Z13" s="869" t="s">
        <v>69</v>
      </c>
      <c r="AA13" s="870"/>
      <c r="AB13" s="871" t="s">
        <v>70</v>
      </c>
      <c r="AC13" s="872"/>
      <c r="AD13" s="873" t="s">
        <v>71</v>
      </c>
      <c r="AE13" s="874"/>
      <c r="AG13" s="844" t="s">
        <v>69</v>
      </c>
      <c r="AH13" s="845"/>
      <c r="AI13" s="849" t="s">
        <v>70</v>
      </c>
      <c r="AJ13" s="850"/>
      <c r="AK13" s="865" t="s">
        <v>71</v>
      </c>
      <c r="AL13" s="866"/>
      <c r="AN13" s="844" t="s">
        <v>69</v>
      </c>
      <c r="AO13" s="845"/>
      <c r="AP13" s="849" t="s">
        <v>70</v>
      </c>
      <c r="AQ13" s="850"/>
      <c r="AR13" s="865" t="s">
        <v>71</v>
      </c>
      <c r="AS13" s="866"/>
      <c r="AT13" s="582"/>
    </row>
    <row r="14" spans="1:242" ht="39" thickBot="1" x14ac:dyDescent="0.25">
      <c r="A14" s="854"/>
      <c r="B14" s="855"/>
      <c r="C14" s="857"/>
      <c r="D14" s="857"/>
      <c r="E14" s="859"/>
      <c r="F14" s="859"/>
      <c r="G14" s="588" t="s">
        <v>220</v>
      </c>
      <c r="H14" s="589" t="s">
        <v>114</v>
      </c>
      <c r="I14" s="588" t="s">
        <v>115</v>
      </c>
      <c r="J14" s="590" t="s">
        <v>269</v>
      </c>
      <c r="K14" s="847"/>
      <c r="L14" s="577"/>
      <c r="M14" s="591" t="s">
        <v>36</v>
      </c>
      <c r="N14" s="592" t="s">
        <v>37</v>
      </c>
      <c r="O14" s="593" t="s">
        <v>36</v>
      </c>
      <c r="P14" s="594" t="s">
        <v>37</v>
      </c>
      <c r="Q14" s="595" t="s">
        <v>36</v>
      </c>
      <c r="R14" s="596" t="s">
        <v>37</v>
      </c>
      <c r="S14" s="883"/>
      <c r="U14" s="841"/>
      <c r="V14" s="843"/>
      <c r="W14" s="864"/>
      <c r="Y14" s="581"/>
      <c r="Z14" s="597" t="s">
        <v>36</v>
      </c>
      <c r="AA14" s="592" t="s">
        <v>37</v>
      </c>
      <c r="AB14" s="598" t="s">
        <v>36</v>
      </c>
      <c r="AC14" s="594" t="s">
        <v>37</v>
      </c>
      <c r="AD14" s="599" t="s">
        <v>36</v>
      </c>
      <c r="AE14" s="600" t="s">
        <v>37</v>
      </c>
      <c r="AG14" s="591" t="s">
        <v>36</v>
      </c>
      <c r="AH14" s="601" t="s">
        <v>37</v>
      </c>
      <c r="AI14" s="593" t="s">
        <v>36</v>
      </c>
      <c r="AJ14" s="602" t="s">
        <v>37</v>
      </c>
      <c r="AK14" s="603" t="s">
        <v>36</v>
      </c>
      <c r="AL14" s="604" t="s">
        <v>37</v>
      </c>
      <c r="AN14" s="867" t="s">
        <v>145</v>
      </c>
      <c r="AO14" s="868"/>
      <c r="AP14" s="875" t="s">
        <v>145</v>
      </c>
      <c r="AQ14" s="876"/>
      <c r="AR14" s="879" t="s">
        <v>146</v>
      </c>
      <c r="AS14" s="880"/>
      <c r="AT14" s="582"/>
    </row>
    <row r="15" spans="1:242" ht="12.75" customHeight="1" thickBot="1" x14ac:dyDescent="0.25">
      <c r="A15" s="896" t="s">
        <v>140</v>
      </c>
      <c r="B15" s="898" t="s">
        <v>92</v>
      </c>
      <c r="C15" s="605" t="s">
        <v>274</v>
      </c>
      <c r="D15" s="606" t="s">
        <v>275</v>
      </c>
      <c r="E15" s="607" t="s">
        <v>276</v>
      </c>
      <c r="F15" s="608" t="s">
        <v>117</v>
      </c>
      <c r="G15" s="609">
        <f>31753703+174856</f>
        <v>31928559</v>
      </c>
      <c r="H15" s="609">
        <v>152400</v>
      </c>
      <c r="I15" s="610">
        <v>154662</v>
      </c>
      <c r="J15" s="611">
        <f>SUM(G15:I15)</f>
        <v>32235621</v>
      </c>
      <c r="K15" s="612">
        <f>+J15*(1+$K$11)</f>
        <v>35781539.310000002</v>
      </c>
      <c r="L15" s="577"/>
      <c r="M15" s="613">
        <v>0.55000000000000004</v>
      </c>
      <c r="N15" s="614">
        <f t="shared" ref="N15:N61" si="0">+$K15*M15</f>
        <v>19679846.620500002</v>
      </c>
      <c r="O15" s="613">
        <v>0.35</v>
      </c>
      <c r="P15" s="614">
        <f t="shared" ref="P15:P61" si="1">+$K15*O15</f>
        <v>12523538.7585</v>
      </c>
      <c r="Q15" s="615">
        <v>0.1</v>
      </c>
      <c r="R15" s="614">
        <f t="shared" ref="R15:R61" si="2">+$K15*Q15</f>
        <v>3578153.9310000003</v>
      </c>
      <c r="S15" s="616">
        <f>+M15+O15+Q15</f>
        <v>1</v>
      </c>
      <c r="U15" s="617"/>
      <c r="V15" s="618" t="s">
        <v>11</v>
      </c>
      <c r="W15" s="619">
        <f>SUM(W16,W20)</f>
        <v>19018000</v>
      </c>
      <c r="Y15" s="581"/>
      <c r="Z15" s="620">
        <f t="shared" ref="Z15:AE15" si="3">+M62</f>
        <v>0.53037278268462806</v>
      </c>
      <c r="AA15" s="621">
        <f t="shared" si="3"/>
        <v>70937621.36999999</v>
      </c>
      <c r="AB15" s="620">
        <f t="shared" si="3"/>
        <v>0.33750995261749073</v>
      </c>
      <c r="AC15" s="622">
        <f t="shared" si="3"/>
        <v>45142122.690000013</v>
      </c>
      <c r="AD15" s="623">
        <f t="shared" si="3"/>
        <v>0.13211726469788113</v>
      </c>
      <c r="AE15" s="622">
        <f t="shared" si="3"/>
        <v>17670749.340000004</v>
      </c>
      <c r="AG15" s="624">
        <f>+Z15</f>
        <v>0.53037278268462806</v>
      </c>
      <c r="AH15" s="625">
        <f>+AG15*W80</f>
        <v>19474227.834614173</v>
      </c>
      <c r="AI15" s="626">
        <f>+AB15</f>
        <v>0.33750995261749073</v>
      </c>
      <c r="AJ15" s="625">
        <f>+AI15*W80</f>
        <v>12392690.440209024</v>
      </c>
      <c r="AK15" s="627">
        <f>+AD15</f>
        <v>0.13211726469788113</v>
      </c>
      <c r="AL15" s="628">
        <f>+AK15*W80</f>
        <v>4851081.7251767991</v>
      </c>
      <c r="AN15" s="877">
        <f>+AH15+AA15+K78</f>
        <v>90411849.204614162</v>
      </c>
      <c r="AO15" s="878"/>
      <c r="AP15" s="877">
        <f>+AJ15+AC15+K70</f>
        <v>57534813.130209036</v>
      </c>
      <c r="AQ15" s="878"/>
      <c r="AR15" s="877">
        <f>+AL15+AE15+K85</f>
        <v>22521831.065176804</v>
      </c>
      <c r="AS15" s="881"/>
      <c r="AT15" s="582"/>
    </row>
    <row r="16" spans="1:242" x14ac:dyDescent="0.2">
      <c r="A16" s="896"/>
      <c r="B16" s="899"/>
      <c r="C16" s="629" t="s">
        <v>277</v>
      </c>
      <c r="D16" s="630" t="s">
        <v>278</v>
      </c>
      <c r="E16" s="631" t="s">
        <v>279</v>
      </c>
      <c r="F16" s="632" t="s">
        <v>117</v>
      </c>
      <c r="G16" s="633">
        <f>13485806+6664</f>
        <v>13492470</v>
      </c>
      <c r="H16" s="633">
        <v>304800</v>
      </c>
      <c r="I16" s="634">
        <v>155416</v>
      </c>
      <c r="J16" s="635">
        <f t="shared" ref="J16:J69" si="4">SUM(G16:I16)</f>
        <v>13952686</v>
      </c>
      <c r="K16" s="636">
        <f t="shared" ref="K16:K69" si="5">+J16*(1+$K$11)</f>
        <v>15487481.460000001</v>
      </c>
      <c r="L16" s="577"/>
      <c r="M16" s="637">
        <v>0.55000000000000004</v>
      </c>
      <c r="N16" s="638">
        <f t="shared" si="0"/>
        <v>8518114.8030000012</v>
      </c>
      <c r="O16" s="637">
        <v>0.35</v>
      </c>
      <c r="P16" s="638">
        <f t="shared" si="1"/>
        <v>5420618.5109999999</v>
      </c>
      <c r="Q16" s="639">
        <v>0.1</v>
      </c>
      <c r="R16" s="638">
        <f t="shared" si="2"/>
        <v>1548748.1460000002</v>
      </c>
      <c r="S16" s="616">
        <f t="shared" ref="S16:S61" si="6">+M16+O16+Q16</f>
        <v>1</v>
      </c>
      <c r="U16" s="640"/>
      <c r="V16" s="641" t="s">
        <v>12</v>
      </c>
      <c r="W16" s="642">
        <f>SUM(W17:W19)</f>
        <v>600000</v>
      </c>
      <c r="Y16" s="581"/>
      <c r="AT16" s="582"/>
    </row>
    <row r="17" spans="1:46" ht="12.75" customHeight="1" x14ac:dyDescent="0.2">
      <c r="A17" s="896"/>
      <c r="B17" s="899"/>
      <c r="C17" s="629" t="s">
        <v>280</v>
      </c>
      <c r="D17" s="630" t="s">
        <v>281</v>
      </c>
      <c r="E17" s="631" t="s">
        <v>282</v>
      </c>
      <c r="F17" s="632" t="s">
        <v>117</v>
      </c>
      <c r="G17" s="633">
        <f>9270158+409175</f>
        <v>9679333</v>
      </c>
      <c r="H17" s="633">
        <v>304800</v>
      </c>
      <c r="I17" s="634">
        <v>155416</v>
      </c>
      <c r="J17" s="635">
        <f t="shared" si="4"/>
        <v>10139549</v>
      </c>
      <c r="K17" s="636">
        <f t="shared" si="5"/>
        <v>11254899.390000001</v>
      </c>
      <c r="L17" s="577"/>
      <c r="M17" s="637">
        <v>0.55000000000000004</v>
      </c>
      <c r="N17" s="638">
        <f t="shared" si="0"/>
        <v>6190194.6645000009</v>
      </c>
      <c r="O17" s="637">
        <v>0.35</v>
      </c>
      <c r="P17" s="638">
        <f t="shared" si="1"/>
        <v>3939214.7864999999</v>
      </c>
      <c r="Q17" s="639">
        <v>0.1</v>
      </c>
      <c r="R17" s="638">
        <f t="shared" si="2"/>
        <v>1125489.939</v>
      </c>
      <c r="S17" s="616">
        <f t="shared" si="6"/>
        <v>1</v>
      </c>
      <c r="U17" s="643">
        <v>53103050000000</v>
      </c>
      <c r="V17" s="644" t="s">
        <v>13</v>
      </c>
      <c r="W17" s="645">
        <v>0</v>
      </c>
      <c r="Y17" s="581"/>
      <c r="AT17" s="582"/>
    </row>
    <row r="18" spans="1:46" ht="13.5" customHeight="1" thickBot="1" x14ac:dyDescent="0.25">
      <c r="A18" s="896"/>
      <c r="B18" s="899"/>
      <c r="C18" s="629" t="s">
        <v>283</v>
      </c>
      <c r="D18" s="630" t="s">
        <v>284</v>
      </c>
      <c r="E18" s="631" t="s">
        <v>285</v>
      </c>
      <c r="F18" s="632" t="s">
        <v>117</v>
      </c>
      <c r="G18" s="633">
        <f>10958476+42437</f>
        <v>11000913</v>
      </c>
      <c r="H18" s="633">
        <v>304800</v>
      </c>
      <c r="I18" s="634">
        <v>155416</v>
      </c>
      <c r="J18" s="635">
        <f t="shared" si="4"/>
        <v>11461129</v>
      </c>
      <c r="K18" s="636">
        <f t="shared" si="5"/>
        <v>12721853.190000001</v>
      </c>
      <c r="L18" s="577"/>
      <c r="M18" s="637">
        <v>0.55000000000000004</v>
      </c>
      <c r="N18" s="638">
        <f t="shared" si="0"/>
        <v>6997019.2545000017</v>
      </c>
      <c r="O18" s="637">
        <v>0.35</v>
      </c>
      <c r="P18" s="638">
        <f t="shared" si="1"/>
        <v>4452648.6165000005</v>
      </c>
      <c r="Q18" s="639">
        <v>0.1</v>
      </c>
      <c r="R18" s="638">
        <f t="shared" si="2"/>
        <v>1272185.3190000001</v>
      </c>
      <c r="S18" s="616">
        <f t="shared" si="6"/>
        <v>1</v>
      </c>
      <c r="U18" s="643">
        <v>53103060000000</v>
      </c>
      <c r="V18" s="644" t="s">
        <v>14</v>
      </c>
      <c r="W18" s="645">
        <v>0</v>
      </c>
      <c r="Y18" s="646"/>
      <c r="Z18" s="647"/>
      <c r="AA18" s="647"/>
      <c r="AB18" s="647"/>
      <c r="AC18" s="647"/>
      <c r="AD18" s="647"/>
      <c r="AE18" s="647"/>
      <c r="AF18" s="647"/>
      <c r="AG18" s="647"/>
      <c r="AH18" s="647"/>
      <c r="AI18" s="647"/>
      <c r="AJ18" s="647"/>
      <c r="AK18" s="647"/>
      <c r="AL18" s="647"/>
      <c r="AM18" s="647"/>
      <c r="AN18" s="647"/>
      <c r="AO18" s="647"/>
      <c r="AP18" s="647"/>
      <c r="AQ18" s="647"/>
      <c r="AR18" s="647"/>
      <c r="AS18" s="647"/>
      <c r="AT18" s="648"/>
    </row>
    <row r="19" spans="1:46" x14ac:dyDescent="0.2">
      <c r="A19" s="896"/>
      <c r="B19" s="899"/>
      <c r="C19" s="629" t="s">
        <v>286</v>
      </c>
      <c r="D19" s="630" t="s">
        <v>287</v>
      </c>
      <c r="E19" s="631" t="s">
        <v>288</v>
      </c>
      <c r="F19" s="632" t="s">
        <v>117</v>
      </c>
      <c r="G19" s="633">
        <f>3439130-23908</f>
        <v>3415222</v>
      </c>
      <c r="H19" s="633">
        <v>304800</v>
      </c>
      <c r="I19" s="634">
        <v>164230</v>
      </c>
      <c r="J19" s="635">
        <f t="shared" si="4"/>
        <v>3884252</v>
      </c>
      <c r="K19" s="636">
        <f t="shared" si="5"/>
        <v>4311519.7200000007</v>
      </c>
      <c r="L19" s="577"/>
      <c r="M19" s="637">
        <v>0.55000000000000004</v>
      </c>
      <c r="N19" s="638">
        <f t="shared" si="0"/>
        <v>2371335.8460000004</v>
      </c>
      <c r="O19" s="637">
        <v>0.35</v>
      </c>
      <c r="P19" s="638">
        <f t="shared" si="1"/>
        <v>1509031.9020000002</v>
      </c>
      <c r="Q19" s="639">
        <v>0.1</v>
      </c>
      <c r="R19" s="638">
        <f t="shared" si="2"/>
        <v>431151.97200000007</v>
      </c>
      <c r="S19" s="616">
        <f t="shared" si="6"/>
        <v>1</v>
      </c>
      <c r="U19" s="643">
        <v>53103080010000</v>
      </c>
      <c r="V19" s="644" t="s">
        <v>15</v>
      </c>
      <c r="W19" s="645">
        <v>600000</v>
      </c>
    </row>
    <row r="20" spans="1:46" x14ac:dyDescent="0.2">
      <c r="A20" s="896"/>
      <c r="B20" s="899"/>
      <c r="C20" s="629"/>
      <c r="D20" s="630"/>
      <c r="E20" s="631"/>
      <c r="F20" s="632"/>
      <c r="G20" s="633"/>
      <c r="H20" s="633"/>
      <c r="I20" s="634"/>
      <c r="J20" s="635">
        <f t="shared" si="4"/>
        <v>0</v>
      </c>
      <c r="K20" s="636">
        <f t="shared" si="5"/>
        <v>0</v>
      </c>
      <c r="L20" s="577"/>
      <c r="M20" s="637"/>
      <c r="N20" s="638">
        <f t="shared" si="0"/>
        <v>0</v>
      </c>
      <c r="O20" s="637"/>
      <c r="P20" s="638">
        <f t="shared" si="1"/>
        <v>0</v>
      </c>
      <c r="Q20" s="639">
        <v>0</v>
      </c>
      <c r="R20" s="638">
        <f t="shared" si="2"/>
        <v>0</v>
      </c>
      <c r="S20" s="616">
        <f t="shared" si="6"/>
        <v>0</v>
      </c>
      <c r="U20" s="640"/>
      <c r="V20" s="641" t="s">
        <v>16</v>
      </c>
      <c r="W20" s="649">
        <f>SUM(W21:W39)</f>
        <v>18418000</v>
      </c>
    </row>
    <row r="21" spans="1:46" x14ac:dyDescent="0.2">
      <c r="A21" s="896"/>
      <c r="B21" s="899"/>
      <c r="C21" s="629"/>
      <c r="D21" s="630"/>
      <c r="E21" s="631"/>
      <c r="F21" s="632"/>
      <c r="G21" s="633"/>
      <c r="H21" s="633"/>
      <c r="I21" s="634"/>
      <c r="J21" s="635">
        <f t="shared" si="4"/>
        <v>0</v>
      </c>
      <c r="K21" s="636">
        <f t="shared" si="5"/>
        <v>0</v>
      </c>
      <c r="L21" s="577"/>
      <c r="M21" s="637"/>
      <c r="N21" s="638">
        <f t="shared" si="0"/>
        <v>0</v>
      </c>
      <c r="O21" s="637"/>
      <c r="P21" s="638">
        <f t="shared" si="1"/>
        <v>0</v>
      </c>
      <c r="Q21" s="639">
        <v>0</v>
      </c>
      <c r="R21" s="638">
        <f t="shared" si="2"/>
        <v>0</v>
      </c>
      <c r="S21" s="616">
        <f t="shared" si="6"/>
        <v>0</v>
      </c>
      <c r="U21" s="643">
        <v>53201010100000</v>
      </c>
      <c r="V21" s="644" t="s">
        <v>17</v>
      </c>
      <c r="W21" s="645">
        <v>4158000</v>
      </c>
    </row>
    <row r="22" spans="1:46" x14ac:dyDescent="0.2">
      <c r="A22" s="896"/>
      <c r="B22" s="899"/>
      <c r="C22" s="629"/>
      <c r="D22" s="630"/>
      <c r="E22" s="631"/>
      <c r="F22" s="632"/>
      <c r="G22" s="633"/>
      <c r="H22" s="633"/>
      <c r="I22" s="634"/>
      <c r="J22" s="635">
        <f t="shared" si="4"/>
        <v>0</v>
      </c>
      <c r="K22" s="636">
        <f t="shared" si="5"/>
        <v>0</v>
      </c>
      <c r="L22" s="577"/>
      <c r="M22" s="637"/>
      <c r="N22" s="638">
        <f t="shared" si="0"/>
        <v>0</v>
      </c>
      <c r="O22" s="637"/>
      <c r="P22" s="638">
        <f t="shared" si="1"/>
        <v>0</v>
      </c>
      <c r="Q22" s="639">
        <v>0</v>
      </c>
      <c r="R22" s="638">
        <f t="shared" si="2"/>
        <v>0</v>
      </c>
      <c r="S22" s="616">
        <f t="shared" si="6"/>
        <v>0</v>
      </c>
      <c r="U22" s="643">
        <v>53202010100000</v>
      </c>
      <c r="V22" s="644" t="s">
        <v>18</v>
      </c>
      <c r="W22" s="645">
        <v>0</v>
      </c>
    </row>
    <row r="23" spans="1:46" x14ac:dyDescent="0.2">
      <c r="A23" s="896"/>
      <c r="B23" s="899"/>
      <c r="C23" s="629"/>
      <c r="D23" s="630"/>
      <c r="E23" s="631"/>
      <c r="F23" s="632"/>
      <c r="G23" s="633"/>
      <c r="H23" s="633"/>
      <c r="I23" s="634"/>
      <c r="J23" s="635">
        <f t="shared" si="4"/>
        <v>0</v>
      </c>
      <c r="K23" s="636">
        <f t="shared" si="5"/>
        <v>0</v>
      </c>
      <c r="L23" s="577"/>
      <c r="M23" s="637"/>
      <c r="N23" s="638">
        <f t="shared" si="0"/>
        <v>0</v>
      </c>
      <c r="O23" s="637"/>
      <c r="P23" s="638">
        <f t="shared" si="1"/>
        <v>0</v>
      </c>
      <c r="Q23" s="639">
        <v>0</v>
      </c>
      <c r="R23" s="638">
        <f t="shared" si="2"/>
        <v>0</v>
      </c>
      <c r="S23" s="616">
        <f t="shared" si="6"/>
        <v>0</v>
      </c>
      <c r="U23" s="643">
        <v>53203010100000</v>
      </c>
      <c r="V23" s="644" t="s">
        <v>19</v>
      </c>
      <c r="W23" s="645">
        <v>3400000</v>
      </c>
    </row>
    <row r="24" spans="1:46" ht="13.5" thickBot="1" x14ac:dyDescent="0.25">
      <c r="A24" s="896"/>
      <c r="B24" s="900"/>
      <c r="C24" s="650"/>
      <c r="D24" s="651"/>
      <c r="E24" s="652"/>
      <c r="F24" s="653"/>
      <c r="G24" s="654"/>
      <c r="H24" s="654"/>
      <c r="I24" s="655"/>
      <c r="J24" s="656">
        <f t="shared" si="4"/>
        <v>0</v>
      </c>
      <c r="K24" s="657">
        <f t="shared" si="5"/>
        <v>0</v>
      </c>
      <c r="L24" s="577"/>
      <c r="M24" s="658"/>
      <c r="N24" s="659">
        <f t="shared" si="0"/>
        <v>0</v>
      </c>
      <c r="O24" s="658"/>
      <c r="P24" s="659">
        <f t="shared" si="1"/>
        <v>0</v>
      </c>
      <c r="Q24" s="660">
        <v>0</v>
      </c>
      <c r="R24" s="659">
        <f t="shared" si="2"/>
        <v>0</v>
      </c>
      <c r="S24" s="661">
        <f t="shared" si="6"/>
        <v>0</v>
      </c>
      <c r="U24" s="643">
        <v>53203030000000</v>
      </c>
      <c r="V24" s="644" t="s">
        <v>20</v>
      </c>
      <c r="W24" s="645">
        <v>0</v>
      </c>
    </row>
    <row r="25" spans="1:46" ht="12.75" customHeight="1" x14ac:dyDescent="0.2">
      <c r="A25" s="896"/>
      <c r="B25" s="901" t="s">
        <v>91</v>
      </c>
      <c r="C25" s="662" t="s">
        <v>289</v>
      </c>
      <c r="D25" s="663" t="s">
        <v>290</v>
      </c>
      <c r="E25" s="664" t="s">
        <v>136</v>
      </c>
      <c r="F25" s="665" t="s">
        <v>117</v>
      </c>
      <c r="G25" s="666">
        <f>25517256+174780+76</f>
        <v>25692112</v>
      </c>
      <c r="H25" s="609">
        <v>152400</v>
      </c>
      <c r="I25" s="610">
        <v>154662</v>
      </c>
      <c r="J25" s="667">
        <f t="shared" si="4"/>
        <v>25999174</v>
      </c>
      <c r="K25" s="612">
        <f t="shared" si="5"/>
        <v>28859083.140000004</v>
      </c>
      <c r="L25" s="577"/>
      <c r="M25" s="668">
        <v>0.55000000000000004</v>
      </c>
      <c r="N25" s="669">
        <f t="shared" si="0"/>
        <v>15872495.727000004</v>
      </c>
      <c r="O25" s="668">
        <v>0.35</v>
      </c>
      <c r="P25" s="670">
        <f t="shared" si="1"/>
        <v>10100679.099000001</v>
      </c>
      <c r="Q25" s="671">
        <v>0.1</v>
      </c>
      <c r="R25" s="669">
        <f t="shared" si="2"/>
        <v>2885908.3140000007</v>
      </c>
      <c r="S25" s="672">
        <f t="shared" si="6"/>
        <v>1</v>
      </c>
      <c r="U25" s="643">
        <v>53204030000000</v>
      </c>
      <c r="V25" s="644" t="s">
        <v>21</v>
      </c>
      <c r="W25" s="645">
        <v>0</v>
      </c>
    </row>
    <row r="26" spans="1:46" ht="12.75" customHeight="1" x14ac:dyDescent="0.2">
      <c r="A26" s="896"/>
      <c r="B26" s="899"/>
      <c r="C26" s="629"/>
      <c r="D26" s="630"/>
      <c r="E26" s="631"/>
      <c r="F26" s="632"/>
      <c r="G26" s="633"/>
      <c r="H26" s="633"/>
      <c r="I26" s="634"/>
      <c r="J26" s="635">
        <f t="shared" si="4"/>
        <v>0</v>
      </c>
      <c r="K26" s="636">
        <f t="shared" si="5"/>
        <v>0</v>
      </c>
      <c r="L26" s="577"/>
      <c r="M26" s="673"/>
      <c r="N26" s="674">
        <f t="shared" si="0"/>
        <v>0</v>
      </c>
      <c r="O26" s="673"/>
      <c r="P26" s="675">
        <f t="shared" si="1"/>
        <v>0</v>
      </c>
      <c r="Q26" s="676">
        <v>0</v>
      </c>
      <c r="R26" s="674">
        <f t="shared" si="2"/>
        <v>0</v>
      </c>
      <c r="S26" s="616">
        <f t="shared" si="6"/>
        <v>0</v>
      </c>
      <c r="U26" s="643">
        <v>53204100100001</v>
      </c>
      <c r="V26" s="644" t="s">
        <v>22</v>
      </c>
      <c r="W26" s="645">
        <v>1500000</v>
      </c>
    </row>
    <row r="27" spans="1:46" ht="12.75" customHeight="1" x14ac:dyDescent="0.2">
      <c r="A27" s="896"/>
      <c r="B27" s="899"/>
      <c r="C27" s="629"/>
      <c r="D27" s="630"/>
      <c r="E27" s="631"/>
      <c r="F27" s="632"/>
      <c r="G27" s="633"/>
      <c r="H27" s="633"/>
      <c r="I27" s="634"/>
      <c r="J27" s="635">
        <f t="shared" si="4"/>
        <v>0</v>
      </c>
      <c r="K27" s="636">
        <f t="shared" si="5"/>
        <v>0</v>
      </c>
      <c r="L27" s="577"/>
      <c r="M27" s="673"/>
      <c r="N27" s="674">
        <f t="shared" si="0"/>
        <v>0</v>
      </c>
      <c r="O27" s="673"/>
      <c r="P27" s="675">
        <f t="shared" si="1"/>
        <v>0</v>
      </c>
      <c r="Q27" s="676">
        <v>0</v>
      </c>
      <c r="R27" s="674">
        <f t="shared" si="2"/>
        <v>0</v>
      </c>
      <c r="S27" s="616">
        <f t="shared" si="6"/>
        <v>0</v>
      </c>
      <c r="U27" s="643">
        <v>53204130100000</v>
      </c>
      <c r="V27" s="644" t="s">
        <v>23</v>
      </c>
      <c r="W27" s="645">
        <v>0</v>
      </c>
    </row>
    <row r="28" spans="1:46" ht="12.75" customHeight="1" x14ac:dyDescent="0.2">
      <c r="A28" s="896"/>
      <c r="B28" s="899"/>
      <c r="C28" s="629"/>
      <c r="D28" s="630"/>
      <c r="E28" s="631"/>
      <c r="F28" s="632"/>
      <c r="G28" s="633"/>
      <c r="H28" s="633"/>
      <c r="I28" s="634"/>
      <c r="J28" s="635">
        <f t="shared" si="4"/>
        <v>0</v>
      </c>
      <c r="K28" s="636">
        <f t="shared" si="5"/>
        <v>0</v>
      </c>
      <c r="L28" s="577"/>
      <c r="M28" s="673"/>
      <c r="N28" s="674">
        <f t="shared" si="0"/>
        <v>0</v>
      </c>
      <c r="O28" s="673"/>
      <c r="P28" s="675">
        <f t="shared" si="1"/>
        <v>0</v>
      </c>
      <c r="Q28" s="676">
        <v>0</v>
      </c>
      <c r="R28" s="674">
        <f t="shared" si="2"/>
        <v>0</v>
      </c>
      <c r="S28" s="616">
        <f t="shared" si="6"/>
        <v>0</v>
      </c>
      <c r="U28" s="643">
        <v>53205010100000</v>
      </c>
      <c r="V28" s="644" t="s">
        <v>24</v>
      </c>
      <c r="W28" s="645">
        <v>400000</v>
      </c>
    </row>
    <row r="29" spans="1:46" ht="12.75" customHeight="1" x14ac:dyDescent="0.2">
      <c r="A29" s="896"/>
      <c r="B29" s="899"/>
      <c r="C29" s="629"/>
      <c r="D29" s="630"/>
      <c r="E29" s="631"/>
      <c r="F29" s="632"/>
      <c r="G29" s="633"/>
      <c r="H29" s="633"/>
      <c r="I29" s="634"/>
      <c r="J29" s="635">
        <f t="shared" si="4"/>
        <v>0</v>
      </c>
      <c r="K29" s="636">
        <f t="shared" si="5"/>
        <v>0</v>
      </c>
      <c r="L29" s="577"/>
      <c r="M29" s="673"/>
      <c r="N29" s="674">
        <f t="shared" si="0"/>
        <v>0</v>
      </c>
      <c r="O29" s="673"/>
      <c r="P29" s="675">
        <f t="shared" si="1"/>
        <v>0</v>
      </c>
      <c r="Q29" s="676">
        <v>0</v>
      </c>
      <c r="R29" s="674">
        <f t="shared" si="2"/>
        <v>0</v>
      </c>
      <c r="S29" s="616">
        <f t="shared" si="6"/>
        <v>0</v>
      </c>
      <c r="U29" s="643">
        <v>53205020100000</v>
      </c>
      <c r="V29" s="644" t="s">
        <v>25</v>
      </c>
      <c r="W29" s="645">
        <v>500000</v>
      </c>
    </row>
    <row r="30" spans="1:46" ht="12.75" customHeight="1" x14ac:dyDescent="0.2">
      <c r="A30" s="896"/>
      <c r="B30" s="899"/>
      <c r="C30" s="629"/>
      <c r="D30" s="630"/>
      <c r="E30" s="631"/>
      <c r="F30" s="632"/>
      <c r="G30" s="633"/>
      <c r="H30" s="633"/>
      <c r="I30" s="634"/>
      <c r="J30" s="635">
        <f t="shared" si="4"/>
        <v>0</v>
      </c>
      <c r="K30" s="636">
        <f t="shared" si="5"/>
        <v>0</v>
      </c>
      <c r="L30" s="577"/>
      <c r="M30" s="673"/>
      <c r="N30" s="674">
        <f t="shared" si="0"/>
        <v>0</v>
      </c>
      <c r="O30" s="673"/>
      <c r="P30" s="675">
        <f t="shared" si="1"/>
        <v>0</v>
      </c>
      <c r="Q30" s="676">
        <v>0</v>
      </c>
      <c r="R30" s="674">
        <f t="shared" si="2"/>
        <v>0</v>
      </c>
      <c r="S30" s="616">
        <f t="shared" si="6"/>
        <v>0</v>
      </c>
      <c r="U30" s="643">
        <v>53205030100000</v>
      </c>
      <c r="V30" s="644" t="s">
        <v>26</v>
      </c>
      <c r="W30" s="645">
        <v>300000</v>
      </c>
    </row>
    <row r="31" spans="1:46" ht="12.75" customHeight="1" x14ac:dyDescent="0.2">
      <c r="A31" s="896"/>
      <c r="B31" s="899"/>
      <c r="C31" s="629"/>
      <c r="D31" s="630"/>
      <c r="E31" s="631"/>
      <c r="F31" s="632"/>
      <c r="G31" s="633"/>
      <c r="H31" s="633"/>
      <c r="I31" s="634"/>
      <c r="J31" s="635">
        <f t="shared" si="4"/>
        <v>0</v>
      </c>
      <c r="K31" s="636">
        <f t="shared" si="5"/>
        <v>0</v>
      </c>
      <c r="L31" s="577"/>
      <c r="M31" s="673"/>
      <c r="N31" s="674">
        <f t="shared" si="0"/>
        <v>0</v>
      </c>
      <c r="O31" s="673"/>
      <c r="P31" s="675">
        <f t="shared" si="1"/>
        <v>0</v>
      </c>
      <c r="Q31" s="676">
        <v>0</v>
      </c>
      <c r="R31" s="674">
        <f t="shared" si="2"/>
        <v>0</v>
      </c>
      <c r="S31" s="616">
        <f t="shared" si="6"/>
        <v>0</v>
      </c>
      <c r="U31" s="643">
        <v>53205050100000</v>
      </c>
      <c r="V31" s="644" t="s">
        <v>27</v>
      </c>
      <c r="W31" s="645">
        <v>0</v>
      </c>
    </row>
    <row r="32" spans="1:46" ht="12.75" customHeight="1" x14ac:dyDescent="0.2">
      <c r="A32" s="896"/>
      <c r="B32" s="899"/>
      <c r="C32" s="629"/>
      <c r="D32" s="630"/>
      <c r="E32" s="631"/>
      <c r="F32" s="632"/>
      <c r="G32" s="633"/>
      <c r="H32" s="633"/>
      <c r="I32" s="634"/>
      <c r="J32" s="635">
        <f t="shared" si="4"/>
        <v>0</v>
      </c>
      <c r="K32" s="636">
        <f t="shared" si="5"/>
        <v>0</v>
      </c>
      <c r="L32" s="577"/>
      <c r="M32" s="673"/>
      <c r="N32" s="674">
        <f t="shared" si="0"/>
        <v>0</v>
      </c>
      <c r="O32" s="673"/>
      <c r="P32" s="675">
        <f t="shared" si="1"/>
        <v>0</v>
      </c>
      <c r="Q32" s="676">
        <v>0</v>
      </c>
      <c r="R32" s="674">
        <f t="shared" si="2"/>
        <v>0</v>
      </c>
      <c r="S32" s="616">
        <f t="shared" si="6"/>
        <v>0</v>
      </c>
      <c r="U32" s="643">
        <v>53205060100000</v>
      </c>
      <c r="V32" s="644" t="s">
        <v>28</v>
      </c>
      <c r="W32" s="645">
        <v>0</v>
      </c>
    </row>
    <row r="33" spans="1:23" ht="12.75" customHeight="1" x14ac:dyDescent="0.2">
      <c r="A33" s="896"/>
      <c r="B33" s="899"/>
      <c r="C33" s="629"/>
      <c r="D33" s="630"/>
      <c r="E33" s="631"/>
      <c r="F33" s="632"/>
      <c r="G33" s="633"/>
      <c r="H33" s="633"/>
      <c r="I33" s="634"/>
      <c r="J33" s="635">
        <f t="shared" si="4"/>
        <v>0</v>
      </c>
      <c r="K33" s="636">
        <f t="shared" si="5"/>
        <v>0</v>
      </c>
      <c r="L33" s="577"/>
      <c r="M33" s="673"/>
      <c r="N33" s="674">
        <f t="shared" si="0"/>
        <v>0</v>
      </c>
      <c r="O33" s="673"/>
      <c r="P33" s="675">
        <f t="shared" si="1"/>
        <v>0</v>
      </c>
      <c r="Q33" s="676">
        <v>0</v>
      </c>
      <c r="R33" s="674">
        <f t="shared" si="2"/>
        <v>0</v>
      </c>
      <c r="S33" s="616">
        <f t="shared" si="6"/>
        <v>0</v>
      </c>
      <c r="U33" s="643">
        <v>53205070100000</v>
      </c>
      <c r="V33" s="644" t="s">
        <v>29</v>
      </c>
      <c r="W33" s="645">
        <v>0</v>
      </c>
    </row>
    <row r="34" spans="1:23" ht="12.75" customHeight="1" thickBot="1" x14ac:dyDescent="0.25">
      <c r="A34" s="896"/>
      <c r="B34" s="900"/>
      <c r="C34" s="650"/>
      <c r="D34" s="651"/>
      <c r="E34" s="652"/>
      <c r="F34" s="653"/>
      <c r="G34" s="654"/>
      <c r="H34" s="654"/>
      <c r="I34" s="655"/>
      <c r="J34" s="656">
        <f t="shared" si="4"/>
        <v>0</v>
      </c>
      <c r="K34" s="657">
        <f t="shared" si="5"/>
        <v>0</v>
      </c>
      <c r="L34" s="577"/>
      <c r="M34" s="677"/>
      <c r="N34" s="678">
        <f t="shared" si="0"/>
        <v>0</v>
      </c>
      <c r="O34" s="677"/>
      <c r="P34" s="679">
        <f t="shared" si="1"/>
        <v>0</v>
      </c>
      <c r="Q34" s="680">
        <v>0</v>
      </c>
      <c r="R34" s="678">
        <f t="shared" si="2"/>
        <v>0</v>
      </c>
      <c r="S34" s="661">
        <f t="shared" si="6"/>
        <v>0</v>
      </c>
      <c r="U34" s="643">
        <v>53208010100000</v>
      </c>
      <c r="V34" s="644" t="s">
        <v>30</v>
      </c>
      <c r="W34" s="645">
        <v>60000</v>
      </c>
    </row>
    <row r="35" spans="1:23" ht="12.75" customHeight="1" x14ac:dyDescent="0.2">
      <c r="A35" s="896"/>
      <c r="B35" s="901" t="s">
        <v>90</v>
      </c>
      <c r="C35" s="662" t="s">
        <v>291</v>
      </c>
      <c r="D35" s="663" t="s">
        <v>292</v>
      </c>
      <c r="E35" s="664" t="s">
        <v>135</v>
      </c>
      <c r="F35" s="665" t="s">
        <v>117</v>
      </c>
      <c r="G35" s="666">
        <f>17102107+73280</f>
        <v>17175387</v>
      </c>
      <c r="H35" s="666">
        <v>204800</v>
      </c>
      <c r="I35" s="681">
        <v>154662</v>
      </c>
      <c r="J35" s="667">
        <f t="shared" si="4"/>
        <v>17534849</v>
      </c>
      <c r="K35" s="612">
        <f t="shared" si="5"/>
        <v>19463682.390000001</v>
      </c>
      <c r="L35" s="577"/>
      <c r="M35" s="673">
        <v>0.55000000000000004</v>
      </c>
      <c r="N35" s="669">
        <f t="shared" si="0"/>
        <v>10705025.3145</v>
      </c>
      <c r="O35" s="682">
        <v>0.35</v>
      </c>
      <c r="P35" s="670">
        <f t="shared" si="1"/>
        <v>6812288.8365000002</v>
      </c>
      <c r="Q35" s="683">
        <v>0.1</v>
      </c>
      <c r="R35" s="669">
        <f t="shared" si="2"/>
        <v>1946368.2390000001</v>
      </c>
      <c r="S35" s="672">
        <f t="shared" si="6"/>
        <v>1</v>
      </c>
      <c r="U35" s="643">
        <v>53208070100001</v>
      </c>
      <c r="V35" s="644" t="s">
        <v>31</v>
      </c>
      <c r="W35" s="645">
        <v>600000</v>
      </c>
    </row>
    <row r="36" spans="1:23" ht="12.75" customHeight="1" x14ac:dyDescent="0.2">
      <c r="A36" s="896"/>
      <c r="B36" s="899"/>
      <c r="C36" s="629"/>
      <c r="D36" s="630"/>
      <c r="E36" s="631"/>
      <c r="F36" s="632"/>
      <c r="G36" s="633"/>
      <c r="H36" s="633"/>
      <c r="I36" s="634"/>
      <c r="J36" s="635">
        <f t="shared" si="4"/>
        <v>0</v>
      </c>
      <c r="K36" s="636">
        <f t="shared" si="5"/>
        <v>0</v>
      </c>
      <c r="L36" s="577"/>
      <c r="M36" s="673"/>
      <c r="N36" s="674">
        <f t="shared" si="0"/>
        <v>0</v>
      </c>
      <c r="O36" s="673"/>
      <c r="P36" s="675">
        <f t="shared" si="1"/>
        <v>0</v>
      </c>
      <c r="Q36" s="676">
        <v>0</v>
      </c>
      <c r="R36" s="674">
        <f t="shared" si="2"/>
        <v>0</v>
      </c>
      <c r="S36" s="616">
        <f t="shared" si="6"/>
        <v>0</v>
      </c>
      <c r="U36" s="643">
        <v>53208100100001</v>
      </c>
      <c r="V36" s="644" t="s">
        <v>131</v>
      </c>
      <c r="W36" s="645">
        <v>0</v>
      </c>
    </row>
    <row r="37" spans="1:23" ht="12.75" customHeight="1" x14ac:dyDescent="0.2">
      <c r="A37" s="896"/>
      <c r="B37" s="899"/>
      <c r="C37" s="629"/>
      <c r="D37" s="630"/>
      <c r="E37" s="631"/>
      <c r="F37" s="632"/>
      <c r="G37" s="633"/>
      <c r="H37" s="633"/>
      <c r="I37" s="634"/>
      <c r="J37" s="635">
        <f t="shared" si="4"/>
        <v>0</v>
      </c>
      <c r="K37" s="636">
        <f t="shared" si="5"/>
        <v>0</v>
      </c>
      <c r="L37" s="577"/>
      <c r="M37" s="673"/>
      <c r="N37" s="674">
        <f t="shared" si="0"/>
        <v>0</v>
      </c>
      <c r="O37" s="673"/>
      <c r="P37" s="675">
        <f t="shared" si="1"/>
        <v>0</v>
      </c>
      <c r="Q37" s="676">
        <v>0</v>
      </c>
      <c r="R37" s="674">
        <f t="shared" si="2"/>
        <v>0</v>
      </c>
      <c r="S37" s="616">
        <f t="shared" si="6"/>
        <v>0</v>
      </c>
      <c r="U37" s="643">
        <v>53211030000000</v>
      </c>
      <c r="V37" s="644" t="s">
        <v>32</v>
      </c>
      <c r="W37" s="645">
        <v>0</v>
      </c>
    </row>
    <row r="38" spans="1:23" ht="12.75" customHeight="1" x14ac:dyDescent="0.2">
      <c r="A38" s="896"/>
      <c r="B38" s="899"/>
      <c r="C38" s="629"/>
      <c r="D38" s="630"/>
      <c r="E38" s="631"/>
      <c r="F38" s="632"/>
      <c r="G38" s="633"/>
      <c r="H38" s="633"/>
      <c r="I38" s="634"/>
      <c r="J38" s="635">
        <f t="shared" si="4"/>
        <v>0</v>
      </c>
      <c r="K38" s="636">
        <f t="shared" si="5"/>
        <v>0</v>
      </c>
      <c r="L38" s="577"/>
      <c r="M38" s="673"/>
      <c r="N38" s="674">
        <f t="shared" si="0"/>
        <v>0</v>
      </c>
      <c r="O38" s="673"/>
      <c r="P38" s="675">
        <f t="shared" si="1"/>
        <v>0</v>
      </c>
      <c r="Q38" s="676">
        <v>0</v>
      </c>
      <c r="R38" s="674">
        <f t="shared" si="2"/>
        <v>0</v>
      </c>
      <c r="S38" s="616">
        <f t="shared" si="6"/>
        <v>0</v>
      </c>
      <c r="U38" s="643">
        <v>53212020100000</v>
      </c>
      <c r="V38" s="644" t="s">
        <v>97</v>
      </c>
      <c r="W38" s="645">
        <v>7500000</v>
      </c>
    </row>
    <row r="39" spans="1:23" ht="12.75" customHeight="1" thickBot="1" x14ac:dyDescent="0.25">
      <c r="A39" s="896"/>
      <c r="B39" s="900"/>
      <c r="C39" s="684"/>
      <c r="D39" s="685"/>
      <c r="E39" s="686"/>
      <c r="F39" s="687"/>
      <c r="G39" s="688"/>
      <c r="H39" s="688"/>
      <c r="I39" s="689"/>
      <c r="J39" s="656">
        <f t="shared" si="4"/>
        <v>0</v>
      </c>
      <c r="K39" s="657">
        <f t="shared" si="5"/>
        <v>0</v>
      </c>
      <c r="L39" s="577"/>
      <c r="M39" s="677"/>
      <c r="N39" s="678">
        <f t="shared" si="0"/>
        <v>0</v>
      </c>
      <c r="O39" s="677"/>
      <c r="P39" s="679">
        <f t="shared" si="1"/>
        <v>0</v>
      </c>
      <c r="Q39" s="680">
        <v>0</v>
      </c>
      <c r="R39" s="678">
        <f t="shared" si="2"/>
        <v>0</v>
      </c>
      <c r="S39" s="661">
        <f t="shared" si="6"/>
        <v>0</v>
      </c>
      <c r="U39" s="643">
        <v>53214020000000</v>
      </c>
      <c r="V39" s="644" t="s">
        <v>33</v>
      </c>
      <c r="W39" s="645">
        <v>0</v>
      </c>
    </row>
    <row r="40" spans="1:23" ht="12.75" customHeight="1" x14ac:dyDescent="0.2">
      <c r="A40" s="896"/>
      <c r="B40" s="902" t="s">
        <v>118</v>
      </c>
      <c r="C40" s="690" t="s">
        <v>293</v>
      </c>
      <c r="D40" s="663" t="s">
        <v>294</v>
      </c>
      <c r="E40" s="664" t="s">
        <v>295</v>
      </c>
      <c r="F40" s="664" t="s">
        <v>296</v>
      </c>
      <c r="G40" s="666">
        <f>2140*11*21</f>
        <v>494340</v>
      </c>
      <c r="H40" s="666">
        <v>0</v>
      </c>
      <c r="I40" s="691">
        <v>0</v>
      </c>
      <c r="J40" s="692">
        <f t="shared" ref="J40:J61" si="7">SUM(G40:I40)</f>
        <v>494340</v>
      </c>
      <c r="K40" s="693">
        <f t="shared" si="5"/>
        <v>548717.4</v>
      </c>
      <c r="L40" s="577"/>
      <c r="M40" s="682">
        <v>0.55000000000000004</v>
      </c>
      <c r="N40" s="669">
        <f t="shared" si="0"/>
        <v>301794.57000000007</v>
      </c>
      <c r="O40" s="682">
        <v>0.35</v>
      </c>
      <c r="P40" s="670">
        <f t="shared" si="1"/>
        <v>192051.09</v>
      </c>
      <c r="Q40" s="683">
        <v>0.1</v>
      </c>
      <c r="R40" s="669">
        <f t="shared" si="2"/>
        <v>54871.740000000005</v>
      </c>
      <c r="S40" s="672">
        <f t="shared" si="6"/>
        <v>1</v>
      </c>
      <c r="U40" s="617"/>
      <c r="V40" s="618" t="s">
        <v>34</v>
      </c>
      <c r="W40" s="619">
        <f>SUM(W41,W46,W49,W60,W70,W78)</f>
        <v>17700000</v>
      </c>
    </row>
    <row r="41" spans="1:23" ht="12.75" customHeight="1" x14ac:dyDescent="0.2">
      <c r="A41" s="896"/>
      <c r="B41" s="903"/>
      <c r="C41" s="694" t="s">
        <v>297</v>
      </c>
      <c r="D41" s="630" t="s">
        <v>298</v>
      </c>
      <c r="E41" s="631" t="s">
        <v>299</v>
      </c>
      <c r="F41" s="631" t="s">
        <v>296</v>
      </c>
      <c r="G41" s="633">
        <f>2140*11*21</f>
        <v>494340</v>
      </c>
      <c r="H41" s="633">
        <v>0</v>
      </c>
      <c r="I41" s="695">
        <v>0</v>
      </c>
      <c r="J41" s="696">
        <f t="shared" ref="J41:J48" si="8">SUM(G41:I41)</f>
        <v>494340</v>
      </c>
      <c r="K41" s="697">
        <f t="shared" si="5"/>
        <v>548717.4</v>
      </c>
      <c r="L41" s="577"/>
      <c r="M41" s="673">
        <v>0.55000000000000004</v>
      </c>
      <c r="N41" s="674">
        <f t="shared" si="0"/>
        <v>301794.57000000007</v>
      </c>
      <c r="O41" s="673">
        <v>0.35</v>
      </c>
      <c r="P41" s="675">
        <f t="shared" si="1"/>
        <v>192051.09</v>
      </c>
      <c r="Q41" s="676">
        <v>0.1</v>
      </c>
      <c r="R41" s="674">
        <f t="shared" si="2"/>
        <v>54871.740000000005</v>
      </c>
      <c r="S41" s="616">
        <f t="shared" si="6"/>
        <v>1</v>
      </c>
      <c r="U41" s="640"/>
      <c r="V41" s="641" t="s">
        <v>35</v>
      </c>
      <c r="W41" s="642">
        <f>SUM(W42:W45)</f>
        <v>600000</v>
      </c>
    </row>
    <row r="42" spans="1:23" ht="12.75" customHeight="1" x14ac:dyDescent="0.2">
      <c r="A42" s="896"/>
      <c r="B42" s="903"/>
      <c r="C42" s="694" t="s">
        <v>300</v>
      </c>
      <c r="D42" s="630" t="s">
        <v>301</v>
      </c>
      <c r="E42" s="631" t="s">
        <v>302</v>
      </c>
      <c r="F42" s="631" t="s">
        <v>117</v>
      </c>
      <c r="G42" s="633">
        <v>4300000</v>
      </c>
      <c r="H42" s="633">
        <v>0</v>
      </c>
      <c r="I42" s="695">
        <v>0</v>
      </c>
      <c r="J42" s="696">
        <f t="shared" si="8"/>
        <v>4300000</v>
      </c>
      <c r="K42" s="697">
        <f t="shared" si="5"/>
        <v>4773000</v>
      </c>
      <c r="L42" s="577"/>
      <c r="M42" s="673">
        <v>0</v>
      </c>
      <c r="N42" s="674">
        <f t="shared" si="0"/>
        <v>0</v>
      </c>
      <c r="O42" s="673">
        <v>0</v>
      </c>
      <c r="P42" s="675">
        <f t="shared" si="1"/>
        <v>0</v>
      </c>
      <c r="Q42" s="676">
        <v>1</v>
      </c>
      <c r="R42" s="674">
        <f t="shared" si="2"/>
        <v>4773000</v>
      </c>
      <c r="S42" s="616">
        <f t="shared" si="6"/>
        <v>1</v>
      </c>
      <c r="U42" s="643">
        <v>53202020100000</v>
      </c>
      <c r="V42" s="644" t="s">
        <v>39</v>
      </c>
      <c r="W42" s="645">
        <v>300000</v>
      </c>
    </row>
    <row r="43" spans="1:23" ht="12.75" customHeight="1" x14ac:dyDescent="0.2">
      <c r="A43" s="896"/>
      <c r="B43" s="903"/>
      <c r="C43" s="694"/>
      <c r="D43" s="630"/>
      <c r="E43" s="631"/>
      <c r="F43" s="631"/>
      <c r="G43" s="633">
        <v>0</v>
      </c>
      <c r="H43" s="633">
        <v>0</v>
      </c>
      <c r="I43" s="695">
        <v>0</v>
      </c>
      <c r="J43" s="696">
        <f t="shared" si="8"/>
        <v>0</v>
      </c>
      <c r="K43" s="697">
        <f t="shared" si="5"/>
        <v>0</v>
      </c>
      <c r="L43" s="577"/>
      <c r="M43" s="673">
        <v>0</v>
      </c>
      <c r="N43" s="674">
        <f t="shared" si="0"/>
        <v>0</v>
      </c>
      <c r="O43" s="673">
        <v>0</v>
      </c>
      <c r="P43" s="675">
        <f t="shared" si="1"/>
        <v>0</v>
      </c>
      <c r="Q43" s="676">
        <v>0</v>
      </c>
      <c r="R43" s="674">
        <f t="shared" si="2"/>
        <v>0</v>
      </c>
      <c r="S43" s="616">
        <f t="shared" si="6"/>
        <v>0</v>
      </c>
      <c r="U43" s="643">
        <v>53202030000000</v>
      </c>
      <c r="V43" s="644" t="s">
        <v>40</v>
      </c>
      <c r="W43" s="645">
        <v>0</v>
      </c>
    </row>
    <row r="44" spans="1:23" ht="12.75" customHeight="1" x14ac:dyDescent="0.2">
      <c r="A44" s="896"/>
      <c r="B44" s="903"/>
      <c r="C44" s="694"/>
      <c r="D44" s="630"/>
      <c r="E44" s="631"/>
      <c r="F44" s="631"/>
      <c r="G44" s="633">
        <v>0</v>
      </c>
      <c r="H44" s="633">
        <v>0</v>
      </c>
      <c r="I44" s="695">
        <v>0</v>
      </c>
      <c r="J44" s="696">
        <f t="shared" si="8"/>
        <v>0</v>
      </c>
      <c r="K44" s="697">
        <f t="shared" si="5"/>
        <v>0</v>
      </c>
      <c r="L44" s="577"/>
      <c r="M44" s="673">
        <v>0</v>
      </c>
      <c r="N44" s="674">
        <f t="shared" si="0"/>
        <v>0</v>
      </c>
      <c r="O44" s="673">
        <v>0</v>
      </c>
      <c r="P44" s="675">
        <f t="shared" si="1"/>
        <v>0</v>
      </c>
      <c r="Q44" s="676">
        <v>0</v>
      </c>
      <c r="R44" s="674">
        <f t="shared" si="2"/>
        <v>0</v>
      </c>
      <c r="S44" s="616">
        <f t="shared" si="6"/>
        <v>0</v>
      </c>
      <c r="U44" s="643">
        <v>53211020000000</v>
      </c>
      <c r="V44" s="644" t="s">
        <v>41</v>
      </c>
      <c r="W44" s="645">
        <v>0</v>
      </c>
    </row>
    <row r="45" spans="1:23" ht="12.75" customHeight="1" x14ac:dyDescent="0.2">
      <c r="A45" s="896"/>
      <c r="B45" s="903"/>
      <c r="C45" s="694"/>
      <c r="D45" s="630"/>
      <c r="E45" s="631"/>
      <c r="F45" s="631"/>
      <c r="G45" s="633">
        <v>0</v>
      </c>
      <c r="H45" s="633">
        <v>0</v>
      </c>
      <c r="I45" s="695">
        <v>0</v>
      </c>
      <c r="J45" s="696">
        <f t="shared" si="8"/>
        <v>0</v>
      </c>
      <c r="K45" s="697">
        <f t="shared" si="5"/>
        <v>0</v>
      </c>
      <c r="L45" s="577"/>
      <c r="M45" s="673">
        <v>0</v>
      </c>
      <c r="N45" s="674">
        <f t="shared" si="0"/>
        <v>0</v>
      </c>
      <c r="O45" s="673">
        <v>0</v>
      </c>
      <c r="P45" s="675">
        <f t="shared" si="1"/>
        <v>0</v>
      </c>
      <c r="Q45" s="676">
        <v>0</v>
      </c>
      <c r="R45" s="674">
        <f t="shared" si="2"/>
        <v>0</v>
      </c>
      <c r="S45" s="616">
        <f t="shared" si="6"/>
        <v>0</v>
      </c>
      <c r="U45" s="643">
        <v>53101004030000</v>
      </c>
      <c r="V45" s="644" t="s">
        <v>38</v>
      </c>
      <c r="W45" s="645">
        <v>300000</v>
      </c>
    </row>
    <row r="46" spans="1:23" ht="12.75" customHeight="1" x14ac:dyDescent="0.2">
      <c r="A46" s="896"/>
      <c r="B46" s="903"/>
      <c r="C46" s="694"/>
      <c r="D46" s="630"/>
      <c r="E46" s="631"/>
      <c r="F46" s="631"/>
      <c r="G46" s="633">
        <v>0</v>
      </c>
      <c r="H46" s="633">
        <v>0</v>
      </c>
      <c r="I46" s="695">
        <v>0</v>
      </c>
      <c r="J46" s="696">
        <f t="shared" si="8"/>
        <v>0</v>
      </c>
      <c r="K46" s="697">
        <f t="shared" si="5"/>
        <v>0</v>
      </c>
      <c r="L46" s="577"/>
      <c r="M46" s="673">
        <v>0</v>
      </c>
      <c r="N46" s="674">
        <f t="shared" si="0"/>
        <v>0</v>
      </c>
      <c r="O46" s="673">
        <v>0</v>
      </c>
      <c r="P46" s="675">
        <f t="shared" si="1"/>
        <v>0</v>
      </c>
      <c r="Q46" s="676">
        <v>0</v>
      </c>
      <c r="R46" s="674">
        <f t="shared" si="2"/>
        <v>0</v>
      </c>
      <c r="S46" s="616">
        <f t="shared" si="6"/>
        <v>0</v>
      </c>
      <c r="U46" s="640"/>
      <c r="V46" s="641" t="s">
        <v>42</v>
      </c>
      <c r="W46" s="642">
        <f>SUM(W47:W48)</f>
        <v>0</v>
      </c>
    </row>
    <row r="47" spans="1:23" ht="12.75" customHeight="1" x14ac:dyDescent="0.2">
      <c r="A47" s="896"/>
      <c r="B47" s="903"/>
      <c r="C47" s="694"/>
      <c r="D47" s="630"/>
      <c r="E47" s="631"/>
      <c r="F47" s="631"/>
      <c r="G47" s="633">
        <v>0</v>
      </c>
      <c r="H47" s="633">
        <v>0</v>
      </c>
      <c r="I47" s="695">
        <v>0</v>
      </c>
      <c r="J47" s="696">
        <f t="shared" si="8"/>
        <v>0</v>
      </c>
      <c r="K47" s="697">
        <f t="shared" si="5"/>
        <v>0</v>
      </c>
      <c r="L47" s="577"/>
      <c r="M47" s="673">
        <v>0</v>
      </c>
      <c r="N47" s="674">
        <f t="shared" si="0"/>
        <v>0</v>
      </c>
      <c r="O47" s="673">
        <v>0</v>
      </c>
      <c r="P47" s="675">
        <f t="shared" si="1"/>
        <v>0</v>
      </c>
      <c r="Q47" s="676">
        <v>0</v>
      </c>
      <c r="R47" s="674">
        <f t="shared" si="2"/>
        <v>0</v>
      </c>
      <c r="S47" s="616">
        <f t="shared" si="6"/>
        <v>0</v>
      </c>
      <c r="U47" s="643">
        <v>53205080000000</v>
      </c>
      <c r="V47" s="644" t="s">
        <v>43</v>
      </c>
      <c r="W47" s="645">
        <v>0</v>
      </c>
    </row>
    <row r="48" spans="1:23" ht="12.75" customHeight="1" x14ac:dyDescent="0.2">
      <c r="A48" s="896"/>
      <c r="B48" s="903"/>
      <c r="C48" s="694"/>
      <c r="D48" s="630"/>
      <c r="E48" s="631"/>
      <c r="F48" s="631"/>
      <c r="G48" s="633">
        <v>0</v>
      </c>
      <c r="H48" s="633">
        <v>0</v>
      </c>
      <c r="I48" s="695">
        <v>0</v>
      </c>
      <c r="J48" s="696">
        <f t="shared" si="8"/>
        <v>0</v>
      </c>
      <c r="K48" s="697">
        <f t="shared" si="5"/>
        <v>0</v>
      </c>
      <c r="L48" s="577"/>
      <c r="M48" s="673">
        <v>0</v>
      </c>
      <c r="N48" s="674">
        <f t="shared" si="0"/>
        <v>0</v>
      </c>
      <c r="O48" s="673">
        <v>0</v>
      </c>
      <c r="P48" s="675">
        <f t="shared" si="1"/>
        <v>0</v>
      </c>
      <c r="Q48" s="676">
        <v>0</v>
      </c>
      <c r="R48" s="674">
        <f t="shared" si="2"/>
        <v>0</v>
      </c>
      <c r="S48" s="616">
        <f t="shared" si="6"/>
        <v>0</v>
      </c>
      <c r="U48" s="643">
        <v>53205990000000</v>
      </c>
      <c r="V48" s="644" t="s">
        <v>44</v>
      </c>
      <c r="W48" s="645">
        <v>0</v>
      </c>
    </row>
    <row r="49" spans="1:23" ht="12.75" customHeight="1" x14ac:dyDescent="0.2">
      <c r="A49" s="896"/>
      <c r="B49" s="903"/>
      <c r="C49" s="694"/>
      <c r="D49" s="630"/>
      <c r="E49" s="631"/>
      <c r="F49" s="631"/>
      <c r="G49" s="633">
        <v>0</v>
      </c>
      <c r="H49" s="633">
        <v>0</v>
      </c>
      <c r="I49" s="695">
        <v>0</v>
      </c>
      <c r="J49" s="696">
        <f t="shared" si="7"/>
        <v>0</v>
      </c>
      <c r="K49" s="697">
        <f t="shared" si="5"/>
        <v>0</v>
      </c>
      <c r="L49" s="577"/>
      <c r="M49" s="673">
        <v>0</v>
      </c>
      <c r="N49" s="674">
        <f t="shared" si="0"/>
        <v>0</v>
      </c>
      <c r="O49" s="673">
        <v>0</v>
      </c>
      <c r="P49" s="675">
        <f t="shared" si="1"/>
        <v>0</v>
      </c>
      <c r="Q49" s="676">
        <v>0</v>
      </c>
      <c r="R49" s="674">
        <f t="shared" si="2"/>
        <v>0</v>
      </c>
      <c r="S49" s="616">
        <f t="shared" si="6"/>
        <v>0</v>
      </c>
      <c r="U49" s="640"/>
      <c r="V49" s="641" t="s">
        <v>45</v>
      </c>
      <c r="W49" s="642">
        <f>SUM(W50:W59)</f>
        <v>8000000</v>
      </c>
    </row>
    <row r="50" spans="1:23" ht="12.75" customHeight="1" x14ac:dyDescent="0.2">
      <c r="A50" s="896"/>
      <c r="B50" s="903"/>
      <c r="C50" s="694"/>
      <c r="D50" s="630"/>
      <c r="E50" s="631"/>
      <c r="F50" s="631"/>
      <c r="G50" s="633">
        <v>0</v>
      </c>
      <c r="H50" s="633">
        <v>0</v>
      </c>
      <c r="I50" s="695">
        <v>0</v>
      </c>
      <c r="J50" s="696">
        <f t="shared" ref="J50:J53" si="9">SUM(G50:I50)</f>
        <v>0</v>
      </c>
      <c r="K50" s="697">
        <f t="shared" si="5"/>
        <v>0</v>
      </c>
      <c r="L50" s="577"/>
      <c r="M50" s="673">
        <v>0</v>
      </c>
      <c r="N50" s="674">
        <f t="shared" si="0"/>
        <v>0</v>
      </c>
      <c r="O50" s="673">
        <v>0</v>
      </c>
      <c r="P50" s="675">
        <f t="shared" si="1"/>
        <v>0</v>
      </c>
      <c r="Q50" s="676">
        <v>0</v>
      </c>
      <c r="R50" s="674">
        <f t="shared" si="2"/>
        <v>0</v>
      </c>
      <c r="S50" s="616">
        <f t="shared" si="6"/>
        <v>0</v>
      </c>
      <c r="U50" s="643">
        <v>53203010200000</v>
      </c>
      <c r="V50" s="644" t="s">
        <v>46</v>
      </c>
      <c r="W50" s="645">
        <v>0</v>
      </c>
    </row>
    <row r="51" spans="1:23" ht="12.75" customHeight="1" x14ac:dyDescent="0.2">
      <c r="A51" s="896"/>
      <c r="B51" s="903"/>
      <c r="C51" s="694"/>
      <c r="D51" s="630"/>
      <c r="E51" s="631"/>
      <c r="F51" s="631"/>
      <c r="G51" s="633">
        <v>0</v>
      </c>
      <c r="H51" s="633">
        <v>0</v>
      </c>
      <c r="I51" s="695">
        <v>0</v>
      </c>
      <c r="J51" s="696">
        <f t="shared" si="9"/>
        <v>0</v>
      </c>
      <c r="K51" s="697">
        <f t="shared" si="5"/>
        <v>0</v>
      </c>
      <c r="L51" s="577"/>
      <c r="M51" s="673">
        <v>0</v>
      </c>
      <c r="N51" s="674">
        <f t="shared" si="0"/>
        <v>0</v>
      </c>
      <c r="O51" s="673">
        <v>0</v>
      </c>
      <c r="P51" s="675">
        <f t="shared" si="1"/>
        <v>0</v>
      </c>
      <c r="Q51" s="676">
        <v>0</v>
      </c>
      <c r="R51" s="674">
        <f t="shared" si="2"/>
        <v>0</v>
      </c>
      <c r="S51" s="616">
        <f t="shared" si="6"/>
        <v>0</v>
      </c>
      <c r="U51" s="643">
        <v>53204010000000</v>
      </c>
      <c r="V51" s="644" t="s">
        <v>47</v>
      </c>
      <c r="W51" s="645">
        <v>2200000</v>
      </c>
    </row>
    <row r="52" spans="1:23" ht="12.75" customHeight="1" x14ac:dyDescent="0.2">
      <c r="A52" s="896"/>
      <c r="B52" s="903"/>
      <c r="C52" s="694"/>
      <c r="D52" s="630"/>
      <c r="E52" s="631"/>
      <c r="F52" s="631"/>
      <c r="G52" s="633">
        <v>0</v>
      </c>
      <c r="H52" s="633">
        <v>0</v>
      </c>
      <c r="I52" s="695">
        <v>0</v>
      </c>
      <c r="J52" s="696">
        <f t="shared" si="9"/>
        <v>0</v>
      </c>
      <c r="K52" s="697">
        <f t="shared" si="5"/>
        <v>0</v>
      </c>
      <c r="L52" s="577"/>
      <c r="M52" s="673">
        <v>0</v>
      </c>
      <c r="N52" s="674">
        <f t="shared" si="0"/>
        <v>0</v>
      </c>
      <c r="O52" s="673">
        <v>0</v>
      </c>
      <c r="P52" s="675">
        <f t="shared" si="1"/>
        <v>0</v>
      </c>
      <c r="Q52" s="676">
        <v>0</v>
      </c>
      <c r="R52" s="674">
        <f t="shared" si="2"/>
        <v>0</v>
      </c>
      <c r="S52" s="616">
        <f t="shared" si="6"/>
        <v>0</v>
      </c>
      <c r="U52" s="643">
        <v>53204040200000</v>
      </c>
      <c r="V52" s="644" t="s">
        <v>48</v>
      </c>
      <c r="W52" s="645">
        <v>0</v>
      </c>
    </row>
    <row r="53" spans="1:23" ht="12.75" customHeight="1" x14ac:dyDescent="0.2">
      <c r="A53" s="896"/>
      <c r="B53" s="903"/>
      <c r="C53" s="694"/>
      <c r="D53" s="630"/>
      <c r="E53" s="631"/>
      <c r="F53" s="631"/>
      <c r="G53" s="633">
        <v>0</v>
      </c>
      <c r="H53" s="633">
        <v>0</v>
      </c>
      <c r="I53" s="695">
        <v>0</v>
      </c>
      <c r="J53" s="696">
        <f t="shared" si="9"/>
        <v>0</v>
      </c>
      <c r="K53" s="697">
        <f t="shared" si="5"/>
        <v>0</v>
      </c>
      <c r="L53" s="577"/>
      <c r="M53" s="673">
        <v>0</v>
      </c>
      <c r="N53" s="674">
        <f t="shared" si="0"/>
        <v>0</v>
      </c>
      <c r="O53" s="673">
        <v>0</v>
      </c>
      <c r="P53" s="675">
        <f t="shared" si="1"/>
        <v>0</v>
      </c>
      <c r="Q53" s="676">
        <v>0</v>
      </c>
      <c r="R53" s="674">
        <f t="shared" si="2"/>
        <v>0</v>
      </c>
      <c r="S53" s="616">
        <f t="shared" si="6"/>
        <v>0</v>
      </c>
      <c r="U53" s="643">
        <v>53204060000000</v>
      </c>
      <c r="V53" s="644" t="s">
        <v>49</v>
      </c>
      <c r="W53" s="645">
        <v>0</v>
      </c>
    </row>
    <row r="54" spans="1:23" ht="12.75" customHeight="1" x14ac:dyDescent="0.2">
      <c r="A54" s="896"/>
      <c r="B54" s="903"/>
      <c r="C54" s="694"/>
      <c r="D54" s="630"/>
      <c r="E54" s="631"/>
      <c r="F54" s="631"/>
      <c r="G54" s="633">
        <v>0</v>
      </c>
      <c r="H54" s="633">
        <v>0</v>
      </c>
      <c r="I54" s="695">
        <v>0</v>
      </c>
      <c r="J54" s="696">
        <f t="shared" si="7"/>
        <v>0</v>
      </c>
      <c r="K54" s="697">
        <f t="shared" si="5"/>
        <v>0</v>
      </c>
      <c r="L54" s="577"/>
      <c r="M54" s="673">
        <v>0</v>
      </c>
      <c r="N54" s="674">
        <f t="shared" si="0"/>
        <v>0</v>
      </c>
      <c r="O54" s="673">
        <v>0</v>
      </c>
      <c r="P54" s="675">
        <f t="shared" si="1"/>
        <v>0</v>
      </c>
      <c r="Q54" s="676">
        <v>0</v>
      </c>
      <c r="R54" s="674">
        <f t="shared" si="2"/>
        <v>0</v>
      </c>
      <c r="S54" s="616">
        <f t="shared" si="6"/>
        <v>0</v>
      </c>
      <c r="U54" s="643">
        <v>53204070000000</v>
      </c>
      <c r="V54" s="644" t="s">
        <v>50</v>
      </c>
      <c r="W54" s="645">
        <v>4000000</v>
      </c>
    </row>
    <row r="55" spans="1:23" ht="12.75" customHeight="1" x14ac:dyDescent="0.2">
      <c r="A55" s="896"/>
      <c r="B55" s="903"/>
      <c r="C55" s="694"/>
      <c r="D55" s="630"/>
      <c r="E55" s="631"/>
      <c r="F55" s="631"/>
      <c r="G55" s="633">
        <v>0</v>
      </c>
      <c r="H55" s="633">
        <v>0</v>
      </c>
      <c r="I55" s="695">
        <v>0</v>
      </c>
      <c r="J55" s="696">
        <f t="shared" si="7"/>
        <v>0</v>
      </c>
      <c r="K55" s="697">
        <f t="shared" si="5"/>
        <v>0</v>
      </c>
      <c r="L55" s="577"/>
      <c r="M55" s="673">
        <v>0</v>
      </c>
      <c r="N55" s="674">
        <f t="shared" si="0"/>
        <v>0</v>
      </c>
      <c r="O55" s="673">
        <v>0</v>
      </c>
      <c r="P55" s="675">
        <f t="shared" si="1"/>
        <v>0</v>
      </c>
      <c r="Q55" s="676">
        <v>0</v>
      </c>
      <c r="R55" s="674">
        <f t="shared" si="2"/>
        <v>0</v>
      </c>
      <c r="S55" s="616">
        <f t="shared" si="6"/>
        <v>0</v>
      </c>
      <c r="U55" s="643">
        <v>53204080000000</v>
      </c>
      <c r="V55" s="644" t="s">
        <v>51</v>
      </c>
      <c r="W55" s="645">
        <v>300000</v>
      </c>
    </row>
    <row r="56" spans="1:23" ht="12.75" customHeight="1" x14ac:dyDescent="0.2">
      <c r="A56" s="896"/>
      <c r="B56" s="903"/>
      <c r="C56" s="694"/>
      <c r="D56" s="630"/>
      <c r="E56" s="631"/>
      <c r="F56" s="631"/>
      <c r="G56" s="633">
        <v>0</v>
      </c>
      <c r="H56" s="633">
        <v>0</v>
      </c>
      <c r="I56" s="695">
        <v>0</v>
      </c>
      <c r="J56" s="696">
        <f t="shared" si="7"/>
        <v>0</v>
      </c>
      <c r="K56" s="697">
        <f t="shared" si="5"/>
        <v>0</v>
      </c>
      <c r="L56" s="577"/>
      <c r="M56" s="673">
        <v>0</v>
      </c>
      <c r="N56" s="674">
        <f t="shared" si="0"/>
        <v>0</v>
      </c>
      <c r="O56" s="673">
        <v>0</v>
      </c>
      <c r="P56" s="675">
        <f t="shared" si="1"/>
        <v>0</v>
      </c>
      <c r="Q56" s="676">
        <v>0</v>
      </c>
      <c r="R56" s="674">
        <f t="shared" si="2"/>
        <v>0</v>
      </c>
      <c r="S56" s="616">
        <f t="shared" si="6"/>
        <v>0</v>
      </c>
      <c r="U56" s="643">
        <v>53214010000000</v>
      </c>
      <c r="V56" s="644" t="s">
        <v>52</v>
      </c>
      <c r="W56" s="645">
        <v>800000</v>
      </c>
    </row>
    <row r="57" spans="1:23" ht="12.75" customHeight="1" x14ac:dyDescent="0.2">
      <c r="A57" s="896"/>
      <c r="B57" s="903"/>
      <c r="C57" s="694"/>
      <c r="D57" s="630"/>
      <c r="E57" s="631"/>
      <c r="F57" s="631"/>
      <c r="G57" s="633">
        <v>0</v>
      </c>
      <c r="H57" s="633">
        <v>0</v>
      </c>
      <c r="I57" s="695">
        <v>0</v>
      </c>
      <c r="J57" s="696">
        <f t="shared" si="7"/>
        <v>0</v>
      </c>
      <c r="K57" s="697">
        <f t="shared" si="5"/>
        <v>0</v>
      </c>
      <c r="L57" s="577"/>
      <c r="M57" s="673">
        <v>0</v>
      </c>
      <c r="N57" s="674">
        <f t="shared" si="0"/>
        <v>0</v>
      </c>
      <c r="O57" s="673">
        <v>0</v>
      </c>
      <c r="P57" s="675">
        <f t="shared" si="1"/>
        <v>0</v>
      </c>
      <c r="Q57" s="676">
        <v>0</v>
      </c>
      <c r="R57" s="674">
        <f t="shared" si="2"/>
        <v>0</v>
      </c>
      <c r="S57" s="616">
        <f t="shared" si="6"/>
        <v>0</v>
      </c>
      <c r="U57" s="643">
        <v>53214040000000</v>
      </c>
      <c r="V57" s="644" t="s">
        <v>132</v>
      </c>
      <c r="W57" s="645">
        <v>700000</v>
      </c>
    </row>
    <row r="58" spans="1:23" ht="12.75" customHeight="1" x14ac:dyDescent="0.2">
      <c r="A58" s="896"/>
      <c r="B58" s="903"/>
      <c r="C58" s="694"/>
      <c r="D58" s="630"/>
      <c r="E58" s="631"/>
      <c r="F58" s="631"/>
      <c r="G58" s="633">
        <v>0</v>
      </c>
      <c r="H58" s="633">
        <v>0</v>
      </c>
      <c r="I58" s="695">
        <v>0</v>
      </c>
      <c r="J58" s="696">
        <f t="shared" si="7"/>
        <v>0</v>
      </c>
      <c r="K58" s="697">
        <f t="shared" si="5"/>
        <v>0</v>
      </c>
      <c r="L58" s="577"/>
      <c r="M58" s="673">
        <v>0</v>
      </c>
      <c r="N58" s="674">
        <f t="shared" si="0"/>
        <v>0</v>
      </c>
      <c r="O58" s="673">
        <v>0</v>
      </c>
      <c r="P58" s="675">
        <f t="shared" si="1"/>
        <v>0</v>
      </c>
      <c r="Q58" s="676">
        <v>0</v>
      </c>
      <c r="R58" s="674">
        <f t="shared" si="2"/>
        <v>0</v>
      </c>
      <c r="S58" s="616">
        <f t="shared" si="6"/>
        <v>0</v>
      </c>
      <c r="U58" s="643">
        <v>55201010100004</v>
      </c>
      <c r="V58" s="644" t="s">
        <v>53</v>
      </c>
      <c r="W58" s="645">
        <v>0</v>
      </c>
    </row>
    <row r="59" spans="1:23" ht="12.75" customHeight="1" x14ac:dyDescent="0.2">
      <c r="A59" s="896"/>
      <c r="B59" s="903"/>
      <c r="C59" s="694"/>
      <c r="D59" s="630"/>
      <c r="E59" s="631"/>
      <c r="F59" s="631"/>
      <c r="G59" s="633">
        <v>0</v>
      </c>
      <c r="H59" s="633">
        <v>0</v>
      </c>
      <c r="I59" s="695">
        <v>0</v>
      </c>
      <c r="J59" s="696">
        <f t="shared" si="7"/>
        <v>0</v>
      </c>
      <c r="K59" s="697">
        <f t="shared" si="5"/>
        <v>0</v>
      </c>
      <c r="L59" s="577"/>
      <c r="M59" s="673">
        <v>0</v>
      </c>
      <c r="N59" s="674">
        <f t="shared" si="0"/>
        <v>0</v>
      </c>
      <c r="O59" s="673">
        <v>0</v>
      </c>
      <c r="P59" s="675">
        <f t="shared" si="1"/>
        <v>0</v>
      </c>
      <c r="Q59" s="676">
        <v>0</v>
      </c>
      <c r="R59" s="674">
        <f t="shared" si="2"/>
        <v>0</v>
      </c>
      <c r="S59" s="616">
        <f t="shared" si="6"/>
        <v>0</v>
      </c>
      <c r="U59" s="643">
        <v>55201010100005</v>
      </c>
      <c r="V59" s="644" t="s">
        <v>54</v>
      </c>
      <c r="W59" s="645">
        <v>0</v>
      </c>
    </row>
    <row r="60" spans="1:23" ht="12.75" customHeight="1" x14ac:dyDescent="0.2">
      <c r="A60" s="896"/>
      <c r="B60" s="903"/>
      <c r="C60" s="694"/>
      <c r="D60" s="630"/>
      <c r="E60" s="631"/>
      <c r="F60" s="631"/>
      <c r="G60" s="633">
        <v>0</v>
      </c>
      <c r="H60" s="633">
        <v>0</v>
      </c>
      <c r="I60" s="695">
        <v>0</v>
      </c>
      <c r="J60" s="696">
        <f t="shared" si="7"/>
        <v>0</v>
      </c>
      <c r="K60" s="697">
        <f t="shared" si="5"/>
        <v>0</v>
      </c>
      <c r="L60" s="577"/>
      <c r="M60" s="673">
        <v>0</v>
      </c>
      <c r="N60" s="674">
        <f t="shared" si="0"/>
        <v>0</v>
      </c>
      <c r="O60" s="673">
        <v>0</v>
      </c>
      <c r="P60" s="675">
        <f t="shared" si="1"/>
        <v>0</v>
      </c>
      <c r="Q60" s="676">
        <v>0</v>
      </c>
      <c r="R60" s="674">
        <f t="shared" si="2"/>
        <v>0</v>
      </c>
      <c r="S60" s="616">
        <f t="shared" si="6"/>
        <v>0</v>
      </c>
      <c r="U60" s="640"/>
      <c r="V60" s="641" t="s">
        <v>55</v>
      </c>
      <c r="W60" s="642">
        <f>SUM(W61:W69)</f>
        <v>6700000</v>
      </c>
    </row>
    <row r="61" spans="1:23" ht="12.75" customHeight="1" thickBot="1" x14ac:dyDescent="0.25">
      <c r="A61" s="897"/>
      <c r="B61" s="904"/>
      <c r="C61" s="698"/>
      <c r="D61" s="651"/>
      <c r="E61" s="652"/>
      <c r="F61" s="652"/>
      <c r="G61" s="654">
        <v>0</v>
      </c>
      <c r="H61" s="654">
        <v>0</v>
      </c>
      <c r="I61" s="699">
        <v>0</v>
      </c>
      <c r="J61" s="700">
        <f t="shared" si="7"/>
        <v>0</v>
      </c>
      <c r="K61" s="657">
        <f t="shared" si="5"/>
        <v>0</v>
      </c>
      <c r="L61" s="577"/>
      <c r="M61" s="701">
        <v>0</v>
      </c>
      <c r="N61" s="702">
        <f t="shared" si="0"/>
        <v>0</v>
      </c>
      <c r="O61" s="701">
        <v>0</v>
      </c>
      <c r="P61" s="703">
        <f t="shared" si="1"/>
        <v>0</v>
      </c>
      <c r="Q61" s="704">
        <v>0</v>
      </c>
      <c r="R61" s="702">
        <f t="shared" si="2"/>
        <v>0</v>
      </c>
      <c r="S61" s="661">
        <f t="shared" si="6"/>
        <v>0</v>
      </c>
      <c r="U61" s="643">
        <v>53207010000000</v>
      </c>
      <c r="V61" s="644" t="s">
        <v>56</v>
      </c>
      <c r="W61" s="645">
        <v>0</v>
      </c>
    </row>
    <row r="62" spans="1:23" ht="12.75" customHeight="1" thickBot="1" x14ac:dyDescent="0.25">
      <c r="K62" s="705">
        <f>SUM(K15:K61)</f>
        <v>133750493.40000002</v>
      </c>
      <c r="M62" s="706">
        <f>+N62/$K$62</f>
        <v>0.53037278268462806</v>
      </c>
      <c r="N62" s="707">
        <f>SUM(N15:N61)</f>
        <v>70937621.36999999</v>
      </c>
      <c r="O62" s="706">
        <f>+P62/$K$62</f>
        <v>0.33750995261749073</v>
      </c>
      <c r="P62" s="707">
        <f>SUM(P15:P61)</f>
        <v>45142122.690000013</v>
      </c>
      <c r="Q62" s="706">
        <f>+R62/$K$62</f>
        <v>0.13211726469788113</v>
      </c>
      <c r="R62" s="707">
        <f>SUM(R15:R61)</f>
        <v>17670749.340000004</v>
      </c>
      <c r="U62" s="643">
        <v>53207020000000</v>
      </c>
      <c r="V62" s="644" t="s">
        <v>57</v>
      </c>
      <c r="W62" s="645">
        <v>2500000</v>
      </c>
    </row>
    <row r="63" spans="1:23" ht="12.75" customHeight="1" x14ac:dyDescent="0.2">
      <c r="K63" s="708">
        <v>1</v>
      </c>
      <c r="U63" s="643">
        <v>53208020000000</v>
      </c>
      <c r="V63" s="644" t="s">
        <v>58</v>
      </c>
      <c r="W63" s="645">
        <v>0</v>
      </c>
    </row>
    <row r="64" spans="1:23" ht="12.75" customHeight="1" thickBot="1" x14ac:dyDescent="0.25">
      <c r="U64" s="643">
        <v>53208990000000</v>
      </c>
      <c r="V64" s="644" t="s">
        <v>59</v>
      </c>
      <c r="W64" s="645">
        <v>300000</v>
      </c>
    </row>
    <row r="65" spans="1:23" ht="12.75" customHeight="1" x14ac:dyDescent="0.2">
      <c r="A65" s="890" t="s">
        <v>139</v>
      </c>
      <c r="B65" s="893" t="s">
        <v>120</v>
      </c>
      <c r="C65" s="662"/>
      <c r="D65" s="663"/>
      <c r="E65" s="664"/>
      <c r="F65" s="665" t="s">
        <v>119</v>
      </c>
      <c r="G65" s="666">
        <v>0</v>
      </c>
      <c r="H65" s="666">
        <v>0</v>
      </c>
      <c r="I65" s="681">
        <v>0</v>
      </c>
      <c r="J65" s="667">
        <f t="shared" si="4"/>
        <v>0</v>
      </c>
      <c r="K65" s="612">
        <f t="shared" si="5"/>
        <v>0</v>
      </c>
      <c r="L65" s="577"/>
      <c r="U65" s="643">
        <v>53209010000000</v>
      </c>
      <c r="V65" s="644" t="s">
        <v>60</v>
      </c>
      <c r="W65" s="645">
        <v>0</v>
      </c>
    </row>
    <row r="66" spans="1:23" ht="12.75" customHeight="1" x14ac:dyDescent="0.2">
      <c r="A66" s="891"/>
      <c r="B66" s="894"/>
      <c r="C66" s="605"/>
      <c r="D66" s="606"/>
      <c r="E66" s="607"/>
      <c r="F66" s="608" t="s">
        <v>119</v>
      </c>
      <c r="G66" s="633">
        <v>0</v>
      </c>
      <c r="H66" s="633">
        <v>0</v>
      </c>
      <c r="I66" s="634">
        <v>0</v>
      </c>
      <c r="J66" s="635">
        <f t="shared" si="4"/>
        <v>0</v>
      </c>
      <c r="K66" s="636">
        <f t="shared" si="5"/>
        <v>0</v>
      </c>
      <c r="L66" s="577"/>
      <c r="O66" s="709"/>
      <c r="U66" s="643">
        <v>53209040000000</v>
      </c>
      <c r="V66" s="644" t="s">
        <v>61</v>
      </c>
      <c r="W66" s="645">
        <v>0</v>
      </c>
    </row>
    <row r="67" spans="1:23" ht="12.75" customHeight="1" x14ac:dyDescent="0.2">
      <c r="A67" s="891"/>
      <c r="B67" s="894"/>
      <c r="C67" s="605"/>
      <c r="D67" s="606"/>
      <c r="E67" s="607"/>
      <c r="F67" s="608" t="s">
        <v>119</v>
      </c>
      <c r="G67" s="633">
        <v>0</v>
      </c>
      <c r="H67" s="633">
        <v>0</v>
      </c>
      <c r="I67" s="634">
        <v>0</v>
      </c>
      <c r="J67" s="635">
        <f t="shared" si="4"/>
        <v>0</v>
      </c>
      <c r="K67" s="636">
        <f t="shared" si="5"/>
        <v>0</v>
      </c>
      <c r="L67" s="577"/>
      <c r="U67" s="643">
        <v>53209050000000</v>
      </c>
      <c r="V67" s="644" t="s">
        <v>62</v>
      </c>
      <c r="W67" s="645">
        <v>2900000</v>
      </c>
    </row>
    <row r="68" spans="1:23" ht="12.75" customHeight="1" x14ac:dyDescent="0.2">
      <c r="A68" s="891"/>
      <c r="B68" s="894"/>
      <c r="C68" s="629"/>
      <c r="D68" s="630"/>
      <c r="E68" s="631"/>
      <c r="F68" s="632" t="s">
        <v>119</v>
      </c>
      <c r="G68" s="633">
        <v>0</v>
      </c>
      <c r="H68" s="633">
        <v>0</v>
      </c>
      <c r="I68" s="634">
        <v>0</v>
      </c>
      <c r="J68" s="635">
        <f t="shared" si="4"/>
        <v>0</v>
      </c>
      <c r="K68" s="636">
        <f t="shared" si="5"/>
        <v>0</v>
      </c>
      <c r="L68" s="577"/>
      <c r="U68" s="643">
        <v>53209990000000</v>
      </c>
      <c r="V68" s="644" t="s">
        <v>63</v>
      </c>
      <c r="W68" s="645">
        <v>0</v>
      </c>
    </row>
    <row r="69" spans="1:23" ht="12.75" customHeight="1" thickBot="1" x14ac:dyDescent="0.25">
      <c r="A69" s="892"/>
      <c r="B69" s="895"/>
      <c r="C69" s="650"/>
      <c r="D69" s="651"/>
      <c r="E69" s="652"/>
      <c r="F69" s="653" t="s">
        <v>119</v>
      </c>
      <c r="G69" s="654">
        <v>0</v>
      </c>
      <c r="H69" s="654">
        <v>0</v>
      </c>
      <c r="I69" s="655">
        <v>0</v>
      </c>
      <c r="J69" s="656">
        <f t="shared" si="4"/>
        <v>0</v>
      </c>
      <c r="K69" s="657">
        <f t="shared" si="5"/>
        <v>0</v>
      </c>
      <c r="L69" s="577"/>
      <c r="U69" s="643">
        <v>53210020100000</v>
      </c>
      <c r="V69" s="644" t="s">
        <v>64</v>
      </c>
      <c r="W69" s="645">
        <v>1000000</v>
      </c>
    </row>
    <row r="70" spans="1:23" ht="15.75" x14ac:dyDescent="0.2">
      <c r="C70" s="576"/>
      <c r="D70" s="576"/>
      <c r="E70" s="709"/>
      <c r="F70" s="709"/>
      <c r="G70" s="709"/>
      <c r="H70" s="709"/>
      <c r="I70" s="709"/>
      <c r="K70" s="710">
        <f>SUM(K65:K69)</f>
        <v>0</v>
      </c>
      <c r="L70" s="577"/>
      <c r="U70" s="640"/>
      <c r="V70" s="641" t="s">
        <v>65</v>
      </c>
      <c r="W70" s="642">
        <f>SUM(W71:W77)</f>
        <v>2400000</v>
      </c>
    </row>
    <row r="71" spans="1:23" x14ac:dyDescent="0.2">
      <c r="K71" s="708">
        <v>1</v>
      </c>
      <c r="L71" s="577"/>
      <c r="M71" s="711"/>
      <c r="O71" s="711"/>
      <c r="Q71" s="711"/>
      <c r="U71" s="643">
        <v>53206030000000</v>
      </c>
      <c r="V71" s="644" t="s">
        <v>98</v>
      </c>
      <c r="W71" s="645">
        <v>0</v>
      </c>
    </row>
    <row r="72" spans="1:23" ht="13.5" thickBot="1" x14ac:dyDescent="0.25">
      <c r="L72" s="577"/>
      <c r="U72" s="643">
        <v>53206040000000</v>
      </c>
      <c r="V72" s="644" t="s">
        <v>99</v>
      </c>
      <c r="W72" s="645">
        <v>0</v>
      </c>
    </row>
    <row r="73" spans="1:23" ht="15" customHeight="1" x14ac:dyDescent="0.2">
      <c r="A73" s="884" t="s">
        <v>317</v>
      </c>
      <c r="B73" s="887" t="s">
        <v>318</v>
      </c>
      <c r="C73" s="238"/>
      <c r="D73" s="205"/>
      <c r="E73" s="205"/>
      <c r="F73" s="712"/>
      <c r="G73" s="713"/>
      <c r="H73" s="713"/>
      <c r="I73" s="713"/>
      <c r="J73" s="714">
        <f>SUM(G73:I73)</f>
        <v>0</v>
      </c>
      <c r="K73" s="715">
        <f>(G73*($K$11+1))*$K$12+H73+I73</f>
        <v>0</v>
      </c>
      <c r="U73" s="643">
        <v>53206060000000</v>
      </c>
      <c r="V73" s="644" t="s">
        <v>100</v>
      </c>
      <c r="W73" s="645">
        <v>400000</v>
      </c>
    </row>
    <row r="74" spans="1:23" ht="15" customHeight="1" x14ac:dyDescent="0.2">
      <c r="A74" s="885"/>
      <c r="B74" s="888"/>
      <c r="C74" s="240"/>
      <c r="D74" s="241"/>
      <c r="E74" s="241"/>
      <c r="F74" s="539"/>
      <c r="G74" s="716"/>
      <c r="H74" s="716"/>
      <c r="I74" s="716"/>
      <c r="J74" s="717">
        <f t="shared" ref="J74:J76" si="10">SUM(G74:I74)</f>
        <v>0</v>
      </c>
      <c r="K74" s="718">
        <f t="shared" ref="K74:K77" si="11">(G74*($K$11+1))*$K$12+H74+I74</f>
        <v>0</v>
      </c>
      <c r="U74" s="643">
        <v>53206070000000</v>
      </c>
      <c r="V74" s="644" t="s">
        <v>101</v>
      </c>
      <c r="W74" s="645">
        <v>0</v>
      </c>
    </row>
    <row r="75" spans="1:23" ht="15.75" customHeight="1" x14ac:dyDescent="0.2">
      <c r="A75" s="885"/>
      <c r="B75" s="888"/>
      <c r="C75" s="244"/>
      <c r="D75" s="245"/>
      <c r="E75" s="302"/>
      <c r="F75" s="539"/>
      <c r="G75" s="716"/>
      <c r="H75" s="716"/>
      <c r="I75" s="719"/>
      <c r="J75" s="717">
        <f t="shared" si="10"/>
        <v>0</v>
      </c>
      <c r="K75" s="718">
        <f t="shared" si="11"/>
        <v>0</v>
      </c>
      <c r="U75" s="643">
        <v>53206990000000</v>
      </c>
      <c r="V75" s="644" t="s">
        <v>102</v>
      </c>
      <c r="W75" s="645">
        <v>2000000</v>
      </c>
    </row>
    <row r="76" spans="1:23" ht="15" customHeight="1" x14ac:dyDescent="0.2">
      <c r="A76" s="885"/>
      <c r="B76" s="888"/>
      <c r="C76" s="240"/>
      <c r="D76" s="241"/>
      <c r="E76" s="540"/>
      <c r="F76" s="541"/>
      <c r="G76" s="716"/>
      <c r="H76" s="716"/>
      <c r="I76" s="719"/>
      <c r="J76" s="717">
        <f t="shared" si="10"/>
        <v>0</v>
      </c>
      <c r="K76" s="718">
        <f t="shared" si="11"/>
        <v>0</v>
      </c>
      <c r="U76" s="643">
        <v>53208030000000</v>
      </c>
      <c r="V76" s="644" t="s">
        <v>103</v>
      </c>
      <c r="W76" s="645">
        <v>0</v>
      </c>
    </row>
    <row r="77" spans="1:23" ht="15" customHeight="1" thickBot="1" x14ac:dyDescent="0.25">
      <c r="A77" s="886"/>
      <c r="B77" s="889"/>
      <c r="C77" s="74"/>
      <c r="D77" s="243"/>
      <c r="E77" s="542"/>
      <c r="F77" s="543"/>
      <c r="G77" s="720"/>
      <c r="H77" s="720"/>
      <c r="I77" s="721"/>
      <c r="J77" s="722">
        <f>SUM(G77:I77)</f>
        <v>0</v>
      </c>
      <c r="K77" s="723">
        <f t="shared" si="11"/>
        <v>0</v>
      </c>
      <c r="U77" s="643">
        <v>53212060000000</v>
      </c>
      <c r="V77" s="644" t="s">
        <v>96</v>
      </c>
      <c r="W77" s="645">
        <v>0</v>
      </c>
    </row>
    <row r="78" spans="1:23" ht="15.75" customHeight="1" thickBot="1" x14ac:dyDescent="0.25">
      <c r="A78" s="20"/>
      <c r="B78" s="20"/>
      <c r="C78" s="18"/>
      <c r="D78" s="18"/>
      <c r="E78" s="28"/>
      <c r="F78" s="28"/>
      <c r="G78" s="28"/>
      <c r="H78" s="28"/>
      <c r="I78" s="28"/>
      <c r="J78" s="20"/>
      <c r="K78" s="724">
        <f>SUM(K73:K77)</f>
        <v>0</v>
      </c>
      <c r="U78" s="640"/>
      <c r="V78" s="641" t="s">
        <v>66</v>
      </c>
      <c r="W78" s="642">
        <f>SUM(W79:W79)</f>
        <v>0</v>
      </c>
    </row>
    <row r="79" spans="1:23" ht="13.5" thickBo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42">
        <v>1</v>
      </c>
      <c r="U79" s="643">
        <v>53204999000000</v>
      </c>
      <c r="V79" s="644" t="s">
        <v>95</v>
      </c>
      <c r="W79" s="645">
        <v>0</v>
      </c>
    </row>
    <row r="80" spans="1:23" x14ac:dyDescent="0.2">
      <c r="A80" s="890" t="s">
        <v>139</v>
      </c>
      <c r="B80" s="893" t="s">
        <v>319</v>
      </c>
      <c r="C80" s="662"/>
      <c r="D80" s="663"/>
      <c r="E80" s="664"/>
      <c r="F80" s="665" t="s">
        <v>119</v>
      </c>
      <c r="G80" s="666">
        <v>0</v>
      </c>
      <c r="H80" s="666">
        <v>0</v>
      </c>
      <c r="I80" s="681">
        <v>0</v>
      </c>
      <c r="J80" s="667">
        <f t="shared" ref="J80:J84" si="12">SUM(G80:I80)</f>
        <v>0</v>
      </c>
      <c r="K80" s="612">
        <f t="shared" ref="K80:K84" si="13">+J80*(1+$K$11)</f>
        <v>0</v>
      </c>
      <c r="U80" s="725"/>
      <c r="V80" s="726" t="s">
        <v>141</v>
      </c>
      <c r="W80" s="727">
        <f>+W40+W15</f>
        <v>36718000</v>
      </c>
    </row>
    <row r="81" spans="1:11" x14ac:dyDescent="0.2">
      <c r="A81" s="891"/>
      <c r="B81" s="894"/>
      <c r="C81" s="605"/>
      <c r="D81" s="606"/>
      <c r="E81" s="607"/>
      <c r="F81" s="608" t="s">
        <v>119</v>
      </c>
      <c r="G81" s="633">
        <v>0</v>
      </c>
      <c r="H81" s="633">
        <v>0</v>
      </c>
      <c r="I81" s="634">
        <v>0</v>
      </c>
      <c r="J81" s="635">
        <f t="shared" si="12"/>
        <v>0</v>
      </c>
      <c r="K81" s="636">
        <f t="shared" si="13"/>
        <v>0</v>
      </c>
    </row>
    <row r="82" spans="1:11" x14ac:dyDescent="0.2">
      <c r="A82" s="891"/>
      <c r="B82" s="894"/>
      <c r="C82" s="605"/>
      <c r="D82" s="606"/>
      <c r="E82" s="607"/>
      <c r="F82" s="608" t="s">
        <v>119</v>
      </c>
      <c r="G82" s="633">
        <v>0</v>
      </c>
      <c r="H82" s="633">
        <v>0</v>
      </c>
      <c r="I82" s="634">
        <v>0</v>
      </c>
      <c r="J82" s="635">
        <f t="shared" si="12"/>
        <v>0</v>
      </c>
      <c r="K82" s="636">
        <f t="shared" si="13"/>
        <v>0</v>
      </c>
    </row>
    <row r="83" spans="1:11" ht="15.75" customHeight="1" x14ac:dyDescent="0.2">
      <c r="A83" s="891"/>
      <c r="B83" s="894"/>
      <c r="C83" s="629"/>
      <c r="D83" s="630"/>
      <c r="E83" s="631"/>
      <c r="F83" s="632" t="s">
        <v>119</v>
      </c>
      <c r="G83" s="633">
        <v>0</v>
      </c>
      <c r="H83" s="633">
        <v>0</v>
      </c>
      <c r="I83" s="634">
        <v>0</v>
      </c>
      <c r="J83" s="635">
        <f t="shared" si="12"/>
        <v>0</v>
      </c>
      <c r="K83" s="636">
        <f t="shared" si="13"/>
        <v>0</v>
      </c>
    </row>
    <row r="84" spans="1:11" ht="13.5" thickBot="1" x14ac:dyDescent="0.25">
      <c r="A84" s="892"/>
      <c r="B84" s="895"/>
      <c r="C84" s="650"/>
      <c r="D84" s="651"/>
      <c r="E84" s="652"/>
      <c r="F84" s="653" t="s">
        <v>119</v>
      </c>
      <c r="G84" s="654">
        <v>0</v>
      </c>
      <c r="H84" s="654">
        <v>0</v>
      </c>
      <c r="I84" s="655">
        <v>0</v>
      </c>
      <c r="J84" s="656">
        <f t="shared" si="12"/>
        <v>0</v>
      </c>
      <c r="K84" s="657">
        <f t="shared" si="13"/>
        <v>0</v>
      </c>
    </row>
    <row r="85" spans="1:11" ht="15.75" x14ac:dyDescent="0.2">
      <c r="C85" s="576"/>
      <c r="D85" s="576"/>
      <c r="E85" s="709"/>
      <c r="F85" s="709"/>
      <c r="G85" s="709"/>
      <c r="H85" s="709"/>
      <c r="I85" s="709"/>
      <c r="K85" s="710">
        <f>SUM(K80:K84)</f>
        <v>0</v>
      </c>
    </row>
    <row r="86" spans="1:11" x14ac:dyDescent="0.2">
      <c r="K86" s="708">
        <v>1</v>
      </c>
    </row>
    <row r="97" spans="11:12" x14ac:dyDescent="0.2">
      <c r="L97" s="728"/>
    </row>
    <row r="99" spans="11:12" x14ac:dyDescent="0.2">
      <c r="K99" s="729"/>
    </row>
    <row r="101" spans="11:12" x14ac:dyDescent="0.2">
      <c r="K101" s="730"/>
    </row>
  </sheetData>
  <mergeCells count="47">
    <mergeCell ref="A80:A84"/>
    <mergeCell ref="B80:B84"/>
    <mergeCell ref="AN15:AO15"/>
    <mergeCell ref="A65:A69"/>
    <mergeCell ref="B65:B69"/>
    <mergeCell ref="A15:A61"/>
    <mergeCell ref="B15:B24"/>
    <mergeCell ref="B25:B34"/>
    <mergeCell ref="B35:B39"/>
    <mergeCell ref="B40:B61"/>
    <mergeCell ref="AP15:AQ15"/>
    <mergeCell ref="AR14:AS14"/>
    <mergeCell ref="AR15:AS15"/>
    <mergeCell ref="S13:S14"/>
    <mergeCell ref="A73:A77"/>
    <mergeCell ref="B73:B77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P14:AQ14"/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</mergeCells>
  <conditionalFormatting sqref="S15:S61">
    <cfRule type="cellIs" dxfId="6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5"/>
  <sheetViews>
    <sheetView showGridLines="0" topLeftCell="B1" zoomScale="80" zoomScaleNormal="80" workbookViewId="0">
      <selection activeCell="D27" sqref="D27"/>
    </sheetView>
  </sheetViews>
  <sheetFormatPr baseColWidth="10" defaultColWidth="11.42578125" defaultRowHeight="12.75" x14ac:dyDescent="0.2"/>
  <cols>
    <col min="1" max="1" width="42.140625" style="2" bestFit="1" customWidth="1"/>
    <col min="2" max="2" width="33" style="2" bestFit="1" customWidth="1"/>
    <col min="3" max="3" width="14.140625" style="2" customWidth="1"/>
    <col min="4" max="4" width="14.140625" style="2" bestFit="1" customWidth="1"/>
    <col min="5" max="9" width="14.140625" style="2" customWidth="1"/>
    <col min="10" max="10" width="15.28515625" style="2" customWidth="1"/>
    <col min="11" max="14" width="14.140625" style="2" customWidth="1"/>
    <col min="15" max="15" width="15.42578125" style="2" customWidth="1"/>
    <col min="16" max="17" width="14.140625" style="2" customWidth="1"/>
    <col min="18" max="18" width="13.28515625" style="2" customWidth="1"/>
    <col min="19" max="19" width="14.140625" style="2" bestFit="1" customWidth="1"/>
    <col min="20" max="20" width="16" style="2" customWidth="1"/>
    <col min="21" max="21" width="12.28515625" style="2" customWidth="1"/>
    <col min="22" max="16384" width="11.42578125" style="2"/>
  </cols>
  <sheetData>
    <row r="1" spans="1:245" s="4" customFormat="1" x14ac:dyDescent="0.2">
      <c r="B1" s="3"/>
      <c r="G1" s="29" t="s">
        <v>205</v>
      </c>
      <c r="IJ1" s="2"/>
      <c r="IK1" s="2"/>
    </row>
    <row r="2" spans="1:245" s="4" customFormat="1" x14ac:dyDescent="0.2">
      <c r="B2" s="5"/>
      <c r="G2" s="29" t="s">
        <v>197</v>
      </c>
      <c r="IJ2" s="2"/>
      <c r="IK2" s="2"/>
    </row>
    <row r="3" spans="1:245" s="4" customFormat="1" x14ac:dyDescent="0.2">
      <c r="B3" s="2"/>
      <c r="IJ3" s="2"/>
      <c r="IK3" s="2"/>
    </row>
    <row r="4" spans="1:245" s="4" customFormat="1" ht="17.25" customHeight="1" x14ac:dyDescent="0.2">
      <c r="B4" s="2"/>
      <c r="C4" s="6"/>
      <c r="F4" s="6" t="s">
        <v>0</v>
      </c>
      <c r="G4" s="913" t="str">
        <f>+'B) Reajuste Tarifas y Ocupación'!F5</f>
        <v>(DEPTO./DELEG.)</v>
      </c>
      <c r="H4" s="914"/>
      <c r="I4" s="6"/>
      <c r="J4" s="6"/>
      <c r="K4" s="6"/>
      <c r="L4" s="6"/>
      <c r="M4" s="6"/>
      <c r="N4" s="6"/>
      <c r="O4" s="6"/>
      <c r="P4" s="6"/>
      <c r="Q4" s="6"/>
      <c r="IA4" s="2"/>
      <c r="IB4" s="2"/>
      <c r="IC4" s="2"/>
      <c r="ID4" s="2"/>
      <c r="IE4" s="2"/>
      <c r="IF4" s="2"/>
    </row>
    <row r="5" spans="1:245" s="4" customFormat="1" x14ac:dyDescent="0.2">
      <c r="B5" s="2"/>
      <c r="C5" s="6"/>
      <c r="F5" s="6"/>
      <c r="G5" s="29"/>
      <c r="H5" s="29"/>
      <c r="I5" s="6"/>
      <c r="J5" s="6"/>
      <c r="K5" s="6"/>
      <c r="L5" s="6"/>
      <c r="M5" s="6"/>
      <c r="N5" s="6"/>
      <c r="O5" s="6"/>
      <c r="P5" s="6"/>
      <c r="Q5" s="6"/>
      <c r="IA5" s="2"/>
      <c r="IB5" s="2"/>
      <c r="IC5" s="2"/>
      <c r="ID5" s="2"/>
      <c r="IE5" s="2"/>
      <c r="IF5" s="2"/>
    </row>
    <row r="6" spans="1:245" s="4" customFormat="1" ht="15.75" x14ac:dyDescent="0.2">
      <c r="A6" s="763" t="s">
        <v>159</v>
      </c>
      <c r="B6" s="763"/>
      <c r="C6" s="763"/>
      <c r="D6" s="763"/>
      <c r="E6" s="56"/>
      <c r="F6" s="6"/>
      <c r="G6" s="29"/>
      <c r="H6" s="29"/>
      <c r="I6" s="6"/>
      <c r="J6" s="6"/>
      <c r="K6" s="6"/>
      <c r="L6" s="6"/>
      <c r="M6" s="6"/>
      <c r="N6" s="6"/>
      <c r="O6" s="6"/>
      <c r="P6" s="6"/>
      <c r="Q6" s="6"/>
      <c r="IA6" s="2"/>
      <c r="IB6" s="2"/>
      <c r="IC6" s="2"/>
      <c r="ID6" s="2"/>
      <c r="IE6" s="2"/>
      <c r="IF6" s="2"/>
    </row>
    <row r="7" spans="1:245" s="4" customFormat="1" ht="13.5" thickBot="1" x14ac:dyDescent="0.25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HX7" s="2"/>
      <c r="HY7" s="2"/>
      <c r="HZ7" s="2"/>
      <c r="IA7" s="2"/>
      <c r="IB7" s="2"/>
      <c r="IC7" s="2"/>
      <c r="ID7" s="2"/>
      <c r="IE7" s="2"/>
      <c r="IF7" s="2"/>
    </row>
    <row r="8" spans="1:245" ht="16.5" customHeight="1" x14ac:dyDescent="0.2">
      <c r="A8" s="921" t="s">
        <v>112</v>
      </c>
      <c r="B8" s="923" t="s">
        <v>5</v>
      </c>
      <c r="C8" s="918" t="s">
        <v>266</v>
      </c>
      <c r="D8" s="919"/>
      <c r="E8" s="919"/>
      <c r="F8" s="919"/>
      <c r="G8" s="920"/>
      <c r="H8" s="915" t="s">
        <v>260</v>
      </c>
      <c r="I8" s="916"/>
      <c r="J8" s="916"/>
      <c r="K8" s="916"/>
      <c r="L8" s="917"/>
      <c r="M8" s="910" t="s">
        <v>123</v>
      </c>
      <c r="N8" s="911"/>
      <c r="O8" s="911"/>
      <c r="P8" s="911"/>
      <c r="Q8" s="912"/>
      <c r="R8" s="910" t="s">
        <v>124</v>
      </c>
      <c r="S8" s="911"/>
      <c r="T8" s="911"/>
      <c r="U8" s="911"/>
      <c r="V8" s="912"/>
    </row>
    <row r="9" spans="1:245" ht="64.5" thickBot="1" x14ac:dyDescent="0.25">
      <c r="A9" s="922" t="e">
        <f>NA()</f>
        <v>#N/A</v>
      </c>
      <c r="B9" s="924" t="e">
        <f>NA()</f>
        <v>#N/A</v>
      </c>
      <c r="C9" s="49" t="s">
        <v>85</v>
      </c>
      <c r="D9" s="48" t="s">
        <v>137</v>
      </c>
      <c r="E9" s="48" t="s">
        <v>138</v>
      </c>
      <c r="F9" s="48" t="s">
        <v>86</v>
      </c>
      <c r="G9" s="305" t="s">
        <v>87</v>
      </c>
      <c r="H9" s="325" t="s">
        <v>85</v>
      </c>
      <c r="I9" s="326" t="s">
        <v>137</v>
      </c>
      <c r="J9" s="326" t="s">
        <v>138</v>
      </c>
      <c r="K9" s="326" t="s">
        <v>86</v>
      </c>
      <c r="L9" s="308" t="s">
        <v>87</v>
      </c>
      <c r="M9" s="325" t="s">
        <v>85</v>
      </c>
      <c r="N9" s="326" t="s">
        <v>137</v>
      </c>
      <c r="O9" s="326" t="s">
        <v>138</v>
      </c>
      <c r="P9" s="326" t="s">
        <v>86</v>
      </c>
      <c r="Q9" s="308" t="s">
        <v>87</v>
      </c>
      <c r="R9" s="325" t="s">
        <v>85</v>
      </c>
      <c r="S9" s="326" t="s">
        <v>137</v>
      </c>
      <c r="T9" s="326" t="s">
        <v>138</v>
      </c>
      <c r="U9" s="326" t="s">
        <v>86</v>
      </c>
      <c r="V9" s="308" t="s">
        <v>87</v>
      </c>
    </row>
    <row r="10" spans="1:245" x14ac:dyDescent="0.2">
      <c r="A10" s="907" t="str">
        <f>+'B) Reajuste Tarifas y Ocupación'!A12</f>
        <v>Jardín Infantil Pequeños Héroes</v>
      </c>
      <c r="B10" s="128" t="str">
        <f>+'B) Reajuste Tarifas y Ocupación'!B12</f>
        <v>Media jornada</v>
      </c>
      <c r="C10" s="412">
        <f>+'B) Reajuste Tarifas y Ocupación'!M12</f>
        <v>108700</v>
      </c>
      <c r="D10" s="413">
        <f>+'B) Reajuste Tarifas y Ocupación'!N12</f>
        <v>146700</v>
      </c>
      <c r="E10" s="413">
        <f>+'B) Reajuste Tarifas y Ocupación'!O12</f>
        <v>152100</v>
      </c>
      <c r="F10" s="413">
        <f>+'B) Reajuste Tarifas y Ocupación'!P12</f>
        <v>186300</v>
      </c>
      <c r="G10" s="137">
        <f>+'B) Reajuste Tarifas y Ocupación'!Q12</f>
        <v>273700</v>
      </c>
      <c r="H10" s="429">
        <f>+'B) Reajuste Tarifas y Ocupación'!C12</f>
        <v>97000</v>
      </c>
      <c r="I10" s="430">
        <f>+'B) Reajuste Tarifas y Ocupación'!D12</f>
        <v>131000</v>
      </c>
      <c r="J10" s="430">
        <f>+'B) Reajuste Tarifas y Ocupación'!E12</f>
        <v>135800</v>
      </c>
      <c r="K10" s="430">
        <f>+'B) Reajuste Tarifas y Ocupación'!F12</f>
        <v>166300</v>
      </c>
      <c r="L10" s="431">
        <f>+'B) Reajuste Tarifas y Ocupación'!G12</f>
        <v>244300</v>
      </c>
      <c r="M10" s="253">
        <f t="shared" ref="M10:Q11" si="0">C10-H10</f>
        <v>11700</v>
      </c>
      <c r="N10" s="258">
        <f t="shared" si="0"/>
        <v>15700</v>
      </c>
      <c r="O10" s="258">
        <f t="shared" si="0"/>
        <v>16300</v>
      </c>
      <c r="P10" s="258">
        <f t="shared" si="0"/>
        <v>20000</v>
      </c>
      <c r="Q10" s="259">
        <f t="shared" si="0"/>
        <v>29400</v>
      </c>
      <c r="R10" s="327">
        <f>+'B) Reajuste Tarifas y Ocupación'!H12</f>
        <v>0.12</v>
      </c>
      <c r="S10" s="328">
        <f>+'B) Reajuste Tarifas y Ocupación'!I12</f>
        <v>0.12</v>
      </c>
      <c r="T10" s="328">
        <f>+'B) Reajuste Tarifas y Ocupación'!J12</f>
        <v>0.12</v>
      </c>
      <c r="U10" s="328">
        <f>+'B) Reajuste Tarifas y Ocupación'!K12</f>
        <v>0.12</v>
      </c>
      <c r="V10" s="329">
        <f>+'B) Reajuste Tarifas y Ocupación'!L12</f>
        <v>0.12</v>
      </c>
    </row>
    <row r="11" spans="1:245" x14ac:dyDescent="0.2">
      <c r="A11" s="908"/>
      <c r="B11" s="414" t="str">
        <f>+'B) Reajuste Tarifas y Ocupación'!B13</f>
        <v>Media jornada Extendida</v>
      </c>
      <c r="C11" s="415">
        <f>+'B) Reajuste Tarifas y Ocupación'!M13</f>
        <v>155400</v>
      </c>
      <c r="D11" s="416">
        <f>+'B) Reajuste Tarifas y Ocupación'!N13</f>
        <v>209800</v>
      </c>
      <c r="E11" s="416">
        <f>+'B) Reajuste Tarifas y Ocupación'!O13</f>
        <v>217500</v>
      </c>
      <c r="F11" s="416">
        <f>+'B) Reajuste Tarifas y Ocupación'!P13</f>
        <v>253200</v>
      </c>
      <c r="G11" s="405">
        <f>+'B) Reajuste Tarifas y Ocupación'!Q13</f>
        <v>394700</v>
      </c>
      <c r="H11" s="432">
        <f>+'B) Reajuste Tarifas y Ocupación'!C13</f>
        <v>138700</v>
      </c>
      <c r="I11" s="433">
        <f>+'B) Reajuste Tarifas y Ocupación'!D13</f>
        <v>187200</v>
      </c>
      <c r="J11" s="433">
        <f>+'B) Reajuste Tarifas y Ocupación'!E13</f>
        <v>194200</v>
      </c>
      <c r="K11" s="433">
        <f>+'B) Reajuste Tarifas y Ocupación'!F13</f>
        <v>226000</v>
      </c>
      <c r="L11" s="434">
        <f>+'B) Reajuste Tarifas y Ocupación'!G13</f>
        <v>352400</v>
      </c>
      <c r="M11" s="330">
        <f t="shared" si="0"/>
        <v>16700</v>
      </c>
      <c r="N11" s="331">
        <f t="shared" si="0"/>
        <v>22600</v>
      </c>
      <c r="O11" s="331">
        <f t="shared" si="0"/>
        <v>23300</v>
      </c>
      <c r="P11" s="331">
        <f t="shared" si="0"/>
        <v>27200</v>
      </c>
      <c r="Q11" s="418">
        <f t="shared" si="0"/>
        <v>42300</v>
      </c>
      <c r="R11" s="332">
        <f>+'B) Reajuste Tarifas y Ocupación'!H13</f>
        <v>0.12</v>
      </c>
      <c r="S11" s="333">
        <f>+'B) Reajuste Tarifas y Ocupación'!I13</f>
        <v>0.12</v>
      </c>
      <c r="T11" s="333">
        <f>+'B) Reajuste Tarifas y Ocupación'!J13</f>
        <v>0.12</v>
      </c>
      <c r="U11" s="333">
        <f>+'B) Reajuste Tarifas y Ocupación'!K13</f>
        <v>0.12</v>
      </c>
      <c r="V11" s="334">
        <f>+'B) Reajuste Tarifas y Ocupación'!L13</f>
        <v>0.12</v>
      </c>
    </row>
    <row r="12" spans="1:245" ht="13.5" thickBot="1" x14ac:dyDescent="0.25">
      <c r="A12" s="909"/>
      <c r="B12" s="130" t="str">
        <f>+'B) Reajuste Tarifas y Ocupación'!B14</f>
        <v>Jornada Completa</v>
      </c>
      <c r="C12" s="200">
        <f>+'B) Reajuste Tarifas y Ocupación'!M14</f>
        <v>181200</v>
      </c>
      <c r="D12" s="417">
        <f>+'B) Reajuste Tarifas y Ocupación'!N14</f>
        <v>244500</v>
      </c>
      <c r="E12" s="417">
        <f>+'B) Reajuste Tarifas y Ocupación'!O14</f>
        <v>253600</v>
      </c>
      <c r="F12" s="417">
        <f>+'B) Reajuste Tarifas y Ocupación'!P14</f>
        <v>304600</v>
      </c>
      <c r="G12" s="406">
        <f>+'B) Reajuste Tarifas y Ocupación'!Q14</f>
        <v>483900</v>
      </c>
      <c r="H12" s="426">
        <f>+'B) Reajuste Tarifas y Ocupación'!C14</f>
        <v>161700</v>
      </c>
      <c r="I12" s="427">
        <f>+'B) Reajuste Tarifas y Ocupación'!D14</f>
        <v>218200</v>
      </c>
      <c r="J12" s="427">
        <f>+'B) Reajuste Tarifas y Ocupación'!E14</f>
        <v>226300</v>
      </c>
      <c r="K12" s="427">
        <f>+'B) Reajuste Tarifas y Ocupación'!F14</f>
        <v>271900</v>
      </c>
      <c r="L12" s="428">
        <f>+'B) Reajuste Tarifas y Ocupación'!G14</f>
        <v>432000</v>
      </c>
      <c r="M12" s="138">
        <f t="shared" ref="M12:M13" si="1">C12-H12</f>
        <v>19500</v>
      </c>
      <c r="N12" s="335">
        <f t="shared" ref="N12:N13" si="2">D12-I12</f>
        <v>26300</v>
      </c>
      <c r="O12" s="335">
        <f t="shared" ref="O12:O13" si="3">E12-J12</f>
        <v>27300</v>
      </c>
      <c r="P12" s="335">
        <f t="shared" ref="P12:P13" si="4">F12-K12</f>
        <v>32700</v>
      </c>
      <c r="Q12" s="419">
        <f t="shared" ref="Q12:Q13" si="5">G12-L12</f>
        <v>51900</v>
      </c>
      <c r="R12" s="139">
        <f>+'B) Reajuste Tarifas y Ocupación'!H14</f>
        <v>0.12</v>
      </c>
      <c r="S12" s="336">
        <f>+'B) Reajuste Tarifas y Ocupación'!I14</f>
        <v>0.12</v>
      </c>
      <c r="T12" s="336">
        <f>+'B) Reajuste Tarifas y Ocupación'!J14</f>
        <v>0.12</v>
      </c>
      <c r="U12" s="336">
        <f>+'B) Reajuste Tarifas y Ocupación'!K14</f>
        <v>0.12</v>
      </c>
      <c r="V12" s="140">
        <f>+'B) Reajuste Tarifas y Ocupación'!L14</f>
        <v>0.12</v>
      </c>
    </row>
    <row r="13" spans="1:245" x14ac:dyDescent="0.2">
      <c r="A13" s="905" t="str">
        <f>+'B) Reajuste Tarifas y Ocupación'!A15</f>
        <v>Sala Cuna Pequeños Héroes</v>
      </c>
      <c r="B13" s="408" t="str">
        <f>+'B) Reajuste Tarifas y Ocupación'!B15</f>
        <v>Diurna</v>
      </c>
      <c r="C13" s="409">
        <f>+'B) Reajuste Tarifas y Ocupación'!M15</f>
        <v>397800</v>
      </c>
      <c r="D13" s="410">
        <f>+'B) Reajuste Tarifas y Ocupación'!N15</f>
        <v>537000</v>
      </c>
      <c r="E13" s="410">
        <f>+'B) Reajuste Tarifas y Ocupación'!O15</f>
        <v>556900</v>
      </c>
      <c r="F13" s="410">
        <f>+'B) Reajuste Tarifas y Ocupación'!P15</f>
        <v>497200</v>
      </c>
      <c r="G13" s="411">
        <f>+'B) Reajuste Tarifas y Ocupación'!Q15</f>
        <v>596600</v>
      </c>
      <c r="H13" s="420">
        <f>+'B) Reajuste Tarifas y Ocupación'!C15</f>
        <v>368300</v>
      </c>
      <c r="I13" s="421">
        <f>+'B) Reajuste Tarifas y Ocupación'!D15</f>
        <v>497200</v>
      </c>
      <c r="J13" s="421">
        <f>+'B) Reajuste Tarifas y Ocupación'!E15</f>
        <v>515600</v>
      </c>
      <c r="K13" s="421">
        <f>+'B) Reajuste Tarifas y Ocupación'!F15</f>
        <v>460300</v>
      </c>
      <c r="L13" s="422">
        <f>+'B) Reajuste Tarifas y Ocupación'!G15</f>
        <v>552400</v>
      </c>
      <c r="M13" s="253">
        <f t="shared" si="1"/>
        <v>29500</v>
      </c>
      <c r="N13" s="258">
        <f t="shared" si="2"/>
        <v>39800</v>
      </c>
      <c r="O13" s="258">
        <f t="shared" si="3"/>
        <v>41300</v>
      </c>
      <c r="P13" s="258">
        <f t="shared" si="4"/>
        <v>36900</v>
      </c>
      <c r="Q13" s="259">
        <f t="shared" si="5"/>
        <v>44200</v>
      </c>
      <c r="R13" s="327">
        <f>+'B) Reajuste Tarifas y Ocupación'!H15</f>
        <v>0.08</v>
      </c>
      <c r="S13" s="328">
        <f>+'B) Reajuste Tarifas y Ocupación'!I15</f>
        <v>0.08</v>
      </c>
      <c r="T13" s="328">
        <f>+'B) Reajuste Tarifas y Ocupación'!J15</f>
        <v>0.08</v>
      </c>
      <c r="U13" s="328">
        <f>+'B) Reajuste Tarifas y Ocupación'!K15</f>
        <v>0.08</v>
      </c>
      <c r="V13" s="329">
        <f>+'B) Reajuste Tarifas y Ocupación'!L15</f>
        <v>0.08</v>
      </c>
    </row>
    <row r="14" spans="1:245" x14ac:dyDescent="0.2">
      <c r="A14" s="905"/>
      <c r="B14" s="129" t="str">
        <f>+'B) Reajuste Tarifas y Ocupación'!B16</f>
        <v>Nocturna</v>
      </c>
      <c r="C14" s="312"/>
      <c r="D14" s="313"/>
      <c r="E14" s="313"/>
      <c r="F14" s="313"/>
      <c r="G14" s="407"/>
      <c r="H14" s="423"/>
      <c r="I14" s="424"/>
      <c r="J14" s="424"/>
      <c r="K14" s="424"/>
      <c r="L14" s="425"/>
      <c r="M14" s="423"/>
      <c r="N14" s="424"/>
      <c r="O14" s="424"/>
      <c r="P14" s="424"/>
      <c r="Q14" s="425"/>
      <c r="R14" s="337"/>
      <c r="S14" s="338"/>
      <c r="T14" s="338"/>
      <c r="U14" s="338"/>
      <c r="V14" s="339"/>
    </row>
    <row r="15" spans="1:245" ht="13.5" thickBot="1" x14ac:dyDescent="0.25">
      <c r="A15" s="906"/>
      <c r="B15" s="130" t="str">
        <f>+'B) Reajuste Tarifas y Ocupación'!B17</f>
        <v>Media Jornada</v>
      </c>
      <c r="C15" s="200">
        <f>+'B) Reajuste Tarifas y Ocupación'!M17</f>
        <v>238900</v>
      </c>
      <c r="D15" s="201">
        <f>+'B) Reajuste Tarifas y Ocupación'!N17</f>
        <v>322600</v>
      </c>
      <c r="E15" s="201">
        <f>+'B) Reajuste Tarifas y Ocupación'!O17</f>
        <v>334500</v>
      </c>
      <c r="F15" s="201">
        <f>+'B) Reajuste Tarifas y Ocupación'!P17</f>
        <v>358100</v>
      </c>
      <c r="G15" s="406">
        <f>+'B) Reajuste Tarifas y Ocupación'!Q17</f>
        <v>477400</v>
      </c>
      <c r="H15" s="426">
        <f>+'B) Reajuste Tarifas y Ocupación'!C17</f>
        <v>221200</v>
      </c>
      <c r="I15" s="427">
        <f>+'B) Reajuste Tarifas y Ocupación'!D17</f>
        <v>298600</v>
      </c>
      <c r="J15" s="427">
        <f>+'B) Reajuste Tarifas y Ocupación'!E17</f>
        <v>309600</v>
      </c>
      <c r="K15" s="427">
        <f>+'B) Reajuste Tarifas y Ocupación'!F17</f>
        <v>331500</v>
      </c>
      <c r="L15" s="428">
        <f>+'B) Reajuste Tarifas y Ocupación'!G17</f>
        <v>442000</v>
      </c>
      <c r="M15" s="138">
        <f t="shared" ref="M15" si="6">C15-H15</f>
        <v>17700</v>
      </c>
      <c r="N15" s="335">
        <f t="shared" ref="N15" si="7">D15-I15</f>
        <v>24000</v>
      </c>
      <c r="O15" s="335">
        <f t="shared" ref="O15" si="8">E15-J15</f>
        <v>24900</v>
      </c>
      <c r="P15" s="335">
        <f t="shared" ref="P15" si="9">F15-K15</f>
        <v>26600</v>
      </c>
      <c r="Q15" s="419">
        <f t="shared" ref="Q15" si="10">G15-L15</f>
        <v>35400</v>
      </c>
      <c r="R15" s="139">
        <f>+'B) Reajuste Tarifas y Ocupación'!H17</f>
        <v>0.08</v>
      </c>
      <c r="S15" s="336">
        <f>+'B) Reajuste Tarifas y Ocupación'!I17</f>
        <v>0.08</v>
      </c>
      <c r="T15" s="336">
        <f>+'B) Reajuste Tarifas y Ocupación'!J17</f>
        <v>0.08</v>
      </c>
      <c r="U15" s="336">
        <f>+'B) Reajuste Tarifas y Ocupación'!K17</f>
        <v>0.08</v>
      </c>
      <c r="V15" s="140">
        <f>+'B) Reajuste Tarifas y Ocupación'!L17</f>
        <v>0.08</v>
      </c>
    </row>
  </sheetData>
  <sheetProtection algorithmName="SHA-512" hashValue="vLeDBQ55FDXNwOPEj+Nd3ybT4KJo/chrnEuTIj1obHKqWtqGEDwsPUM4gGZol0Alau3cqI08CU3QWXYQB+LqzA==" saltValue="noywtx5UB76I42MvPTIxrQ==" spinCount="100000" sheet="1" objects="1" scenarios="1"/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2">
    <cfRule type="cellIs" dxfId="5" priority="7" operator="lessThan">
      <formula>0</formula>
    </cfRule>
  </conditionalFormatting>
  <conditionalFormatting sqref="H14:L14">
    <cfRule type="cellIs" dxfId="4" priority="6" operator="lessThan">
      <formula>0</formula>
    </cfRule>
  </conditionalFormatting>
  <conditionalFormatting sqref="R14:V14">
    <cfRule type="cellIs" dxfId="3" priority="3" operator="lessThan">
      <formula>0</formula>
    </cfRule>
  </conditionalFormatting>
  <conditionalFormatting sqref="R14:V14">
    <cfRule type="cellIs" dxfId="2" priority="4" operator="lessThan">
      <formula>0</formula>
    </cfRule>
  </conditionalFormatting>
  <conditionalFormatting sqref="M13:Q13 M15:Q15">
    <cfRule type="cellIs" dxfId="1" priority="2" operator="lessThan">
      <formula>0</formula>
    </cfRule>
  </conditionalFormatting>
  <conditionalFormatting sqref="M14:Q14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4"/>
  <sheetViews>
    <sheetView showGridLines="0" zoomScale="80" zoomScaleNormal="80" workbookViewId="0">
      <selection activeCell="H45" sqref="H45"/>
    </sheetView>
  </sheetViews>
  <sheetFormatPr baseColWidth="10" defaultColWidth="11.42578125" defaultRowHeight="12.75" x14ac:dyDescent="0.2"/>
  <cols>
    <col min="1" max="1" width="7.140625" style="20" customWidth="1"/>
    <col min="2" max="2" width="37.28515625" style="20" customWidth="1"/>
    <col min="3" max="3" width="28" style="20" customWidth="1"/>
    <col min="4" max="4" width="24.140625" style="20" customWidth="1"/>
    <col min="5" max="5" width="25.140625" style="20" customWidth="1"/>
    <col min="6" max="6" width="22.140625" style="20" customWidth="1"/>
    <col min="7" max="8" width="14.85546875" style="20" customWidth="1"/>
    <col min="9" max="9" width="15" style="20" customWidth="1"/>
    <col min="10" max="10" width="15.140625" style="20" customWidth="1"/>
    <col min="11" max="11" width="19.140625" style="20" customWidth="1"/>
    <col min="12" max="12" width="23.85546875" style="20" customWidth="1"/>
    <col min="13" max="13" width="16.140625" style="20" customWidth="1"/>
    <col min="14" max="14" width="17.140625" style="20" customWidth="1"/>
    <col min="15" max="15" width="14.85546875" style="20" customWidth="1"/>
    <col min="16" max="16" width="17.7109375" style="20" customWidth="1"/>
    <col min="17" max="17" width="17.140625" style="20" customWidth="1"/>
    <col min="18" max="18" width="18.140625" style="20" customWidth="1"/>
    <col min="19" max="19" width="16.28515625" style="20" customWidth="1"/>
    <col min="20" max="20" width="15.85546875" style="20" customWidth="1"/>
    <col min="21" max="21" width="14.85546875" style="20" customWidth="1"/>
    <col min="22" max="22" width="15.85546875" style="20" customWidth="1"/>
    <col min="23" max="23" width="14.28515625" style="20" customWidth="1"/>
    <col min="24" max="24" width="14.85546875" style="20" customWidth="1"/>
    <col min="25" max="25" width="14.140625" style="20" customWidth="1"/>
    <col min="26" max="26" width="16.85546875" style="20" customWidth="1"/>
    <col min="27" max="27" width="17.5703125" style="20" customWidth="1"/>
    <col min="28" max="28" width="15.28515625" style="20" customWidth="1"/>
    <col min="29" max="29" width="19.7109375" style="20" customWidth="1"/>
    <col min="30" max="30" width="17.42578125" style="20" customWidth="1"/>
    <col min="31" max="31" width="12" style="20" customWidth="1"/>
    <col min="32" max="16384" width="11.42578125" style="20"/>
  </cols>
  <sheetData>
    <row r="1" spans="2:259" s="4" customFormat="1" x14ac:dyDescent="0.2">
      <c r="E1" s="29" t="s">
        <v>206</v>
      </c>
      <c r="F1" s="29"/>
      <c r="G1" s="29"/>
      <c r="H1" s="29"/>
      <c r="I1" s="29"/>
      <c r="J1" s="29"/>
      <c r="IM1" s="2"/>
      <c r="IN1" s="2"/>
    </row>
    <row r="2" spans="2:259" s="4" customFormat="1" x14ac:dyDescent="0.2">
      <c r="E2" s="29" t="s">
        <v>198</v>
      </c>
      <c r="F2" s="29"/>
      <c r="G2" s="29"/>
      <c r="H2" s="29"/>
      <c r="I2" s="29"/>
      <c r="J2" s="29"/>
      <c r="IM2" s="2"/>
      <c r="IN2" s="2"/>
    </row>
    <row r="3" spans="2:259" s="4" customFormat="1" x14ac:dyDescent="0.2">
      <c r="B3" s="16"/>
      <c r="ID3" s="2"/>
      <c r="IE3" s="2"/>
      <c r="IF3" s="2"/>
      <c r="IG3" s="2"/>
      <c r="IH3" s="2"/>
      <c r="II3" s="2"/>
    </row>
    <row r="4" spans="2:259" s="4" customFormat="1" ht="18.75" customHeight="1" x14ac:dyDescent="0.2">
      <c r="B4" s="16"/>
      <c r="D4" s="54" t="s">
        <v>0</v>
      </c>
      <c r="E4" s="65" t="str">
        <f>+'B) Reajuste Tarifas y Ocupación'!F5</f>
        <v>(DEPTO./DELEG.)</v>
      </c>
      <c r="F4" s="38"/>
      <c r="G4" s="39"/>
      <c r="H4" s="39"/>
      <c r="I4" s="39"/>
      <c r="J4" s="39"/>
      <c r="N4" s="1"/>
      <c r="ID4" s="2"/>
      <c r="IE4" s="2"/>
      <c r="IF4" s="2"/>
      <c r="IG4" s="2"/>
      <c r="IH4" s="2"/>
      <c r="II4" s="2"/>
    </row>
    <row r="5" spans="2:259" s="4" customFormat="1" x14ac:dyDescent="0.2">
      <c r="B5" s="16"/>
      <c r="D5" s="6"/>
      <c r="E5" s="29"/>
      <c r="F5" s="29"/>
      <c r="G5" s="29"/>
      <c r="H5" s="29"/>
      <c r="I5" s="29"/>
      <c r="J5" s="29"/>
      <c r="N5" s="1"/>
      <c r="ID5" s="2"/>
      <c r="IE5" s="2"/>
      <c r="IF5" s="2"/>
      <c r="IG5" s="2"/>
      <c r="IH5" s="2"/>
      <c r="II5" s="2"/>
    </row>
    <row r="6" spans="2:259" s="4" customFormat="1" x14ac:dyDescent="0.2">
      <c r="B6" s="16"/>
      <c r="D6" s="6"/>
      <c r="E6" s="29"/>
      <c r="F6" s="29"/>
      <c r="G6" s="29"/>
      <c r="H6" s="29"/>
      <c r="I6" s="29"/>
      <c r="J6" s="29"/>
      <c r="N6" s="1"/>
      <c r="ID6" s="2"/>
      <c r="IE6" s="2"/>
      <c r="IF6" s="2"/>
      <c r="IG6" s="2"/>
      <c r="IH6" s="2"/>
      <c r="II6" s="2"/>
    </row>
    <row r="7" spans="2:259" s="4" customFormat="1" ht="15.75" x14ac:dyDescent="0.2">
      <c r="B7" s="788" t="s">
        <v>160</v>
      </c>
      <c r="C7" s="788"/>
      <c r="D7" s="788"/>
      <c r="E7" s="788"/>
      <c r="F7" s="55"/>
      <c r="G7" s="40" t="s">
        <v>4</v>
      </c>
      <c r="H7" s="41">
        <v>0.11</v>
      </c>
      <c r="I7" s="55"/>
      <c r="J7" s="55"/>
      <c r="N7" s="1"/>
      <c r="ID7" s="2"/>
      <c r="IE7" s="2"/>
      <c r="IF7" s="2"/>
      <c r="IG7" s="2"/>
      <c r="IH7" s="2"/>
      <c r="II7" s="2"/>
    </row>
    <row r="8" spans="2:259" ht="13.5" thickBot="1" x14ac:dyDescent="0.25"/>
    <row r="9" spans="2:259" ht="12.75" customHeight="1" x14ac:dyDescent="0.2">
      <c r="B9" s="933" t="s">
        <v>112</v>
      </c>
      <c r="C9" s="935" t="s">
        <v>73</v>
      </c>
      <c r="D9" s="937" t="s">
        <v>74</v>
      </c>
      <c r="E9" s="939" t="s">
        <v>3</v>
      </c>
      <c r="F9" s="931" t="s">
        <v>81</v>
      </c>
      <c r="G9" s="933" t="s">
        <v>261</v>
      </c>
      <c r="H9" s="949" t="s">
        <v>272</v>
      </c>
      <c r="I9" s="954" t="s">
        <v>257</v>
      </c>
      <c r="J9" s="956" t="s">
        <v>115</v>
      </c>
      <c r="K9" s="949" t="s">
        <v>270</v>
      </c>
      <c r="L9" s="951" t="s">
        <v>113</v>
      </c>
      <c r="O9" s="19"/>
      <c r="P9" s="19"/>
      <c r="Q9" s="19"/>
      <c r="R9" s="19"/>
      <c r="S9" s="19"/>
      <c r="T9" s="19"/>
    </row>
    <row r="10" spans="2:259" ht="30" customHeight="1" thickBot="1" x14ac:dyDescent="0.25">
      <c r="B10" s="934"/>
      <c r="C10" s="936"/>
      <c r="D10" s="938"/>
      <c r="E10" s="940"/>
      <c r="F10" s="932"/>
      <c r="G10" s="953"/>
      <c r="H10" s="950"/>
      <c r="I10" s="955"/>
      <c r="J10" s="957"/>
      <c r="K10" s="950"/>
      <c r="L10" s="952"/>
      <c r="M10"/>
      <c r="N10" s="35"/>
      <c r="O10" s="35"/>
      <c r="P10" s="14"/>
      <c r="Q10" s="14"/>
      <c r="R10" s="14"/>
      <c r="S10"/>
      <c r="T10" s="925"/>
      <c r="U10" s="925"/>
      <c r="V10" s="925"/>
      <c r="W10" s="925"/>
      <c r="X10"/>
    </row>
    <row r="11" spans="2:259" customFormat="1" x14ac:dyDescent="0.2">
      <c r="B11" s="926" t="str">
        <f>+'B) Reajuste Tarifas y Ocupación'!A12</f>
        <v>Jardín Infantil Pequeños Héroes</v>
      </c>
      <c r="C11" s="238" t="s">
        <v>130</v>
      </c>
      <c r="D11" s="205" t="s">
        <v>130</v>
      </c>
      <c r="E11" s="205" t="s">
        <v>328</v>
      </c>
      <c r="F11" s="239" t="s">
        <v>226</v>
      </c>
      <c r="G11" s="544">
        <f>25001047-154662</f>
        <v>24846385</v>
      </c>
      <c r="H11" s="438">
        <f>+G11*(1+$H$7)</f>
        <v>27579487.350000001</v>
      </c>
      <c r="I11" s="69">
        <v>165270</v>
      </c>
      <c r="J11" s="69">
        <v>159406</v>
      </c>
      <c r="K11" s="438">
        <f>SUM(H11:J11)</f>
        <v>27904163.350000001</v>
      </c>
      <c r="L11" s="928">
        <f>SUM(K11:K22)</f>
        <v>50136075.170000002</v>
      </c>
      <c r="N11" s="24"/>
      <c r="O11" s="24"/>
      <c r="P11" s="36"/>
      <c r="Q11" s="36"/>
      <c r="R11" s="36"/>
      <c r="S11" s="22"/>
      <c r="T11" s="21"/>
      <c r="U11" s="21"/>
      <c r="V11" s="21"/>
      <c r="W11" s="21"/>
      <c r="X11" s="23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</row>
    <row r="12" spans="2:259" customFormat="1" x14ac:dyDescent="0.2">
      <c r="B12" s="927"/>
      <c r="C12" s="240" t="s">
        <v>308</v>
      </c>
      <c r="D12" s="241" t="s">
        <v>309</v>
      </c>
      <c r="E12" s="241" t="s">
        <v>310</v>
      </c>
      <c r="F12" s="242" t="s">
        <v>226</v>
      </c>
      <c r="G12" s="545">
        <f>9722297-155416</f>
        <v>9566881</v>
      </c>
      <c r="H12" s="439">
        <f t="shared" ref="H12:H30" si="0">+G12*(1+$H$7)</f>
        <v>10619237.91</v>
      </c>
      <c r="I12" s="66">
        <v>330540</v>
      </c>
      <c r="J12" s="66">
        <v>166178</v>
      </c>
      <c r="K12" s="439">
        <f t="shared" ref="K12:K30" si="1">SUM(H12:J12)</f>
        <v>11115955.91</v>
      </c>
      <c r="L12" s="929"/>
      <c r="M12" s="20"/>
      <c r="N12" s="24"/>
      <c r="O12" s="24"/>
      <c r="P12" s="14"/>
      <c r="Q12" s="14"/>
      <c r="R12" s="14"/>
      <c r="S12" s="22"/>
      <c r="T12" s="21"/>
      <c r="U12" s="21"/>
      <c r="V12" s="21"/>
      <c r="W12" s="21"/>
      <c r="X12" s="23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</row>
    <row r="13" spans="2:259" customFormat="1" x14ac:dyDescent="0.2">
      <c r="B13" s="927"/>
      <c r="C13" s="732" t="s">
        <v>130</v>
      </c>
      <c r="D13" s="731" t="s">
        <v>130</v>
      </c>
      <c r="E13" s="731" t="s">
        <v>310</v>
      </c>
      <c r="F13" s="242" t="s">
        <v>226</v>
      </c>
      <c r="G13" s="545">
        <f>9722297-155416</f>
        <v>9566881</v>
      </c>
      <c r="H13" s="733">
        <f t="shared" si="0"/>
        <v>10619237.91</v>
      </c>
      <c r="I13" s="734">
        <v>330540</v>
      </c>
      <c r="J13" s="734">
        <v>166178</v>
      </c>
      <c r="K13" s="439">
        <f t="shared" si="1"/>
        <v>11115955.91</v>
      </c>
      <c r="L13" s="929"/>
      <c r="M13" s="564" t="s">
        <v>320</v>
      </c>
      <c r="N13" s="24"/>
      <c r="O13" s="24"/>
      <c r="P13" s="14"/>
      <c r="Q13" s="14"/>
      <c r="R13" s="14"/>
      <c r="S13" s="22"/>
      <c r="T13" s="21"/>
      <c r="U13" s="21"/>
      <c r="V13" s="21"/>
      <c r="W13" s="21"/>
      <c r="X13" s="23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</row>
    <row r="14" spans="2:259" customFormat="1" x14ac:dyDescent="0.2">
      <c r="B14" s="927"/>
      <c r="C14" s="240"/>
      <c r="D14" s="241"/>
      <c r="E14" s="241"/>
      <c r="F14" s="242"/>
      <c r="G14" s="545">
        <v>0</v>
      </c>
      <c r="H14" s="439">
        <f t="shared" si="0"/>
        <v>0</v>
      </c>
      <c r="I14" s="66">
        <v>0</v>
      </c>
      <c r="J14" s="66">
        <v>0</v>
      </c>
      <c r="K14" s="439">
        <f t="shared" si="1"/>
        <v>0</v>
      </c>
      <c r="L14" s="929"/>
      <c r="N14" s="24"/>
      <c r="O14" s="24"/>
      <c r="P14" s="14"/>
      <c r="Q14" s="14"/>
      <c r="R14" s="14"/>
      <c r="S14" s="22"/>
      <c r="T14" s="21"/>
      <c r="U14" s="21"/>
      <c r="V14" s="21"/>
      <c r="W14" s="21"/>
      <c r="X14" s="23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</row>
    <row r="15" spans="2:259" customFormat="1" x14ac:dyDescent="0.2">
      <c r="B15" s="927"/>
      <c r="C15" s="240" t="s">
        <v>323</v>
      </c>
      <c r="D15" s="241" t="s">
        <v>321</v>
      </c>
      <c r="E15" s="241" t="s">
        <v>322</v>
      </c>
      <c r="F15" s="242"/>
      <c r="G15" s="545">
        <v>0</v>
      </c>
      <c r="H15" s="439">
        <f t="shared" si="0"/>
        <v>0</v>
      </c>
      <c r="I15" s="66">
        <v>0</v>
      </c>
      <c r="J15" s="66">
        <v>0</v>
      </c>
      <c r="K15" s="439">
        <f t="shared" si="1"/>
        <v>0</v>
      </c>
      <c r="L15" s="929"/>
      <c r="N15" s="24"/>
      <c r="O15" s="24"/>
      <c r="P15" s="14"/>
      <c r="Q15" s="14"/>
      <c r="R15" s="14"/>
      <c r="S15" s="22"/>
      <c r="T15" s="21"/>
      <c r="U15" s="21"/>
      <c r="V15" s="21"/>
      <c r="W15" s="21"/>
      <c r="X15" s="23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</row>
    <row r="16" spans="2:259" customFormat="1" x14ac:dyDescent="0.2">
      <c r="B16" s="927"/>
      <c r="C16" s="732" t="s">
        <v>323</v>
      </c>
      <c r="D16" s="731" t="s">
        <v>324</v>
      </c>
      <c r="E16" s="731" t="s">
        <v>322</v>
      </c>
      <c r="F16" s="242" t="s">
        <v>303</v>
      </c>
      <c r="G16" s="545">
        <v>0</v>
      </c>
      <c r="H16" s="439">
        <f t="shared" si="0"/>
        <v>0</v>
      </c>
      <c r="I16" s="66">
        <v>0</v>
      </c>
      <c r="J16" s="66">
        <v>0</v>
      </c>
      <c r="K16" s="439">
        <f t="shared" si="1"/>
        <v>0</v>
      </c>
      <c r="L16" s="929"/>
      <c r="N16" s="24"/>
      <c r="O16" s="24"/>
      <c r="P16" s="14"/>
      <c r="Q16" s="14"/>
      <c r="R16" s="14"/>
      <c r="S16" s="22"/>
      <c r="T16" s="21"/>
      <c r="U16" s="21"/>
      <c r="V16" s="21"/>
      <c r="W16" s="21"/>
      <c r="X16" s="23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</row>
    <row r="17" spans="2:259" customFormat="1" x14ac:dyDescent="0.2">
      <c r="B17" s="927"/>
      <c r="C17" s="240" t="s">
        <v>325</v>
      </c>
      <c r="D17" s="241" t="s">
        <v>327</v>
      </c>
      <c r="E17" s="241" t="s">
        <v>322</v>
      </c>
      <c r="F17" s="242"/>
      <c r="G17" s="545">
        <v>0</v>
      </c>
      <c r="H17" s="439">
        <f t="shared" si="0"/>
        <v>0</v>
      </c>
      <c r="I17" s="66">
        <v>0</v>
      </c>
      <c r="J17" s="66">
        <v>0</v>
      </c>
      <c r="K17" s="439">
        <f t="shared" si="1"/>
        <v>0</v>
      </c>
      <c r="L17" s="929"/>
      <c r="N17" s="24"/>
      <c r="O17" s="24"/>
      <c r="P17" s="14"/>
      <c r="Q17" s="14"/>
      <c r="R17" s="14"/>
      <c r="S17" s="22"/>
      <c r="T17" s="21"/>
      <c r="U17" s="21"/>
      <c r="V17" s="21"/>
      <c r="W17" s="21"/>
      <c r="X17" s="2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</row>
    <row r="18" spans="2:259" customFormat="1" x14ac:dyDescent="0.2">
      <c r="B18" s="927"/>
      <c r="C18" s="732" t="s">
        <v>323</v>
      </c>
      <c r="D18" s="731" t="s">
        <v>326</v>
      </c>
      <c r="E18" s="731" t="s">
        <v>322</v>
      </c>
      <c r="F18" s="242" t="s">
        <v>329</v>
      </c>
      <c r="G18" s="545">
        <v>0</v>
      </c>
      <c r="H18" s="439">
        <f t="shared" si="0"/>
        <v>0</v>
      </c>
      <c r="I18" s="66">
        <v>0</v>
      </c>
      <c r="J18" s="66">
        <v>0</v>
      </c>
      <c r="K18" s="439">
        <f t="shared" si="1"/>
        <v>0</v>
      </c>
      <c r="L18" s="929"/>
      <c r="N18" s="24"/>
      <c r="O18" s="24"/>
      <c r="P18" s="14"/>
      <c r="Q18" s="14"/>
      <c r="R18" s="14"/>
      <c r="S18" s="22"/>
      <c r="T18" s="21"/>
      <c r="U18" s="21"/>
      <c r="V18" s="21"/>
      <c r="W18" s="21"/>
      <c r="X18" s="2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</row>
    <row r="19" spans="2:259" customFormat="1" x14ac:dyDescent="0.2">
      <c r="B19" s="927"/>
      <c r="C19" s="240"/>
      <c r="D19" s="241"/>
      <c r="E19" s="241"/>
      <c r="F19" s="242"/>
      <c r="G19" s="545">
        <v>0</v>
      </c>
      <c r="H19" s="439">
        <f t="shared" si="0"/>
        <v>0</v>
      </c>
      <c r="I19" s="66">
        <v>0</v>
      </c>
      <c r="J19" s="66">
        <v>0</v>
      </c>
      <c r="K19" s="439">
        <f t="shared" si="1"/>
        <v>0</v>
      </c>
      <c r="L19" s="929"/>
      <c r="N19" s="24"/>
      <c r="O19" s="24"/>
      <c r="P19" s="14"/>
      <c r="Q19" s="14"/>
      <c r="R19" s="14"/>
      <c r="S19" s="22"/>
      <c r="T19" s="21"/>
      <c r="U19" s="21"/>
      <c r="V19" s="21"/>
      <c r="W19" s="21"/>
      <c r="X19" s="2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</row>
    <row r="20" spans="2:259" customFormat="1" x14ac:dyDescent="0.2">
      <c r="B20" s="927"/>
      <c r="C20" s="240"/>
      <c r="D20" s="241"/>
      <c r="E20" s="241"/>
      <c r="F20" s="242"/>
      <c r="G20" s="545">
        <v>0</v>
      </c>
      <c r="H20" s="439">
        <f t="shared" si="0"/>
        <v>0</v>
      </c>
      <c r="I20" s="66">
        <v>0</v>
      </c>
      <c r="J20" s="66">
        <v>0</v>
      </c>
      <c r="K20" s="439">
        <f t="shared" si="1"/>
        <v>0</v>
      </c>
      <c r="L20" s="929"/>
      <c r="N20" s="24"/>
      <c r="O20" s="24"/>
      <c r="P20" s="14"/>
      <c r="Q20" s="14"/>
      <c r="R20" s="14"/>
      <c r="S20" s="22"/>
      <c r="T20" s="21"/>
      <c r="U20" s="21"/>
      <c r="V20" s="21"/>
      <c r="W20" s="21"/>
      <c r="X20" s="23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</row>
    <row r="21" spans="2:259" customFormat="1" x14ac:dyDescent="0.2">
      <c r="B21" s="927"/>
      <c r="C21" s="240"/>
      <c r="D21" s="241"/>
      <c r="E21" s="241"/>
      <c r="F21" s="242"/>
      <c r="G21" s="545">
        <v>0</v>
      </c>
      <c r="H21" s="439">
        <f t="shared" si="0"/>
        <v>0</v>
      </c>
      <c r="I21" s="66">
        <v>0</v>
      </c>
      <c r="J21" s="66">
        <v>0</v>
      </c>
      <c r="K21" s="439">
        <f t="shared" si="1"/>
        <v>0</v>
      </c>
      <c r="L21" s="929"/>
      <c r="N21" s="24"/>
      <c r="O21" s="24"/>
      <c r="P21" s="14"/>
      <c r="Q21" s="14"/>
      <c r="R21" s="14"/>
      <c r="S21" s="22"/>
      <c r="T21" s="21"/>
      <c r="U21" s="21"/>
      <c r="V21" s="21"/>
      <c r="W21" s="21"/>
      <c r="X21" s="23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</row>
    <row r="22" spans="2:259" customFormat="1" ht="13.5" thickBot="1" x14ac:dyDescent="0.25">
      <c r="B22" s="927"/>
      <c r="C22" s="74"/>
      <c r="D22" s="243"/>
      <c r="E22" s="243"/>
      <c r="F22" s="189"/>
      <c r="G22" s="436">
        <v>0</v>
      </c>
      <c r="H22" s="440">
        <f t="shared" si="0"/>
        <v>0</v>
      </c>
      <c r="I22" s="188">
        <v>0</v>
      </c>
      <c r="J22" s="188">
        <v>0</v>
      </c>
      <c r="K22" s="440">
        <f t="shared" si="1"/>
        <v>0</v>
      </c>
      <c r="L22" s="930"/>
      <c r="N22" s="24"/>
      <c r="O22" s="24"/>
      <c r="P22" s="14"/>
      <c r="Q22" s="14"/>
      <c r="R22" s="14"/>
      <c r="S22" s="22"/>
      <c r="T22" s="21"/>
      <c r="U22" s="21"/>
      <c r="V22" s="21"/>
      <c r="W22" s="21"/>
      <c r="X22" s="23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</row>
    <row r="23" spans="2:259" customFormat="1" ht="12.75" customHeight="1" x14ac:dyDescent="0.2">
      <c r="B23" s="941" t="str">
        <f>+'B) Reajuste Tarifas y Ocupación'!A15</f>
        <v>Sala Cuna Pequeños Héroes</v>
      </c>
      <c r="C23" s="244" t="s">
        <v>311</v>
      </c>
      <c r="D23" s="245" t="s">
        <v>312</v>
      </c>
      <c r="E23" s="245" t="s">
        <v>313</v>
      </c>
      <c r="F23" s="246" t="s">
        <v>259</v>
      </c>
      <c r="G23" s="544">
        <f>12842570-154662</f>
        <v>12687908</v>
      </c>
      <c r="H23" s="438">
        <f t="shared" si="0"/>
        <v>14083577.880000001</v>
      </c>
      <c r="I23" s="69">
        <v>165270</v>
      </c>
      <c r="J23" s="69">
        <v>162394</v>
      </c>
      <c r="K23" s="438">
        <f t="shared" si="1"/>
        <v>14411241.880000001</v>
      </c>
      <c r="L23" s="947">
        <f>SUM(K23:K30)</f>
        <v>14411241.880000001</v>
      </c>
      <c r="M23" s="564" t="s">
        <v>316</v>
      </c>
      <c r="N23" s="24"/>
      <c r="O23" s="24"/>
      <c r="P23" s="14"/>
      <c r="Q23" s="14"/>
      <c r="R23" s="14"/>
      <c r="S23" s="22"/>
      <c r="T23" s="21"/>
      <c r="U23" s="21"/>
      <c r="V23" s="21"/>
      <c r="W23" s="21"/>
      <c r="X23" s="23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</row>
    <row r="24" spans="2:259" customFormat="1" ht="12.75" customHeight="1" x14ac:dyDescent="0.2">
      <c r="B24" s="942"/>
      <c r="C24" s="240"/>
      <c r="D24" s="241"/>
      <c r="E24" s="241"/>
      <c r="F24" s="242"/>
      <c r="G24" s="435">
        <v>0</v>
      </c>
      <c r="H24" s="439">
        <f t="shared" si="0"/>
        <v>0</v>
      </c>
      <c r="I24" s="198">
        <v>0</v>
      </c>
      <c r="J24" s="198">
        <v>0</v>
      </c>
      <c r="K24" s="439">
        <f t="shared" si="1"/>
        <v>0</v>
      </c>
      <c r="L24" s="930"/>
      <c r="N24" s="24"/>
      <c r="O24" s="24"/>
      <c r="P24" s="14"/>
      <c r="Q24" s="14"/>
      <c r="R24" s="14"/>
      <c r="S24" s="22"/>
      <c r="T24" s="21"/>
      <c r="U24" s="21"/>
      <c r="V24" s="21"/>
      <c r="W24" s="21"/>
      <c r="X24" s="23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</row>
    <row r="25" spans="2:259" customFormat="1" ht="12.75" customHeight="1" x14ac:dyDescent="0.2">
      <c r="B25" s="942"/>
      <c r="C25" s="240"/>
      <c r="D25" s="241"/>
      <c r="E25" s="241"/>
      <c r="F25" s="242"/>
      <c r="G25" s="435">
        <v>0</v>
      </c>
      <c r="H25" s="439">
        <f t="shared" si="0"/>
        <v>0</v>
      </c>
      <c r="I25" s="198">
        <v>0</v>
      </c>
      <c r="J25" s="198">
        <v>0</v>
      </c>
      <c r="K25" s="439">
        <f t="shared" si="1"/>
        <v>0</v>
      </c>
      <c r="L25" s="930"/>
      <c r="N25" s="24"/>
      <c r="O25" s="24"/>
      <c r="P25" s="14"/>
      <c r="Q25" s="14"/>
      <c r="R25" s="14"/>
      <c r="S25" s="22"/>
      <c r="T25" s="21"/>
      <c r="U25" s="21"/>
      <c r="V25" s="21"/>
      <c r="W25" s="21"/>
      <c r="X25" s="23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</row>
    <row r="26" spans="2:259" customFormat="1" ht="12.75" customHeight="1" x14ac:dyDescent="0.2">
      <c r="B26" s="942"/>
      <c r="C26" s="240"/>
      <c r="D26" s="241"/>
      <c r="E26" s="241"/>
      <c r="F26" s="242"/>
      <c r="G26" s="435">
        <v>0</v>
      </c>
      <c r="H26" s="439">
        <f t="shared" si="0"/>
        <v>0</v>
      </c>
      <c r="I26" s="198">
        <v>0</v>
      </c>
      <c r="J26" s="198">
        <v>0</v>
      </c>
      <c r="K26" s="439">
        <f t="shared" si="1"/>
        <v>0</v>
      </c>
      <c r="L26" s="930"/>
      <c r="N26" s="24"/>
      <c r="O26" s="24"/>
      <c r="P26" s="14"/>
      <c r="Q26" s="14"/>
      <c r="R26" s="14"/>
      <c r="S26" s="22"/>
      <c r="T26" s="21"/>
      <c r="U26" s="21"/>
      <c r="V26" s="21"/>
      <c r="W26" s="21"/>
      <c r="X26" s="23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</row>
    <row r="27" spans="2:259" customFormat="1" ht="12.75" customHeight="1" x14ac:dyDescent="0.2">
      <c r="B27" s="942"/>
      <c r="C27" s="240"/>
      <c r="D27" s="241"/>
      <c r="E27" s="241"/>
      <c r="F27" s="242"/>
      <c r="G27" s="435">
        <v>0</v>
      </c>
      <c r="H27" s="439">
        <f t="shared" si="0"/>
        <v>0</v>
      </c>
      <c r="I27" s="198">
        <v>0</v>
      </c>
      <c r="J27" s="198">
        <v>0</v>
      </c>
      <c r="K27" s="439">
        <f t="shared" si="1"/>
        <v>0</v>
      </c>
      <c r="L27" s="930"/>
      <c r="N27" s="24"/>
      <c r="O27" s="24"/>
      <c r="P27" s="14"/>
      <c r="Q27" s="14"/>
      <c r="R27" s="14"/>
      <c r="S27" s="22"/>
      <c r="T27" s="21"/>
      <c r="U27" s="21"/>
      <c r="V27" s="21"/>
      <c r="W27" s="21"/>
      <c r="X27" s="23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</row>
    <row r="28" spans="2:259" customFormat="1" ht="12.75" customHeight="1" x14ac:dyDescent="0.2">
      <c r="B28" s="942"/>
      <c r="C28" s="240"/>
      <c r="D28" s="241"/>
      <c r="E28" s="241"/>
      <c r="F28" s="242"/>
      <c r="G28" s="435">
        <v>0</v>
      </c>
      <c r="H28" s="439">
        <f t="shared" si="0"/>
        <v>0</v>
      </c>
      <c r="I28" s="198">
        <v>0</v>
      </c>
      <c r="J28" s="198">
        <v>0</v>
      </c>
      <c r="K28" s="439">
        <f t="shared" si="1"/>
        <v>0</v>
      </c>
      <c r="L28" s="930"/>
      <c r="N28" s="24"/>
      <c r="O28" s="24"/>
      <c r="P28" s="14"/>
      <c r="Q28" s="14"/>
      <c r="R28" s="14"/>
      <c r="S28" s="22"/>
      <c r="T28" s="21"/>
      <c r="U28" s="21"/>
      <c r="V28" s="21"/>
      <c r="W28" s="21"/>
      <c r="X28" s="23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</row>
    <row r="29" spans="2:259" customFormat="1" ht="12.75" customHeight="1" x14ac:dyDescent="0.2">
      <c r="B29" s="942"/>
      <c r="C29" s="240"/>
      <c r="D29" s="241"/>
      <c r="E29" s="241"/>
      <c r="F29" s="242"/>
      <c r="G29" s="435">
        <v>0</v>
      </c>
      <c r="H29" s="439">
        <f t="shared" si="0"/>
        <v>0</v>
      </c>
      <c r="I29" s="198">
        <v>0</v>
      </c>
      <c r="J29" s="198">
        <v>0</v>
      </c>
      <c r="K29" s="439">
        <f t="shared" si="1"/>
        <v>0</v>
      </c>
      <c r="L29" s="930"/>
      <c r="N29" s="24"/>
      <c r="O29" s="24"/>
      <c r="P29" s="14"/>
      <c r="Q29" s="14"/>
      <c r="R29" s="14"/>
      <c r="S29" s="22"/>
      <c r="T29" s="21"/>
      <c r="U29" s="21"/>
      <c r="V29" s="21"/>
      <c r="W29" s="21"/>
      <c r="X29" s="23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</row>
    <row r="30" spans="2:259" customFormat="1" ht="13.5" customHeight="1" thickBot="1" x14ac:dyDescent="0.25">
      <c r="B30" s="943"/>
      <c r="C30" s="74"/>
      <c r="D30" s="243"/>
      <c r="E30" s="243"/>
      <c r="F30" s="189"/>
      <c r="G30" s="437">
        <v>0</v>
      </c>
      <c r="H30" s="441">
        <f t="shared" si="0"/>
        <v>0</v>
      </c>
      <c r="I30" s="199">
        <v>0</v>
      </c>
      <c r="J30" s="199">
        <v>0</v>
      </c>
      <c r="K30" s="441">
        <f t="shared" si="1"/>
        <v>0</v>
      </c>
      <c r="L30" s="948"/>
      <c r="N30" s="24"/>
      <c r="O30" s="24"/>
      <c r="P30" s="14"/>
      <c r="Q30" s="14"/>
      <c r="R30" s="14"/>
      <c r="S30" s="22"/>
      <c r="T30" s="21"/>
      <c r="U30" s="21"/>
      <c r="V30" s="21"/>
      <c r="W30" s="21"/>
      <c r="X30" s="23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</row>
    <row r="31" spans="2:259" customFormat="1" ht="12.75" customHeight="1" x14ac:dyDescent="0.2">
      <c r="B31" s="941" t="str">
        <f>+'B) Reajuste Tarifas y Ocupación'!A15</f>
        <v>Sala Cuna Pequeños Héroes</v>
      </c>
      <c r="C31" s="445"/>
      <c r="D31" s="446"/>
      <c r="E31" s="446"/>
      <c r="F31" s="447"/>
      <c r="G31" s="448"/>
      <c r="H31" s="442"/>
      <c r="I31" s="449"/>
      <c r="J31" s="449"/>
      <c r="K31" s="442"/>
      <c r="L31" s="944"/>
      <c r="N31" s="24"/>
      <c r="O31" s="24"/>
      <c r="P31" s="14"/>
      <c r="Q31" s="14"/>
      <c r="R31" s="14"/>
      <c r="S31" s="22"/>
      <c r="T31" s="21"/>
      <c r="U31" s="21"/>
      <c r="V31" s="21"/>
      <c r="W31" s="21"/>
      <c r="X31" s="23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</row>
    <row r="32" spans="2:259" customFormat="1" ht="12.75" customHeight="1" x14ac:dyDescent="0.2">
      <c r="B32" s="942"/>
      <c r="C32" s="450"/>
      <c r="D32" s="451"/>
      <c r="E32" s="451"/>
      <c r="F32" s="452"/>
      <c r="G32" s="453"/>
      <c r="H32" s="443"/>
      <c r="I32" s="454"/>
      <c r="J32" s="454"/>
      <c r="K32" s="443"/>
      <c r="L32" s="945"/>
      <c r="N32" s="24"/>
      <c r="O32" s="24"/>
      <c r="P32" s="14"/>
      <c r="Q32" s="14"/>
      <c r="R32" s="14"/>
      <c r="S32" s="22"/>
      <c r="T32" s="21"/>
      <c r="U32" s="21"/>
      <c r="V32" s="21"/>
      <c r="W32" s="21"/>
      <c r="X32" s="23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</row>
    <row r="33" spans="2:259" customFormat="1" ht="12.75" customHeight="1" x14ac:dyDescent="0.2">
      <c r="B33" s="942"/>
      <c r="C33" s="450"/>
      <c r="D33" s="451"/>
      <c r="E33" s="451"/>
      <c r="F33" s="452"/>
      <c r="G33" s="453"/>
      <c r="H33" s="443"/>
      <c r="I33" s="454"/>
      <c r="J33" s="454"/>
      <c r="K33" s="443"/>
      <c r="L33" s="945"/>
      <c r="N33" s="24"/>
      <c r="O33" s="24"/>
      <c r="P33" s="14"/>
      <c r="Q33" s="14"/>
      <c r="R33" s="14"/>
      <c r="S33" s="22"/>
      <c r="T33" s="21"/>
      <c r="U33" s="21"/>
      <c r="V33" s="21"/>
      <c r="W33" s="21"/>
      <c r="X33" s="23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</row>
    <row r="34" spans="2:259" customFormat="1" ht="12.75" customHeight="1" x14ac:dyDescent="0.2">
      <c r="B34" s="942"/>
      <c r="C34" s="450"/>
      <c r="D34" s="451"/>
      <c r="E34" s="451"/>
      <c r="F34" s="452"/>
      <c r="G34" s="453"/>
      <c r="H34" s="443"/>
      <c r="I34" s="454"/>
      <c r="J34" s="454"/>
      <c r="K34" s="443"/>
      <c r="L34" s="945"/>
      <c r="N34" s="24"/>
      <c r="O34" s="24"/>
      <c r="P34" s="14"/>
      <c r="Q34" s="14"/>
      <c r="R34" s="14"/>
      <c r="S34" s="22"/>
      <c r="T34" s="21"/>
      <c r="U34" s="21"/>
      <c r="V34" s="21"/>
      <c r="W34" s="21"/>
      <c r="X34" s="23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</row>
    <row r="35" spans="2:259" customFormat="1" ht="12.75" customHeight="1" x14ac:dyDescent="0.2">
      <c r="B35" s="942"/>
      <c r="C35" s="450"/>
      <c r="D35" s="451"/>
      <c r="E35" s="451"/>
      <c r="F35" s="452"/>
      <c r="G35" s="453"/>
      <c r="H35" s="443"/>
      <c r="I35" s="454"/>
      <c r="J35" s="454"/>
      <c r="K35" s="443"/>
      <c r="L35" s="945"/>
      <c r="N35" s="24"/>
      <c r="O35" s="24"/>
      <c r="P35" s="14"/>
      <c r="Q35" s="14"/>
      <c r="R35" s="14"/>
      <c r="S35" s="22"/>
      <c r="T35" s="21"/>
      <c r="U35" s="21"/>
      <c r="V35" s="21"/>
      <c r="W35" s="21"/>
      <c r="X35" s="23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</row>
    <row r="36" spans="2:259" customFormat="1" ht="12.75" customHeight="1" thickBot="1" x14ac:dyDescent="0.25">
      <c r="B36" s="943"/>
      <c r="C36" s="455"/>
      <c r="D36" s="456"/>
      <c r="E36" s="456"/>
      <c r="F36" s="457"/>
      <c r="G36" s="458"/>
      <c r="H36" s="444"/>
      <c r="I36" s="459"/>
      <c r="J36" s="459"/>
      <c r="K36" s="444"/>
      <c r="L36" s="946"/>
      <c r="N36" s="24"/>
      <c r="O36" s="24"/>
      <c r="P36" s="14"/>
      <c r="Q36" s="14"/>
      <c r="R36" s="14"/>
      <c r="S36" s="22"/>
      <c r="T36" s="21"/>
      <c r="U36" s="21"/>
      <c r="V36" s="21"/>
      <c r="W36" s="21"/>
      <c r="X36" s="23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</row>
    <row r="37" spans="2:259" ht="12.75" customHeight="1" thickBot="1" x14ac:dyDescent="0.25">
      <c r="B37" s="18"/>
      <c r="C37"/>
      <c r="D37"/>
      <c r="E37" s="30"/>
      <c r="F37" s="30"/>
      <c r="G37" s="30"/>
      <c r="H37" s="30"/>
      <c r="I37" s="30"/>
      <c r="J37" s="30"/>
      <c r="K37" s="303" t="s">
        <v>93</v>
      </c>
      <c r="L37" s="70">
        <f>SUM(L11:L36)</f>
        <v>64547317.050000004</v>
      </c>
      <c r="M37" s="19"/>
      <c r="N37" s="19"/>
      <c r="O37" s="19"/>
      <c r="P37" s="24"/>
      <c r="Q37" s="24"/>
      <c r="R37" s="24"/>
      <c r="S37" s="25"/>
      <c r="T37" s="25"/>
      <c r="U37" s="26"/>
      <c r="V37" s="26"/>
    </row>
    <row r="38" spans="2:259" ht="12.75" customHeight="1" x14ac:dyDescent="0.2">
      <c r="B38" s="18"/>
      <c r="C38"/>
      <c r="D38"/>
      <c r="E38" s="30"/>
      <c r="F38" s="30"/>
      <c r="G38" s="30"/>
      <c r="H38" s="30"/>
      <c r="I38" s="30"/>
      <c r="J38" s="30"/>
      <c r="K38" s="27"/>
      <c r="L38" s="27"/>
      <c r="M38" s="19"/>
      <c r="N38" s="19"/>
      <c r="O38" s="19"/>
      <c r="P38" s="24"/>
      <c r="Q38" s="24"/>
      <c r="R38" s="24"/>
      <c r="S38" s="25"/>
      <c r="T38" s="25"/>
      <c r="U38" s="26"/>
      <c r="V38" s="26"/>
    </row>
    <row r="39" spans="2:259" ht="12.75" customHeight="1" x14ac:dyDescent="0.2"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6"/>
      <c r="V39" s="26"/>
    </row>
    <row r="40" spans="2:259" ht="12.75" customHeight="1" x14ac:dyDescent="0.2">
      <c r="B40" s="18"/>
      <c r="C40" s="18"/>
      <c r="D40" s="18"/>
      <c r="E40" s="18"/>
      <c r="F40" s="18"/>
      <c r="G40" s="18"/>
      <c r="H40" s="18"/>
      <c r="I40" s="18"/>
      <c r="J40" s="18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6"/>
      <c r="V40" s="26"/>
    </row>
    <row r="41" spans="2:259" x14ac:dyDescent="0.2">
      <c r="B41" s="18"/>
      <c r="C41" s="18"/>
      <c r="D41" s="18"/>
      <c r="E41" s="18"/>
      <c r="F41" s="18"/>
      <c r="G41" s="18"/>
      <c r="H41" s="18"/>
      <c r="I41" s="18"/>
      <c r="J41" s="18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6"/>
      <c r="V41" s="26"/>
    </row>
    <row r="42" spans="2:259" x14ac:dyDescent="0.2">
      <c r="B42" s="18"/>
      <c r="C42" s="18"/>
      <c r="D42" s="18"/>
      <c r="E42" s="18"/>
      <c r="F42" s="18"/>
      <c r="G42" s="18"/>
      <c r="H42" s="18"/>
      <c r="I42" s="18"/>
      <c r="J42" s="18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6"/>
      <c r="V42" s="26"/>
    </row>
    <row r="43" spans="2:259" x14ac:dyDescent="0.2">
      <c r="B43" s="18"/>
      <c r="C43" s="18"/>
      <c r="D43" s="18"/>
      <c r="E43" s="18"/>
      <c r="F43" s="18"/>
      <c r="G43" s="18"/>
      <c r="H43" s="18"/>
      <c r="I43" s="18"/>
      <c r="J43" s="18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6"/>
      <c r="V43" s="26"/>
    </row>
    <row r="44" spans="2:259" x14ac:dyDescent="0.2">
      <c r="B44" s="18"/>
      <c r="C44" s="18"/>
      <c r="D44" s="18"/>
      <c r="E44" s="18"/>
      <c r="F44" s="18"/>
      <c r="G44" s="18"/>
      <c r="H44" s="18"/>
      <c r="I44" s="18"/>
      <c r="J44" s="18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6"/>
      <c r="V44" s="26"/>
    </row>
  </sheetData>
  <mergeCells count="19">
    <mergeCell ref="B31:B36"/>
    <mergeCell ref="L31:L36"/>
    <mergeCell ref="B23:B30"/>
    <mergeCell ref="L23:L30"/>
    <mergeCell ref="K9:K10"/>
    <mergeCell ref="L9:L10"/>
    <mergeCell ref="G9:G10"/>
    <mergeCell ref="I9:I10"/>
    <mergeCell ref="J9:J10"/>
    <mergeCell ref="H9:H10"/>
    <mergeCell ref="T10:W10"/>
    <mergeCell ref="B11:B22"/>
    <mergeCell ref="L11:L22"/>
    <mergeCell ref="F9:F10"/>
    <mergeCell ref="B7:E7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1"/>
  <sheetViews>
    <sheetView showGridLines="0" topLeftCell="A4" zoomScale="80" zoomScaleNormal="80" workbookViewId="0">
      <selection activeCell="N18" sqref="N18"/>
    </sheetView>
  </sheetViews>
  <sheetFormatPr baseColWidth="10" defaultColWidth="10.7109375" defaultRowHeight="12.75" x14ac:dyDescent="0.2"/>
  <cols>
    <col min="1" max="1" width="33" style="2" customWidth="1"/>
    <col min="2" max="2" width="33" style="2" bestFit="1" customWidth="1"/>
    <col min="3" max="12" width="14.7109375" style="2" customWidth="1"/>
    <col min="13" max="13" width="33.5703125" style="2" bestFit="1" customWidth="1"/>
    <col min="14" max="14" width="14.7109375" style="2" customWidth="1"/>
    <col min="15" max="15" width="33.5703125" style="2" bestFit="1" customWidth="1"/>
    <col min="16" max="16" width="14.7109375" style="2" customWidth="1"/>
    <col min="17" max="17" width="14.28515625" style="2" customWidth="1"/>
    <col min="18" max="16384" width="10.7109375" style="2"/>
  </cols>
  <sheetData>
    <row r="1" spans="1:19" x14ac:dyDescent="0.2">
      <c r="B1" s="29"/>
      <c r="C1" s="29"/>
      <c r="D1" s="29" t="s">
        <v>207</v>
      </c>
      <c r="E1" s="29"/>
      <c r="F1" s="29"/>
      <c r="G1" s="29"/>
      <c r="H1" s="29"/>
      <c r="I1" s="29"/>
      <c r="J1" s="29"/>
      <c r="K1" s="29"/>
      <c r="L1" s="29"/>
      <c r="M1" s="29"/>
      <c r="N1" s="29"/>
      <c r="P1" s="29"/>
    </row>
    <row r="2" spans="1:19" x14ac:dyDescent="0.2">
      <c r="B2" s="29"/>
      <c r="C2" s="29"/>
      <c r="D2" s="29" t="s">
        <v>199</v>
      </c>
      <c r="E2" s="29"/>
      <c r="F2" s="29"/>
      <c r="G2" s="29"/>
      <c r="H2" s="29"/>
      <c r="I2" s="29"/>
      <c r="J2" s="29"/>
      <c r="K2" s="29"/>
      <c r="L2" s="29"/>
      <c r="M2" s="29"/>
      <c r="N2" s="29"/>
      <c r="P2" s="29"/>
    </row>
    <row r="3" spans="1:19" x14ac:dyDescent="0.2">
      <c r="C3" s="4"/>
      <c r="D3" s="4"/>
      <c r="E3" s="4"/>
      <c r="F3" s="4"/>
      <c r="G3" s="4"/>
      <c r="H3" s="4"/>
      <c r="I3" s="4"/>
      <c r="J3" s="4"/>
      <c r="K3" s="4"/>
      <c r="L3" s="4"/>
      <c r="N3" s="4"/>
      <c r="P3" s="4"/>
    </row>
    <row r="4" spans="1:19" ht="18.75" customHeight="1" x14ac:dyDescent="0.2">
      <c r="C4" s="13" t="s">
        <v>0</v>
      </c>
      <c r="D4" s="963" t="str">
        <f>+'B) Reajuste Tarifas y Ocupación'!F5</f>
        <v>(DEPTO./DELEG.)</v>
      </c>
      <c r="E4" s="745"/>
      <c r="F4" s="964"/>
      <c r="G4" s="29"/>
      <c r="H4" s="29"/>
      <c r="I4" s="29"/>
      <c r="J4" s="29"/>
      <c r="K4" s="29"/>
      <c r="L4" s="29"/>
      <c r="N4" s="29"/>
      <c r="P4" s="29"/>
    </row>
    <row r="5" spans="1:19" x14ac:dyDescent="0.2">
      <c r="A5" s="6"/>
      <c r="B5" s="6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P5" s="29"/>
    </row>
    <row r="6" spans="1:19" x14ac:dyDescent="0.2">
      <c r="A6" s="6"/>
      <c r="B6" s="6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P6" s="29"/>
    </row>
    <row r="7" spans="1:19" ht="12.75" customHeight="1" x14ac:dyDescent="0.2">
      <c r="A7" s="977" t="s">
        <v>128</v>
      </c>
      <c r="B7" s="978"/>
      <c r="C7" s="978"/>
      <c r="D7" s="978"/>
      <c r="E7" s="978"/>
      <c r="F7" s="978"/>
      <c r="G7" s="978"/>
      <c r="H7" s="978"/>
      <c r="I7" s="978"/>
      <c r="J7" s="978"/>
      <c r="K7" s="978"/>
      <c r="L7" s="978"/>
      <c r="M7" s="978"/>
      <c r="N7" s="978"/>
      <c r="O7" s="979"/>
      <c r="P7" s="33"/>
    </row>
    <row r="8" spans="1:19" x14ac:dyDescent="0.2">
      <c r="A8" s="980"/>
      <c r="B8" s="981"/>
      <c r="C8" s="981"/>
      <c r="D8" s="981"/>
      <c r="E8" s="981"/>
      <c r="F8" s="981"/>
      <c r="G8" s="981"/>
      <c r="H8" s="981"/>
      <c r="I8" s="981"/>
      <c r="J8" s="981"/>
      <c r="K8" s="981"/>
      <c r="L8" s="981"/>
      <c r="M8" s="981"/>
      <c r="N8" s="981"/>
      <c r="O8" s="982"/>
      <c r="P8" s="33"/>
    </row>
    <row r="9" spans="1:19" x14ac:dyDescent="0.2">
      <c r="A9" s="983"/>
      <c r="B9" s="984"/>
      <c r="C9" s="984"/>
      <c r="D9" s="984"/>
      <c r="E9" s="984"/>
      <c r="F9" s="984"/>
      <c r="G9" s="984"/>
      <c r="H9" s="984"/>
      <c r="I9" s="984"/>
      <c r="J9" s="984"/>
      <c r="K9" s="984"/>
      <c r="L9" s="984"/>
      <c r="M9" s="984"/>
      <c r="N9" s="984"/>
      <c r="O9" s="985"/>
      <c r="P9" s="33"/>
    </row>
    <row r="10" spans="1:19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9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9" ht="15.75" x14ac:dyDescent="0.2">
      <c r="A12" s="763" t="s">
        <v>161</v>
      </c>
      <c r="B12" s="763"/>
      <c r="C12" s="763"/>
      <c r="D12" s="763"/>
      <c r="E12" s="56"/>
      <c r="F12" s="33"/>
      <c r="G12" s="33"/>
      <c r="H12" s="33"/>
      <c r="I12" s="32"/>
      <c r="J12" s="32"/>
      <c r="K12" s="33"/>
      <c r="L12" s="33"/>
      <c r="M12" s="33"/>
      <c r="N12" s="33"/>
      <c r="O12" s="33"/>
      <c r="P12" s="33"/>
    </row>
    <row r="13" spans="1:19" ht="13.5" thickBot="1" x14ac:dyDescent="0.25">
      <c r="A13" s="6"/>
      <c r="B13" s="6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P13" s="29"/>
    </row>
    <row r="14" spans="1:19" ht="20.25" customHeight="1" x14ac:dyDescent="0.2">
      <c r="A14" s="967" t="s">
        <v>134</v>
      </c>
      <c r="B14" s="969" t="s">
        <v>5</v>
      </c>
      <c r="C14" s="785" t="s">
        <v>266</v>
      </c>
      <c r="D14" s="786"/>
      <c r="E14" s="786"/>
      <c r="F14" s="786"/>
      <c r="G14" s="973"/>
      <c r="H14" s="974" t="s">
        <v>142</v>
      </c>
      <c r="I14" s="975"/>
      <c r="J14" s="975"/>
      <c r="K14" s="975"/>
      <c r="L14" s="976"/>
      <c r="M14" s="971" t="s">
        <v>108</v>
      </c>
      <c r="N14" s="972"/>
      <c r="O14" s="965" t="s">
        <v>109</v>
      </c>
      <c r="P14" s="966"/>
      <c r="Q14" s="961" t="s">
        <v>129</v>
      </c>
    </row>
    <row r="15" spans="1:19" ht="70.5" customHeight="1" thickBot="1" x14ac:dyDescent="0.25">
      <c r="A15" s="968"/>
      <c r="B15" s="970"/>
      <c r="C15" s="141" t="s">
        <v>85</v>
      </c>
      <c r="D15" s="142" t="s">
        <v>137</v>
      </c>
      <c r="E15" s="142" t="s">
        <v>138</v>
      </c>
      <c r="F15" s="142" t="s">
        <v>86</v>
      </c>
      <c r="G15" s="143" t="s">
        <v>87</v>
      </c>
      <c r="H15" s="144" t="s">
        <v>85</v>
      </c>
      <c r="I15" s="145" t="s">
        <v>137</v>
      </c>
      <c r="J15" s="145" t="s">
        <v>138</v>
      </c>
      <c r="K15" s="145" t="s">
        <v>86</v>
      </c>
      <c r="L15" s="146" t="s">
        <v>87</v>
      </c>
      <c r="M15" s="147" t="s">
        <v>72</v>
      </c>
      <c r="N15" s="68" t="s">
        <v>84</v>
      </c>
      <c r="O15" s="148" t="s">
        <v>72</v>
      </c>
      <c r="P15" s="68" t="s">
        <v>84</v>
      </c>
      <c r="Q15" s="962"/>
    </row>
    <row r="16" spans="1:19" ht="12.75" customHeight="1" x14ac:dyDescent="0.2">
      <c r="A16" s="958" t="str">
        <f>'B) Reajuste Tarifas y Ocupación'!A12</f>
        <v>Jardín Infantil Pequeños Héroes</v>
      </c>
      <c r="B16" s="149" t="str">
        <f>+'B) Reajuste Tarifas y Ocupación'!B12</f>
        <v>Media jornada</v>
      </c>
      <c r="C16" s="132">
        <f>+'B) Reajuste Tarifas y Ocupación'!M12</f>
        <v>108700</v>
      </c>
      <c r="D16" s="133">
        <f>+'B) Reajuste Tarifas y Ocupación'!N12</f>
        <v>146700</v>
      </c>
      <c r="E16" s="133">
        <f>+'B) Reajuste Tarifas y Ocupación'!O12</f>
        <v>152100</v>
      </c>
      <c r="F16" s="133">
        <f>+'B) Reajuste Tarifas y Ocupación'!P12</f>
        <v>186300</v>
      </c>
      <c r="G16" s="134">
        <f>+'B) Reajuste Tarifas y Ocupación'!Q12</f>
        <v>273700</v>
      </c>
      <c r="H16" s="152">
        <f t="shared" ref="H16:K17" si="0">IFERROR(C16/$Q16,0)</f>
        <v>0</v>
      </c>
      <c r="I16" s="58">
        <f t="shared" si="0"/>
        <v>0</v>
      </c>
      <c r="J16" s="58">
        <f t="shared" si="0"/>
        <v>0</v>
      </c>
      <c r="K16" s="58">
        <f t="shared" si="0"/>
        <v>0</v>
      </c>
      <c r="L16" s="59">
        <f t="shared" ref="L16" si="1">IFERROR(G16/$Q16,0)</f>
        <v>0</v>
      </c>
      <c r="M16" s="98" t="s">
        <v>304</v>
      </c>
      <c r="N16" s="71">
        <v>0</v>
      </c>
      <c r="O16" s="98" t="s">
        <v>127</v>
      </c>
      <c r="P16" s="71">
        <v>0</v>
      </c>
      <c r="Q16" s="154">
        <f>AVERAGE(N16,P16)</f>
        <v>0</v>
      </c>
      <c r="R16" s="14"/>
      <c r="S16" s="15"/>
    </row>
    <row r="17" spans="1:19" ht="12.75" customHeight="1" x14ac:dyDescent="0.2">
      <c r="A17" s="959"/>
      <c r="B17" s="150" t="str">
        <f>+'B) Reajuste Tarifas y Ocupación'!B13</f>
        <v>Media jornada Extendida</v>
      </c>
      <c r="C17" s="135">
        <f>+'B) Reajuste Tarifas y Ocupación'!M13</f>
        <v>155400</v>
      </c>
      <c r="D17" s="131">
        <f>+'B) Reajuste Tarifas y Ocupación'!N13</f>
        <v>209800</v>
      </c>
      <c r="E17" s="131">
        <f>+'B) Reajuste Tarifas y Ocupación'!O13</f>
        <v>217500</v>
      </c>
      <c r="F17" s="131">
        <f>+'B) Reajuste Tarifas y Ocupación'!P13</f>
        <v>253200</v>
      </c>
      <c r="G17" s="136">
        <f>+'B) Reajuste Tarifas y Ocupación'!Q13</f>
        <v>394700</v>
      </c>
      <c r="H17" s="61">
        <f t="shared" si="0"/>
        <v>1.1100000000000001</v>
      </c>
      <c r="I17" s="60">
        <f t="shared" si="0"/>
        <v>1.4985714285714287</v>
      </c>
      <c r="J17" s="60">
        <f t="shared" si="0"/>
        <v>1.5535714285714286</v>
      </c>
      <c r="K17" s="60">
        <f t="shared" si="0"/>
        <v>1.8085714285714285</v>
      </c>
      <c r="L17" s="153">
        <f t="shared" ref="L17" si="2">IFERROR(G17/$Q17,0)</f>
        <v>2.8192857142857144</v>
      </c>
      <c r="M17" s="72" t="s">
        <v>304</v>
      </c>
      <c r="N17" s="73">
        <v>0</v>
      </c>
      <c r="O17" s="72" t="s">
        <v>306</v>
      </c>
      <c r="P17" s="73">
        <v>280000</v>
      </c>
      <c r="Q17" s="155">
        <f>AVERAGE(N17,P17)</f>
        <v>140000</v>
      </c>
      <c r="R17" s="14"/>
      <c r="S17" s="15"/>
    </row>
    <row r="18" spans="1:19" ht="13.5" thickBot="1" x14ac:dyDescent="0.25">
      <c r="A18" s="960"/>
      <c r="B18" s="151" t="str">
        <f>+'B) Reajuste Tarifas y Ocupación'!B14</f>
        <v>Jornada Completa</v>
      </c>
      <c r="C18" s="467">
        <f>+'B) Reajuste Tarifas y Ocupación'!M14</f>
        <v>181200</v>
      </c>
      <c r="D18" s="468">
        <f>+'B) Reajuste Tarifas y Ocupación'!N14</f>
        <v>244500</v>
      </c>
      <c r="E18" s="468">
        <f>+'B) Reajuste Tarifas y Ocupación'!O14</f>
        <v>253600</v>
      </c>
      <c r="F18" s="468">
        <f>+'B) Reajuste Tarifas y Ocupación'!P14</f>
        <v>304600</v>
      </c>
      <c r="G18" s="469">
        <f>+'B) Reajuste Tarifas y Ocupación'!Q14</f>
        <v>483900</v>
      </c>
      <c r="H18" s="203">
        <f t="shared" ref="H18:H20" si="3">IFERROR(C18/$Q18,0)</f>
        <v>0.85694017498226527</v>
      </c>
      <c r="I18" s="204">
        <f t="shared" ref="I18:I20" si="4">IFERROR(D18/$Q18,0)</f>
        <v>1.156301726176401</v>
      </c>
      <c r="J18" s="204">
        <f t="shared" ref="J18:J20" si="5">IFERROR(E18/$Q18,0)</f>
        <v>1.1993379049420667</v>
      </c>
      <c r="K18" s="204">
        <f t="shared" ref="K18:K20" si="6">IFERROR(F18/$Q18,0)</f>
        <v>1.4405296760463466</v>
      </c>
      <c r="L18" s="206">
        <f t="shared" ref="L18:L20" si="7">IFERROR(G18/$Q18,0)</f>
        <v>2.2884842752423742</v>
      </c>
      <c r="M18" s="74" t="s">
        <v>304</v>
      </c>
      <c r="N18" s="75">
        <v>218900</v>
      </c>
      <c r="O18" s="74" t="s">
        <v>307</v>
      </c>
      <c r="P18" s="75">
        <v>204000</v>
      </c>
      <c r="Q18" s="156">
        <f t="shared" ref="Q18" si="8">AVERAGE(N18,P18)</f>
        <v>211450</v>
      </c>
      <c r="R18" s="14"/>
      <c r="S18" s="15"/>
    </row>
    <row r="19" spans="1:19" x14ac:dyDescent="0.2">
      <c r="A19" s="958" t="str">
        <f>'B) Reajuste Tarifas y Ocupación'!A15</f>
        <v>Sala Cuna Pequeños Héroes</v>
      </c>
      <c r="B19" s="461" t="str">
        <f>+'B) Reajuste Tarifas y Ocupación'!B15</f>
        <v>Diurna</v>
      </c>
      <c r="C19" s="412">
        <v>0</v>
      </c>
      <c r="D19" s="413">
        <f>+'B) Reajuste Tarifas y Ocupación'!N15</f>
        <v>537000</v>
      </c>
      <c r="E19" s="413">
        <f>+'B) Reajuste Tarifas y Ocupación'!O15</f>
        <v>556900</v>
      </c>
      <c r="F19" s="413">
        <f>+'B) Reajuste Tarifas y Ocupación'!P15</f>
        <v>497200</v>
      </c>
      <c r="G19" s="471">
        <f>+'B) Reajuste Tarifas y Ocupación'!Q15</f>
        <v>596600</v>
      </c>
      <c r="H19" s="464">
        <v>0</v>
      </c>
      <c r="I19" s="58">
        <f t="shared" si="4"/>
        <v>0</v>
      </c>
      <c r="J19" s="58">
        <f t="shared" si="5"/>
        <v>0</v>
      </c>
      <c r="K19" s="58">
        <f t="shared" si="6"/>
        <v>0</v>
      </c>
      <c r="L19" s="59">
        <f t="shared" si="7"/>
        <v>0</v>
      </c>
      <c r="M19" s="98" t="s">
        <v>225</v>
      </c>
      <c r="N19" s="71">
        <v>0</v>
      </c>
      <c r="O19" s="98" t="s">
        <v>225</v>
      </c>
      <c r="P19" s="71">
        <v>0</v>
      </c>
      <c r="Q19" s="154">
        <f>AVERAGE(N19,P19)</f>
        <v>0</v>
      </c>
    </row>
    <row r="20" spans="1:19" x14ac:dyDescent="0.2">
      <c r="A20" s="959"/>
      <c r="B20" s="462" t="str">
        <f>+'B) Reajuste Tarifas y Ocupación'!B16</f>
        <v>Nocturna</v>
      </c>
      <c r="C20" s="460"/>
      <c r="D20" s="470"/>
      <c r="E20" s="470"/>
      <c r="F20" s="470"/>
      <c r="G20" s="472"/>
      <c r="H20" s="465">
        <f t="shared" si="3"/>
        <v>0</v>
      </c>
      <c r="I20" s="60">
        <f t="shared" si="4"/>
        <v>0</v>
      </c>
      <c r="J20" s="60">
        <f t="shared" si="5"/>
        <v>0</v>
      </c>
      <c r="K20" s="60">
        <f t="shared" si="6"/>
        <v>0</v>
      </c>
      <c r="L20" s="153">
        <f t="shared" si="7"/>
        <v>0</v>
      </c>
      <c r="M20" s="72" t="s">
        <v>225</v>
      </c>
      <c r="N20" s="73">
        <v>0</v>
      </c>
      <c r="O20" s="72" t="s">
        <v>225</v>
      </c>
      <c r="P20" s="73">
        <v>0</v>
      </c>
      <c r="Q20" s="155">
        <f>AVERAGE(N20,P20)</f>
        <v>0</v>
      </c>
    </row>
    <row r="21" spans="1:19" ht="13.5" thickBot="1" x14ac:dyDescent="0.25">
      <c r="A21" s="960"/>
      <c r="B21" s="463" t="str">
        <f>+'B) Reajuste Tarifas y Ocupación'!B17</f>
        <v>Media Jornada</v>
      </c>
      <c r="C21" s="200">
        <f>+'B) Reajuste Tarifas y Ocupación'!M17</f>
        <v>238900</v>
      </c>
      <c r="D21" s="417">
        <f>+'B) Reajuste Tarifas y Ocupación'!N17</f>
        <v>322600</v>
      </c>
      <c r="E21" s="417">
        <f>+'B) Reajuste Tarifas y Ocupación'!O17</f>
        <v>334500</v>
      </c>
      <c r="F21" s="417">
        <f>+'B) Reajuste Tarifas y Ocupación'!P17</f>
        <v>358100</v>
      </c>
      <c r="G21" s="202">
        <f>+'B) Reajuste Tarifas y Ocupación'!Q17</f>
        <v>477400</v>
      </c>
      <c r="H21" s="466">
        <f t="shared" ref="H21" si="9">IFERROR(C21/$Q21,0)</f>
        <v>0.66046746941985857</v>
      </c>
      <c r="I21" s="204">
        <f t="shared" ref="I21" si="10">IFERROR(D21/$Q21,0)</f>
        <v>0.8918660763283649</v>
      </c>
      <c r="J21" s="204">
        <f t="shared" ref="J21" si="11">IFERROR(E21/$Q21,0)</f>
        <v>0.92476504194618114</v>
      </c>
      <c r="K21" s="204">
        <f t="shared" ref="K21" si="12">IFERROR(F21/$Q21,0)</f>
        <v>0.99001004938991766</v>
      </c>
      <c r="L21" s="206">
        <f t="shared" ref="L21" si="13">IFERROR(G21/$Q21,0)</f>
        <v>1.319829091255925</v>
      </c>
      <c r="M21" s="74" t="s">
        <v>305</v>
      </c>
      <c r="N21" s="75">
        <v>413427</v>
      </c>
      <c r="O21" s="74" t="s">
        <v>225</v>
      </c>
      <c r="P21" s="75">
        <v>310000</v>
      </c>
      <c r="Q21" s="156">
        <f t="shared" ref="Q21" si="14">AVERAGE(N21,P21)</f>
        <v>361713.5</v>
      </c>
    </row>
  </sheetData>
  <sheetProtection algorithmName="SHA-512" hashValue="pWtqumiMT+uPPHiiwxcwvOdcNptsLm/4cF1goe/JYr1HCBbcCQDwCfyXUX6ofg7mreApTvVfC1vxaVZY56T6bg==" saltValue="ZBNF7LgntNFwbQvvphJRQQ==" spinCount="100000" sheet="1" objects="1" scenarios="1"/>
  <mergeCells count="12">
    <mergeCell ref="A19:A21"/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13</vt:i4>
      </vt:variant>
    </vt:vector>
  </HeadingPairs>
  <TitlesOfParts>
    <vt:vector size="24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'D) Costos Indirectos'!Área_de_impresión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130 Carolina Vera</cp:lastModifiedBy>
  <cp:lastPrinted>2024-09-23T19:13:03Z</cp:lastPrinted>
  <dcterms:created xsi:type="dcterms:W3CDTF">2017-05-11T00:45:10Z</dcterms:created>
  <dcterms:modified xsi:type="dcterms:W3CDTF">2024-11-18T13:25:17Z</dcterms:modified>
</cp:coreProperties>
</file>