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G:\Documentos\2024\TARIFAS 2025\TARIFAS 2025 A. EDUCACIONAL\4. PROPUESTA DIREBIEN TARIFAS 2025 A. EDUCACIONAL APROBADAS - copia\"/>
    </mc:Choice>
  </mc:AlternateContent>
  <xr:revisionPtr revIDLastSave="0" documentId="13_ncr:1_{CA2DE071-7D1E-4B58-B012-BAB9E7EEFF0C}" xr6:coauthVersionLast="47" xr6:coauthVersionMax="47" xr10:uidLastSave="{00000000-0000-0000-0000-000000000000}"/>
  <bookViews>
    <workbookView xWindow="-120" yWindow="-120" windowWidth="29040" windowHeight="15840" tabRatio="929" firstSheet="2" activeTab="3" xr2:uid="{00000000-000D-0000-FFFF-FFFF00000000}"/>
  </bookViews>
  <sheets>
    <sheet name="Instrucciones" sheetId="19" r:id="rId1"/>
    <sheet name="Índice Tablas" sheetId="11" r:id="rId2"/>
    <sheet name="A) Resumen Ingresos y Egresos" sheetId="2" r:id="rId3"/>
    <sheet name="B) Reajuste Tarifas y Ocupación" sheetId="7" r:id="rId4"/>
    <sheet name="C) Costos Directos" sheetId="3" r:id="rId5"/>
    <sheet name="D) Costos Indirectos" sheetId="13" r:id="rId6"/>
    <sheet name="E) Resumen Tarifado " sheetId="5" r:id="rId7"/>
    <sheet name="F) Remuneraciones" sheetId="12" r:id="rId8"/>
    <sheet name="G) Comparación Mercado" sheetId="1" r:id="rId9"/>
    <sheet name="H) Detalle Datos" sheetId="9" r:id="rId10"/>
    <sheet name="I) Proyección Mensual." sheetId="16" r:id="rId11"/>
  </sheets>
  <externalReferences>
    <externalReference r:id="rId12"/>
  </externalReferences>
  <definedNames>
    <definedName name="__xlnm_Print_Area">'A) Resumen Ingresos y Egresos'!$A$1:$N$32</definedName>
    <definedName name="__xlnm_Print_Area_1">'C) Costos Directos'!$A$1:$H$38</definedName>
    <definedName name="__xlnm_Print_Area_2">'E) Resumen Tarifado '!$A$4:$G$13</definedName>
    <definedName name="__xlnm_Print_Titles">'A) Resumen Ingresos y Egresos'!$1:$19</definedName>
    <definedName name="__xlnm_Print_Titles_1">'C) Costos Directos'!$1:$11</definedName>
    <definedName name="__xlnm_Print_Titles_2">NA()</definedName>
    <definedName name="_xlnm.Print_Area" localSheetId="2">'A) Resumen Ingresos y Egresos'!$A$1:$N$32</definedName>
    <definedName name="_xlnm.Print_Area" localSheetId="4">'C) Costos Directos'!$A$1:$H$75</definedName>
    <definedName name="_xlnm.Print_Area" localSheetId="6">'E) Resumen Tarifado '!$A$4:$G$13</definedName>
    <definedName name="bienique1">'A) Resumen Ingresos y Egresos'!$A$8</definedName>
    <definedName name="Excel_BuiltIn_Print_Area" localSheetId="4">'C) Costos Directos'!$A$1:$H$38</definedName>
    <definedName name="Excel_BuiltIn_Print_Area_1_1">NA()</definedName>
    <definedName name="Excel_BuiltIn_Print_Area_4_1">NA()</definedName>
    <definedName name="Excel_BuiltIn_Print_Area_5_1">NA()</definedName>
    <definedName name="Excel_BuiltIn_Print_Titles_4">NA()</definedName>
    <definedName name="Excel_BuiltIn_Print_Titles_5">NA()</definedName>
    <definedName name="_xlnm.Print_Titles" localSheetId="2">'A) Resumen Ingresos y Egresos'!$1:$19</definedName>
    <definedName name="_xlnm.Print_Titles" localSheetId="4">'C) Costos Directos'!$1:$11</definedName>
  </definedNames>
  <calcPr calcId="181029"/>
</workbook>
</file>

<file path=xl/calcChain.xml><?xml version="1.0" encoding="utf-8"?>
<calcChain xmlns="http://schemas.openxmlformats.org/spreadsheetml/2006/main">
  <c r="K90" i="13" l="1"/>
  <c r="J90" i="13"/>
  <c r="K89" i="13"/>
  <c r="J89" i="13"/>
  <c r="K88" i="13"/>
  <c r="J88" i="13"/>
  <c r="K87" i="13"/>
  <c r="J87" i="13"/>
  <c r="K86" i="13"/>
  <c r="K82" i="13"/>
  <c r="J82" i="13"/>
  <c r="K81" i="13"/>
  <c r="J81" i="13"/>
  <c r="K80" i="13"/>
  <c r="J80" i="13"/>
  <c r="X79" i="13"/>
  <c r="X78" i="13" s="1"/>
  <c r="K79" i="13"/>
  <c r="J79" i="13"/>
  <c r="K78" i="13"/>
  <c r="X77" i="13"/>
  <c r="X70" i="13" s="1"/>
  <c r="X72" i="13"/>
  <c r="K71" i="13"/>
  <c r="J71" i="13"/>
  <c r="K70" i="13"/>
  <c r="J70" i="13"/>
  <c r="K69" i="13"/>
  <c r="J69" i="13"/>
  <c r="K68" i="13"/>
  <c r="J68" i="13"/>
  <c r="G67" i="13"/>
  <c r="K67" i="13" s="1"/>
  <c r="K72" i="13" s="1"/>
  <c r="X64" i="13"/>
  <c r="X60" i="13" s="1"/>
  <c r="S61" i="13"/>
  <c r="K61" i="13"/>
  <c r="P61" i="13" s="1"/>
  <c r="J61" i="13"/>
  <c r="S60" i="13"/>
  <c r="R60" i="13"/>
  <c r="P60" i="13"/>
  <c r="K60" i="13"/>
  <c r="N60" i="13" s="1"/>
  <c r="J60" i="13"/>
  <c r="S59" i="13"/>
  <c r="K59" i="13"/>
  <c r="R59" i="13" s="1"/>
  <c r="J59" i="13"/>
  <c r="S58" i="13"/>
  <c r="R58" i="13"/>
  <c r="P58" i="13"/>
  <c r="K58" i="13"/>
  <c r="N58" i="13" s="1"/>
  <c r="J58" i="13"/>
  <c r="S57" i="13"/>
  <c r="K57" i="13"/>
  <c r="R57" i="13" s="1"/>
  <c r="J57" i="13"/>
  <c r="S56" i="13"/>
  <c r="R56" i="13"/>
  <c r="P56" i="13"/>
  <c r="K56" i="13"/>
  <c r="N56" i="13" s="1"/>
  <c r="J56" i="13"/>
  <c r="S55" i="13"/>
  <c r="K55" i="13"/>
  <c r="R55" i="13" s="1"/>
  <c r="J55" i="13"/>
  <c r="S54" i="13"/>
  <c r="R54" i="13"/>
  <c r="P54" i="13"/>
  <c r="K54" i="13"/>
  <c r="N54" i="13" s="1"/>
  <c r="J54" i="13"/>
  <c r="S53" i="13"/>
  <c r="K53" i="13"/>
  <c r="R53" i="13" s="1"/>
  <c r="J53" i="13"/>
  <c r="S52" i="13"/>
  <c r="R52" i="13"/>
  <c r="P52" i="13"/>
  <c r="K52" i="13"/>
  <c r="N52" i="13" s="1"/>
  <c r="J52" i="13"/>
  <c r="S51" i="13"/>
  <c r="K51" i="13"/>
  <c r="R51" i="13" s="1"/>
  <c r="J51" i="13"/>
  <c r="S50" i="13"/>
  <c r="R50" i="13"/>
  <c r="P50" i="13"/>
  <c r="K50" i="13"/>
  <c r="N50" i="13" s="1"/>
  <c r="J50" i="13"/>
  <c r="X49" i="13"/>
  <c r="S49" i="13"/>
  <c r="K49" i="13"/>
  <c r="R49" i="13" s="1"/>
  <c r="J49" i="13"/>
  <c r="S48" i="13"/>
  <c r="K48" i="13"/>
  <c r="P48" i="13" s="1"/>
  <c r="J48" i="13"/>
  <c r="S47" i="13"/>
  <c r="K47" i="13"/>
  <c r="R47" i="13" s="1"/>
  <c r="J47" i="13"/>
  <c r="X46" i="13"/>
  <c r="S46" i="13"/>
  <c r="K46" i="13"/>
  <c r="R46" i="13" s="1"/>
  <c r="J46" i="13"/>
  <c r="S45" i="13"/>
  <c r="R45" i="13"/>
  <c r="P45" i="13"/>
  <c r="K45" i="13"/>
  <c r="N45" i="13" s="1"/>
  <c r="J45" i="13"/>
  <c r="S44" i="13"/>
  <c r="K44" i="13"/>
  <c r="R44" i="13" s="1"/>
  <c r="J44" i="13"/>
  <c r="S43" i="13"/>
  <c r="R43" i="13"/>
  <c r="P43" i="13"/>
  <c r="K43" i="13"/>
  <c r="N43" i="13" s="1"/>
  <c r="J43" i="13"/>
  <c r="S42" i="13"/>
  <c r="K42" i="13"/>
  <c r="R42" i="13" s="1"/>
  <c r="J42" i="13"/>
  <c r="X41" i="13"/>
  <c r="S41" i="13"/>
  <c r="R41" i="13"/>
  <c r="K41" i="13"/>
  <c r="P41" i="13" s="1"/>
  <c r="J41" i="13"/>
  <c r="S40" i="13"/>
  <c r="R40" i="13"/>
  <c r="K40" i="13"/>
  <c r="P40" i="13" s="1"/>
  <c r="J40" i="13"/>
  <c r="S39" i="13"/>
  <c r="K39" i="13"/>
  <c r="R39" i="13" s="1"/>
  <c r="J39" i="13"/>
  <c r="S38" i="13"/>
  <c r="K38" i="13"/>
  <c r="R38" i="13" s="1"/>
  <c r="J38" i="13"/>
  <c r="S37" i="13"/>
  <c r="K37" i="13"/>
  <c r="R37" i="13" s="1"/>
  <c r="J37" i="13"/>
  <c r="S36" i="13"/>
  <c r="R36" i="13"/>
  <c r="P36" i="13"/>
  <c r="N36" i="13"/>
  <c r="K36" i="13"/>
  <c r="J36" i="13"/>
  <c r="S35" i="13"/>
  <c r="K35" i="13"/>
  <c r="R35" i="13" s="1"/>
  <c r="J35" i="13"/>
  <c r="S34" i="13"/>
  <c r="R34" i="13"/>
  <c r="P34" i="13"/>
  <c r="K34" i="13"/>
  <c r="N34" i="13" s="1"/>
  <c r="J34" i="13"/>
  <c r="S33" i="13"/>
  <c r="K33" i="13"/>
  <c r="R33" i="13" s="1"/>
  <c r="J33" i="13"/>
  <c r="S32" i="13"/>
  <c r="K32" i="13"/>
  <c r="P32" i="13" s="1"/>
  <c r="J32" i="13"/>
  <c r="S31" i="13"/>
  <c r="K31" i="13"/>
  <c r="R31" i="13" s="1"/>
  <c r="J31" i="13"/>
  <c r="S30" i="13"/>
  <c r="K30" i="13"/>
  <c r="R30" i="13" s="1"/>
  <c r="J30" i="13"/>
  <c r="S29" i="13"/>
  <c r="K29" i="13"/>
  <c r="R29" i="13" s="1"/>
  <c r="J29" i="13"/>
  <c r="S28" i="13"/>
  <c r="R28" i="13"/>
  <c r="P28" i="13"/>
  <c r="N28" i="13"/>
  <c r="K28" i="13"/>
  <c r="J28" i="13"/>
  <c r="S27" i="13"/>
  <c r="K27" i="13"/>
  <c r="R27" i="13" s="1"/>
  <c r="J27" i="13"/>
  <c r="S26" i="13"/>
  <c r="R26" i="13"/>
  <c r="P26" i="13"/>
  <c r="K26" i="13"/>
  <c r="N26" i="13" s="1"/>
  <c r="J26" i="13"/>
  <c r="S25" i="13"/>
  <c r="K25" i="13"/>
  <c r="R25" i="13" s="1"/>
  <c r="G25" i="13"/>
  <c r="J25" i="13" s="1"/>
  <c r="S24" i="13"/>
  <c r="K24" i="13"/>
  <c r="P24" i="13" s="1"/>
  <c r="J24" i="13"/>
  <c r="S23" i="13"/>
  <c r="P23" i="13"/>
  <c r="N23" i="13"/>
  <c r="K23" i="13"/>
  <c r="R23" i="13" s="1"/>
  <c r="J23" i="13"/>
  <c r="S22" i="13"/>
  <c r="R22" i="13"/>
  <c r="K22" i="13"/>
  <c r="P22" i="13" s="1"/>
  <c r="J22" i="13"/>
  <c r="S21" i="13"/>
  <c r="P21" i="13"/>
  <c r="K21" i="13"/>
  <c r="R21" i="13" s="1"/>
  <c r="J21" i="13"/>
  <c r="X20" i="13"/>
  <c r="S20" i="13"/>
  <c r="K20" i="13"/>
  <c r="R20" i="13" s="1"/>
  <c r="J20" i="13"/>
  <c r="X19" i="13"/>
  <c r="X16" i="13" s="1"/>
  <c r="X15" i="13" s="1"/>
  <c r="S19" i="13"/>
  <c r="K19" i="13"/>
  <c r="P19" i="13" s="1"/>
  <c r="J19" i="13"/>
  <c r="S18" i="13"/>
  <c r="G18" i="13"/>
  <c r="K18" i="13" s="1"/>
  <c r="S17" i="13"/>
  <c r="K17" i="13"/>
  <c r="R17" i="13" s="1"/>
  <c r="G17" i="13"/>
  <c r="J17" i="13" s="1"/>
  <c r="S16" i="13"/>
  <c r="K16" i="13"/>
  <c r="R16" i="13" s="1"/>
  <c r="G16" i="13"/>
  <c r="J16" i="13" s="1"/>
  <c r="S15" i="13"/>
  <c r="K15" i="13"/>
  <c r="R15" i="13" s="1"/>
  <c r="G15" i="13"/>
  <c r="G62" i="13" s="1"/>
  <c r="N47" i="13" l="1"/>
  <c r="N38" i="13"/>
  <c r="P38" i="13"/>
  <c r="N40" i="13"/>
  <c r="P47" i="13"/>
  <c r="N49" i="13"/>
  <c r="R32" i="13"/>
  <c r="P49" i="13"/>
  <c r="K83" i="13"/>
  <c r="R24" i="13"/>
  <c r="N30" i="13"/>
  <c r="R19" i="13"/>
  <c r="P30" i="13"/>
  <c r="N32" i="13"/>
  <c r="R48" i="13"/>
  <c r="R61" i="13"/>
  <c r="J15" i="13"/>
  <c r="N21" i="13"/>
  <c r="K91" i="13"/>
  <c r="N18" i="13"/>
  <c r="R18" i="13"/>
  <c r="P18" i="13"/>
  <c r="K62" i="13"/>
  <c r="X40" i="13"/>
  <c r="X80" i="13" s="1"/>
  <c r="N17" i="13"/>
  <c r="N20" i="13"/>
  <c r="N25" i="13"/>
  <c r="N27" i="13"/>
  <c r="N29" i="13"/>
  <c r="N31" i="13"/>
  <c r="N33" i="13"/>
  <c r="N35" i="13"/>
  <c r="N37" i="13"/>
  <c r="N39" i="13"/>
  <c r="N42" i="13"/>
  <c r="N44" i="13"/>
  <c r="N46" i="13"/>
  <c r="N51" i="13"/>
  <c r="N53" i="13"/>
  <c r="N55" i="13"/>
  <c r="N57" i="13"/>
  <c r="N59" i="13"/>
  <c r="P16" i="13"/>
  <c r="P17" i="13"/>
  <c r="J18" i="13"/>
  <c r="N19" i="13"/>
  <c r="P20" i="13"/>
  <c r="N22" i="13"/>
  <c r="N24" i="13"/>
  <c r="P25" i="13"/>
  <c r="P27" i="13"/>
  <c r="P29" i="13"/>
  <c r="P31" i="13"/>
  <c r="P33" i="13"/>
  <c r="P35" i="13"/>
  <c r="P37" i="13"/>
  <c r="P39" i="13"/>
  <c r="N41" i="13"/>
  <c r="P42" i="13"/>
  <c r="P44" i="13"/>
  <c r="P46" i="13"/>
  <c r="N48" i="13"/>
  <c r="P51" i="13"/>
  <c r="P53" i="13"/>
  <c r="P55" i="13"/>
  <c r="P57" i="13"/>
  <c r="P59" i="13"/>
  <c r="N61" i="13"/>
  <c r="N16" i="13"/>
  <c r="N15" i="13"/>
  <c r="P15" i="13"/>
  <c r="C37" i="9"/>
  <c r="R62" i="13" l="1"/>
  <c r="Q62" i="13"/>
  <c r="AE15" i="13" s="1"/>
  <c r="AL15" i="13" s="1"/>
  <c r="AM15" i="13" s="1"/>
  <c r="AS15" i="13" s="1"/>
  <c r="AF15" i="13"/>
  <c r="P62" i="13"/>
  <c r="N62" i="13"/>
  <c r="D20" i="3"/>
  <c r="D85" i="3"/>
  <c r="E86" i="3"/>
  <c r="D86" i="3" s="1"/>
  <c r="E85" i="3"/>
  <c r="E20" i="3"/>
  <c r="M62" i="13" l="1"/>
  <c r="AA15" i="13" s="1"/>
  <c r="AH15" i="13" s="1"/>
  <c r="AI15" i="13" s="1"/>
  <c r="AB15" i="13"/>
  <c r="O62" i="13"/>
  <c r="AC15" i="13" s="1"/>
  <c r="AJ15" i="13" s="1"/>
  <c r="AK15" i="13" s="1"/>
  <c r="AD15" i="13"/>
  <c r="E19" i="3"/>
  <c r="D19" i="3" s="1"/>
  <c r="E74" i="3"/>
  <c r="E140" i="3"/>
  <c r="AO15" i="13" l="1"/>
  <c r="AQ15" i="13"/>
  <c r="G28" i="12"/>
  <c r="G26" i="12"/>
  <c r="G11" i="12" l="1"/>
  <c r="B17" i="1" l="1"/>
  <c r="Q17" i="1"/>
  <c r="B11" i="5"/>
  <c r="H11" i="5"/>
  <c r="I11" i="5"/>
  <c r="J11" i="5"/>
  <c r="K11" i="5"/>
  <c r="L11" i="5"/>
  <c r="R11" i="5"/>
  <c r="H28" i="7"/>
  <c r="I13" i="7"/>
  <c r="N13" i="7" s="1"/>
  <c r="D11" i="5" s="1"/>
  <c r="J13" i="7"/>
  <c r="O13" i="7" s="1"/>
  <c r="E17" i="1" s="1"/>
  <c r="J17" i="1" s="1"/>
  <c r="K13" i="7"/>
  <c r="P13" i="7" s="1"/>
  <c r="F17" i="1" s="1"/>
  <c r="L13" i="7"/>
  <c r="V11" i="5" s="1"/>
  <c r="M18" i="7"/>
  <c r="M16" i="7"/>
  <c r="M15" i="7"/>
  <c r="M14" i="7"/>
  <c r="M13" i="7"/>
  <c r="C11" i="5" s="1"/>
  <c r="M11" i="5" s="1"/>
  <c r="M12" i="7"/>
  <c r="Q13" i="7" l="1"/>
  <c r="M23" i="2" s="1"/>
  <c r="H23" i="2" s="1"/>
  <c r="U11" i="5"/>
  <c r="T11" i="5"/>
  <c r="L23" i="2"/>
  <c r="G23" i="2" s="1"/>
  <c r="K23" i="2"/>
  <c r="F23" i="2" s="1"/>
  <c r="C17" i="1"/>
  <c r="H17" i="1" s="1"/>
  <c r="I23" i="2"/>
  <c r="D23" i="2" s="1"/>
  <c r="D17" i="1"/>
  <c r="I17" i="1" s="1"/>
  <c r="J23" i="2"/>
  <c r="E23" i="2" s="1"/>
  <c r="F11" i="5"/>
  <c r="P11" i="5" s="1"/>
  <c r="S11" i="5"/>
  <c r="N11" i="5"/>
  <c r="E11" i="5"/>
  <c r="O11" i="5" s="1"/>
  <c r="K17" i="1"/>
  <c r="M24" i="2"/>
  <c r="L24" i="2"/>
  <c r="K24" i="2"/>
  <c r="J24" i="2"/>
  <c r="E24" i="2" s="1"/>
  <c r="I24" i="2"/>
  <c r="D24" i="2" s="1"/>
  <c r="G24" i="2"/>
  <c r="P25" i="2"/>
  <c r="B23" i="2"/>
  <c r="G17" i="1" l="1"/>
  <c r="L17" i="1" s="1"/>
  <c r="M25" i="2"/>
  <c r="G11" i="5"/>
  <c r="Q11" i="5" s="1"/>
  <c r="G25" i="2"/>
  <c r="L25" i="2"/>
  <c r="D25" i="2"/>
  <c r="E25" i="2"/>
  <c r="K25" i="2"/>
  <c r="I25" i="2"/>
  <c r="H24" i="2"/>
  <c r="H25" i="2" s="1"/>
  <c r="F24" i="2"/>
  <c r="F25" i="2" s="1"/>
  <c r="J25" i="2"/>
  <c r="N25" i="2" l="1"/>
  <c r="O25" i="2"/>
  <c r="Q25" i="2" l="1"/>
  <c r="L14" i="7" l="1"/>
  <c r="Q14" i="7" s="1"/>
  <c r="L15" i="7"/>
  <c r="Q15" i="7" s="1"/>
  <c r="L16" i="7"/>
  <c r="Q16" i="7" s="1"/>
  <c r="L18" i="7"/>
  <c r="R16" i="5"/>
  <c r="H16" i="5"/>
  <c r="L16" i="5"/>
  <c r="K16" i="5"/>
  <c r="J16" i="5"/>
  <c r="I16" i="5"/>
  <c r="J23" i="16"/>
  <c r="B23" i="16"/>
  <c r="J11" i="16"/>
  <c r="B11" i="16"/>
  <c r="C18" i="16"/>
  <c r="D18" i="16"/>
  <c r="E18" i="16"/>
  <c r="F18" i="16"/>
  <c r="G18" i="16"/>
  <c r="H18" i="16"/>
  <c r="I18" i="16"/>
  <c r="J18" i="16"/>
  <c r="K18" i="16"/>
  <c r="L18" i="16"/>
  <c r="M18" i="16"/>
  <c r="B18" i="16"/>
  <c r="C6" i="16"/>
  <c r="D6" i="16"/>
  <c r="E6" i="16"/>
  <c r="F6" i="16"/>
  <c r="G6" i="16"/>
  <c r="H6" i="16"/>
  <c r="I6" i="16"/>
  <c r="J6" i="16"/>
  <c r="K6" i="16"/>
  <c r="L6" i="16"/>
  <c r="M6" i="16"/>
  <c r="B6" i="16"/>
  <c r="H12" i="12"/>
  <c r="K12" i="12" s="1"/>
  <c r="H13" i="12"/>
  <c r="K13" i="12" s="1"/>
  <c r="H14" i="12"/>
  <c r="K14" i="12" s="1"/>
  <c r="H15" i="12"/>
  <c r="K15" i="12" s="1"/>
  <c r="H16" i="12"/>
  <c r="K16" i="12" s="1"/>
  <c r="H17" i="12"/>
  <c r="K17" i="12" s="1"/>
  <c r="H18" i="12"/>
  <c r="K18" i="12" s="1"/>
  <c r="H19" i="12"/>
  <c r="K19" i="12" s="1"/>
  <c r="H20" i="12"/>
  <c r="K20" i="12" s="1"/>
  <c r="H21" i="12"/>
  <c r="K21" i="12" s="1"/>
  <c r="H22" i="12"/>
  <c r="K22" i="12" s="1"/>
  <c r="H23" i="12"/>
  <c r="K23" i="12" s="1"/>
  <c r="H24" i="12"/>
  <c r="K24" i="12" s="1"/>
  <c r="H25" i="12"/>
  <c r="K25" i="12" s="1"/>
  <c r="H26" i="12"/>
  <c r="H27" i="12"/>
  <c r="K27" i="12" s="1"/>
  <c r="H28" i="12"/>
  <c r="K28" i="12" s="1"/>
  <c r="H29" i="12"/>
  <c r="H30" i="12"/>
  <c r="K30" i="12" s="1"/>
  <c r="H31" i="12"/>
  <c r="K31" i="12" s="1"/>
  <c r="H32" i="12"/>
  <c r="K32" i="12" s="1"/>
  <c r="H33" i="12"/>
  <c r="K33" i="12" s="1"/>
  <c r="H34" i="12"/>
  <c r="K34" i="12" s="1"/>
  <c r="H35" i="12"/>
  <c r="K35" i="12" s="1"/>
  <c r="H36" i="12"/>
  <c r="K36" i="12" s="1"/>
  <c r="H37" i="12"/>
  <c r="K37" i="12" s="1"/>
  <c r="H38" i="12"/>
  <c r="K38" i="12" s="1"/>
  <c r="H39" i="12"/>
  <c r="K39" i="12" s="1"/>
  <c r="H40" i="12"/>
  <c r="K40" i="12" s="1"/>
  <c r="H11" i="12"/>
  <c r="M23" i="16" l="1"/>
  <c r="M11" i="16"/>
  <c r="F22" i="16"/>
  <c r="D10" i="16"/>
  <c r="I22" i="16"/>
  <c r="K26" i="12"/>
  <c r="V16" i="5"/>
  <c r="Q18" i="7"/>
  <c r="K10" i="16"/>
  <c r="G10" i="16"/>
  <c r="C10" i="16"/>
  <c r="M22" i="16"/>
  <c r="E22" i="16"/>
  <c r="B10" i="16"/>
  <c r="J10" i="16"/>
  <c r="F10" i="16"/>
  <c r="L22" i="16"/>
  <c r="H22" i="16"/>
  <c r="D22" i="16"/>
  <c r="K11" i="12"/>
  <c r="L11" i="12" s="1"/>
  <c r="K29" i="12"/>
  <c r="M10" i="16"/>
  <c r="I10" i="16"/>
  <c r="E10" i="16"/>
  <c r="K22" i="16"/>
  <c r="G22" i="16"/>
  <c r="C22" i="16"/>
  <c r="L10" i="16"/>
  <c r="H10" i="16"/>
  <c r="B22" i="16"/>
  <c r="J22" i="16"/>
  <c r="J40" i="2" l="1"/>
  <c r="K40" i="2"/>
  <c r="F40" i="2" s="1"/>
  <c r="L40" i="2"/>
  <c r="G40" i="2" s="1"/>
  <c r="M40" i="2"/>
  <c r="H40" i="2" s="1"/>
  <c r="I40" i="2"/>
  <c r="P41" i="2"/>
  <c r="D41" i="2"/>
  <c r="M39" i="2"/>
  <c r="H39" i="2" s="1"/>
  <c r="L39" i="2"/>
  <c r="G39" i="2" s="1"/>
  <c r="K39" i="2"/>
  <c r="F39" i="2" s="1"/>
  <c r="J39" i="2"/>
  <c r="E39" i="2" s="1"/>
  <c r="I39" i="2"/>
  <c r="N23" i="16"/>
  <c r="G41" i="2" l="1"/>
  <c r="H41" i="2"/>
  <c r="F41" i="2"/>
  <c r="I41" i="2"/>
  <c r="J41" i="2"/>
  <c r="L41" i="2"/>
  <c r="E40" i="2"/>
  <c r="E41" i="2" s="1"/>
  <c r="N10" i="16"/>
  <c r="N22" i="16"/>
  <c r="M41" i="2"/>
  <c r="K41" i="2"/>
  <c r="N11" i="16"/>
  <c r="G16" i="5"/>
  <c r="Q16" i="5" s="1"/>
  <c r="C16" i="5"/>
  <c r="M16" i="5" s="1"/>
  <c r="N41" i="2" l="1"/>
  <c r="O41" i="2"/>
  <c r="Q41" i="2" l="1"/>
  <c r="A78" i="3"/>
  <c r="R14" i="5" l="1"/>
  <c r="V14" i="5"/>
  <c r="H14" i="5"/>
  <c r="J14" i="5" l="1"/>
  <c r="I14" i="5"/>
  <c r="I16" i="7"/>
  <c r="N16" i="7" s="1"/>
  <c r="J16" i="7"/>
  <c r="O16" i="7" s="1"/>
  <c r="K16" i="7"/>
  <c r="I18" i="7"/>
  <c r="J18" i="7"/>
  <c r="K18" i="7"/>
  <c r="T16" i="5" l="1"/>
  <c r="O18" i="7"/>
  <c r="E16" i="5" s="1"/>
  <c r="O16" i="5" s="1"/>
  <c r="U16" i="5"/>
  <c r="P18" i="7"/>
  <c r="F16" i="5" s="1"/>
  <c r="P16" i="5" s="1"/>
  <c r="S16" i="5"/>
  <c r="N18" i="7"/>
  <c r="D16" i="5" s="1"/>
  <c r="N16" i="5" s="1"/>
  <c r="U14" i="5"/>
  <c r="P16" i="7"/>
  <c r="T14" i="5"/>
  <c r="K14" i="5"/>
  <c r="S14" i="5"/>
  <c r="L14" i="5"/>
  <c r="I33" i="2"/>
  <c r="M33" i="2" l="1"/>
  <c r="L33" i="2"/>
  <c r="K33" i="2"/>
  <c r="J33" i="2"/>
  <c r="P43" i="3" l="1"/>
  <c r="D119" i="3" s="1"/>
  <c r="O43" i="3"/>
  <c r="D53" i="3" s="1"/>
  <c r="P61" i="3"/>
  <c r="D138" i="3" s="1"/>
  <c r="O61" i="3"/>
  <c r="D72" i="3" s="1"/>
  <c r="P60" i="3"/>
  <c r="D137" i="3" s="1"/>
  <c r="O60" i="3"/>
  <c r="D71" i="3" s="1"/>
  <c r="P59" i="3"/>
  <c r="D136" i="3" s="1"/>
  <c r="O59" i="3"/>
  <c r="D70" i="3" s="1"/>
  <c r="P58" i="3"/>
  <c r="D135" i="3" s="1"/>
  <c r="O58" i="3"/>
  <c r="D69" i="3" s="1"/>
  <c r="P57" i="3"/>
  <c r="D134" i="3" s="1"/>
  <c r="O57" i="3"/>
  <c r="D68" i="3" s="1"/>
  <c r="P56" i="3"/>
  <c r="D133" i="3" s="1"/>
  <c r="O56" i="3"/>
  <c r="D67" i="3" s="1"/>
  <c r="P55" i="3"/>
  <c r="D132" i="3" s="1"/>
  <c r="O55" i="3"/>
  <c r="D66" i="3" s="1"/>
  <c r="P53" i="3"/>
  <c r="D130" i="3" s="1"/>
  <c r="O53" i="3"/>
  <c r="D64" i="3" s="1"/>
  <c r="P52" i="3"/>
  <c r="D129" i="3" s="1"/>
  <c r="O52" i="3"/>
  <c r="D63" i="3" s="1"/>
  <c r="P51" i="3"/>
  <c r="D128" i="3" s="1"/>
  <c r="O51" i="3"/>
  <c r="D62" i="3" s="1"/>
  <c r="P50" i="3"/>
  <c r="D126" i="3" s="1"/>
  <c r="O50" i="3"/>
  <c r="D60" i="3" s="1"/>
  <c r="P49" i="3"/>
  <c r="D125" i="3" s="1"/>
  <c r="O49" i="3"/>
  <c r="D59" i="3" s="1"/>
  <c r="P48" i="3"/>
  <c r="D124" i="3" s="1"/>
  <c r="O48" i="3"/>
  <c r="D58" i="3" s="1"/>
  <c r="P47" i="3"/>
  <c r="D123" i="3" s="1"/>
  <c r="O47" i="3"/>
  <c r="D57" i="3" s="1"/>
  <c r="P45" i="3"/>
  <c r="D121" i="3" s="1"/>
  <c r="O45" i="3"/>
  <c r="D55" i="3" s="1"/>
  <c r="P44" i="3"/>
  <c r="D120" i="3" s="1"/>
  <c r="O44" i="3"/>
  <c r="D54" i="3" s="1"/>
  <c r="P42" i="3"/>
  <c r="D118" i="3" s="1"/>
  <c r="O42" i="3"/>
  <c r="D52" i="3" s="1"/>
  <c r="P41" i="3"/>
  <c r="D117" i="3" s="1"/>
  <c r="O41" i="3"/>
  <c r="D51" i="3" s="1"/>
  <c r="P40" i="3"/>
  <c r="D116" i="3" s="1"/>
  <c r="O40" i="3"/>
  <c r="D50" i="3" s="1"/>
  <c r="P39" i="3"/>
  <c r="D115" i="3" s="1"/>
  <c r="P38" i="3"/>
  <c r="D114" i="3" s="1"/>
  <c r="O38" i="3"/>
  <c r="D48" i="3" s="1"/>
  <c r="P36" i="3"/>
  <c r="D112" i="3" s="1"/>
  <c r="D111" i="3" s="1"/>
  <c r="O36" i="3"/>
  <c r="D46" i="3" s="1"/>
  <c r="P34" i="3"/>
  <c r="D110" i="3" s="1"/>
  <c r="O34" i="3"/>
  <c r="D44" i="3" s="1"/>
  <c r="P33" i="3"/>
  <c r="D109" i="3" s="1"/>
  <c r="D106" i="3" s="1"/>
  <c r="O33" i="3"/>
  <c r="D43" i="3" s="1"/>
  <c r="P30" i="3"/>
  <c r="D104" i="3" s="1"/>
  <c r="O30" i="3"/>
  <c r="D38" i="3" s="1"/>
  <c r="P29" i="3"/>
  <c r="D103" i="3" s="1"/>
  <c r="O29" i="3"/>
  <c r="D37" i="3" s="1"/>
  <c r="P28" i="3"/>
  <c r="D102" i="3" s="1"/>
  <c r="O28" i="3"/>
  <c r="D36" i="3" s="1"/>
  <c r="P27" i="3"/>
  <c r="D101" i="3" s="1"/>
  <c r="O27" i="3"/>
  <c r="D35" i="3" s="1"/>
  <c r="P26" i="3"/>
  <c r="D100" i="3" s="1"/>
  <c r="O26" i="3"/>
  <c r="D34" i="3" s="1"/>
  <c r="P25" i="3"/>
  <c r="D99" i="3" s="1"/>
  <c r="O25" i="3"/>
  <c r="D33" i="3" s="1"/>
  <c r="P24" i="3"/>
  <c r="D98" i="3" s="1"/>
  <c r="P23" i="3"/>
  <c r="D97" i="3" s="1"/>
  <c r="O23" i="3"/>
  <c r="D31" i="3" s="1"/>
  <c r="P22" i="3"/>
  <c r="D96" i="3" s="1"/>
  <c r="O22" i="3"/>
  <c r="D30" i="3" s="1"/>
  <c r="P21" i="3"/>
  <c r="D95" i="3" s="1"/>
  <c r="O21" i="3"/>
  <c r="D29" i="3" s="1"/>
  <c r="P20" i="3"/>
  <c r="D94" i="3" s="1"/>
  <c r="O20" i="3"/>
  <c r="D28" i="3" s="1"/>
  <c r="P19" i="3"/>
  <c r="D93" i="3" s="1"/>
  <c r="O19" i="3"/>
  <c r="D27" i="3" s="1"/>
  <c r="P18" i="3"/>
  <c r="D92" i="3" s="1"/>
  <c r="O18" i="3"/>
  <c r="D26" i="3" s="1"/>
  <c r="P17" i="3"/>
  <c r="D91" i="3" s="1"/>
  <c r="P16" i="3"/>
  <c r="D90" i="3" s="1"/>
  <c r="O16" i="3"/>
  <c r="D24" i="3" s="1"/>
  <c r="P15" i="3"/>
  <c r="D89" i="3" s="1"/>
  <c r="O15" i="3"/>
  <c r="D23" i="3" s="1"/>
  <c r="P14" i="3"/>
  <c r="D88" i="3" s="1"/>
  <c r="O14" i="3"/>
  <c r="D22" i="3" s="1"/>
  <c r="G140" i="3"/>
  <c r="G139" i="3" s="1"/>
  <c r="D139" i="3"/>
  <c r="G138" i="3"/>
  <c r="G137" i="3"/>
  <c r="G136" i="3"/>
  <c r="G135" i="3"/>
  <c r="G134" i="3"/>
  <c r="G133" i="3"/>
  <c r="G132" i="3"/>
  <c r="G130" i="3"/>
  <c r="G129" i="3"/>
  <c r="G128" i="3"/>
  <c r="G126" i="3"/>
  <c r="G125" i="3"/>
  <c r="G124" i="3"/>
  <c r="G123" i="3"/>
  <c r="G121" i="3"/>
  <c r="G120" i="3"/>
  <c r="G119" i="3"/>
  <c r="G118" i="3"/>
  <c r="G117" i="3"/>
  <c r="G116" i="3"/>
  <c r="G115" i="3"/>
  <c r="G114" i="3"/>
  <c r="G112" i="3"/>
  <c r="G111" i="3" s="1"/>
  <c r="G110" i="3"/>
  <c r="G109" i="3"/>
  <c r="G108" i="3"/>
  <c r="H108" i="3" s="1"/>
  <c r="G107" i="3"/>
  <c r="H107" i="3" s="1"/>
  <c r="G104" i="3"/>
  <c r="G103" i="3"/>
  <c r="G102" i="3"/>
  <c r="G101" i="3"/>
  <c r="G100" i="3"/>
  <c r="G99" i="3"/>
  <c r="G98" i="3"/>
  <c r="G97" i="3"/>
  <c r="G96" i="3"/>
  <c r="G95" i="3"/>
  <c r="G94" i="3"/>
  <c r="G93" i="3"/>
  <c r="G92" i="3"/>
  <c r="G91" i="3"/>
  <c r="G90" i="3"/>
  <c r="G89" i="3"/>
  <c r="G88" i="3"/>
  <c r="G87" i="3"/>
  <c r="H87" i="3" s="1"/>
  <c r="G86" i="3"/>
  <c r="H86" i="3" s="1"/>
  <c r="G85" i="3"/>
  <c r="H85" i="3" s="1"/>
  <c r="G83" i="3"/>
  <c r="H83" i="3" s="1"/>
  <c r="G82" i="3"/>
  <c r="G81" i="3"/>
  <c r="H81" i="3" s="1"/>
  <c r="G80" i="3"/>
  <c r="H110" i="3" l="1"/>
  <c r="H109" i="3"/>
  <c r="H89" i="3"/>
  <c r="H90" i="3"/>
  <c r="H100" i="3"/>
  <c r="H115" i="3"/>
  <c r="H133" i="3"/>
  <c r="H137" i="3"/>
  <c r="H135" i="3"/>
  <c r="D122" i="3"/>
  <c r="D131" i="3"/>
  <c r="H88" i="3"/>
  <c r="H104" i="3"/>
  <c r="H114" i="3"/>
  <c r="D113" i="3"/>
  <c r="H93" i="3"/>
  <c r="H97" i="3"/>
  <c r="H101" i="3"/>
  <c r="H124" i="3"/>
  <c r="H128" i="3"/>
  <c r="H94" i="3"/>
  <c r="H98" i="3"/>
  <c r="H120" i="3"/>
  <c r="H91" i="3"/>
  <c r="H95" i="3"/>
  <c r="H103" i="3"/>
  <c r="H117" i="3"/>
  <c r="H121" i="3"/>
  <c r="H126" i="3"/>
  <c r="H130" i="3"/>
  <c r="H138" i="3"/>
  <c r="H136" i="3"/>
  <c r="H134" i="3"/>
  <c r="H125" i="3"/>
  <c r="H129" i="3"/>
  <c r="H119" i="3"/>
  <c r="H116" i="3"/>
  <c r="H118" i="3"/>
  <c r="H102" i="3"/>
  <c r="H99" i="3"/>
  <c r="D84" i="3"/>
  <c r="H92" i="3"/>
  <c r="H96" i="3"/>
  <c r="G79" i="3"/>
  <c r="O39" i="3"/>
  <c r="D49" i="3" s="1"/>
  <c r="O24" i="3"/>
  <c r="D32" i="3" s="1"/>
  <c r="O17" i="3"/>
  <c r="D25" i="3" s="1"/>
  <c r="G113" i="3"/>
  <c r="G131" i="3"/>
  <c r="G106" i="3"/>
  <c r="H106" i="3"/>
  <c r="G84" i="3"/>
  <c r="H132" i="3"/>
  <c r="H112" i="3"/>
  <c r="H111" i="3" s="1"/>
  <c r="H123" i="3"/>
  <c r="H140" i="3"/>
  <c r="H139" i="3" s="1"/>
  <c r="D18" i="3" l="1"/>
  <c r="H131" i="3"/>
  <c r="H113" i="3"/>
  <c r="H84" i="3"/>
  <c r="G78" i="3"/>
  <c r="B26" i="12" l="1"/>
  <c r="E14" i="5"/>
  <c r="O14" i="5" s="1"/>
  <c r="G14" i="5"/>
  <c r="Q14" i="5" s="1"/>
  <c r="C14" i="5"/>
  <c r="M14" i="5" s="1"/>
  <c r="A14" i="5"/>
  <c r="B16" i="5"/>
  <c r="B15" i="5"/>
  <c r="B14" i="5"/>
  <c r="A33" i="2"/>
  <c r="A20" i="16" s="1"/>
  <c r="A10" i="2"/>
  <c r="J34" i="2"/>
  <c r="K34" i="2"/>
  <c r="F34" i="2" s="1"/>
  <c r="L34" i="2"/>
  <c r="G34" i="2" s="1"/>
  <c r="M34" i="2"/>
  <c r="H34" i="2" s="1"/>
  <c r="I34" i="2"/>
  <c r="I35" i="2" s="1"/>
  <c r="B39" i="2"/>
  <c r="P38" i="2"/>
  <c r="M38" i="2"/>
  <c r="J38" i="2"/>
  <c r="I38" i="2"/>
  <c r="E38" i="2"/>
  <c r="D38" i="2"/>
  <c r="L38" i="2"/>
  <c r="F38" i="2"/>
  <c r="H38" i="2"/>
  <c r="G38" i="2"/>
  <c r="B36" i="2"/>
  <c r="P35" i="2"/>
  <c r="D35" i="2"/>
  <c r="M35" i="2"/>
  <c r="G33" i="2"/>
  <c r="F33" i="2"/>
  <c r="E33" i="2"/>
  <c r="B33" i="2"/>
  <c r="B31" i="7"/>
  <c r="B32" i="7"/>
  <c r="B33" i="7"/>
  <c r="A31" i="7"/>
  <c r="H33" i="7"/>
  <c r="H31" i="7"/>
  <c r="F14" i="5"/>
  <c r="P14" i="5" s="1"/>
  <c r="D14" i="5"/>
  <c r="N14" i="5" s="1"/>
  <c r="I33" i="7" l="1"/>
  <c r="F127" i="3" s="1"/>
  <c r="G127" i="3" s="1"/>
  <c r="H33" i="2"/>
  <c r="H35" i="2" s="1"/>
  <c r="F35" i="2"/>
  <c r="G35" i="2"/>
  <c r="M42" i="2"/>
  <c r="I42" i="2"/>
  <c r="J35" i="2"/>
  <c r="L26" i="12"/>
  <c r="L35" i="2"/>
  <c r="E34" i="2"/>
  <c r="E35" i="2" s="1"/>
  <c r="D42" i="2"/>
  <c r="P42" i="2"/>
  <c r="D10" i="2" s="1"/>
  <c r="N38" i="2"/>
  <c r="K35" i="2"/>
  <c r="K38" i="2"/>
  <c r="O38" i="2" s="1"/>
  <c r="H127" i="3" l="1"/>
  <c r="H122" i="3" s="1"/>
  <c r="H105" i="3" s="1"/>
  <c r="G122" i="3"/>
  <c r="G105" i="3" s="1"/>
  <c r="G141" i="3" s="1"/>
  <c r="G17" i="16"/>
  <c r="K17" i="16"/>
  <c r="F17" i="16"/>
  <c r="H17" i="16"/>
  <c r="L17" i="16"/>
  <c r="E17" i="16"/>
  <c r="I17" i="16"/>
  <c r="M17" i="16"/>
  <c r="J17" i="16"/>
  <c r="D17" i="16"/>
  <c r="D80" i="3"/>
  <c r="L41" i="12"/>
  <c r="J42" i="2"/>
  <c r="G42" i="2"/>
  <c r="F42" i="2"/>
  <c r="H42" i="2"/>
  <c r="L42" i="2"/>
  <c r="O35" i="2"/>
  <c r="Q38" i="2"/>
  <c r="E42" i="2"/>
  <c r="N35" i="2"/>
  <c r="K42" i="2"/>
  <c r="H80" i="3" l="1"/>
  <c r="D82" i="3"/>
  <c r="H82" i="3" s="1"/>
  <c r="H79" i="3" s="1"/>
  <c r="H78" i="3" s="1"/>
  <c r="H141" i="3" s="1"/>
  <c r="K140" i="3"/>
  <c r="N42" i="2"/>
  <c r="O42" i="2"/>
  <c r="C10" i="2" s="1"/>
  <c r="Q35" i="2"/>
  <c r="Q42" i="2" s="1"/>
  <c r="D79" i="3" l="1"/>
  <c r="D78" i="3" s="1"/>
  <c r="D141" i="3" s="1"/>
  <c r="B10" i="2"/>
  <c r="E10" i="2" s="1"/>
  <c r="C21" i="16"/>
  <c r="G21" i="16"/>
  <c r="K21" i="16"/>
  <c r="D21" i="16"/>
  <c r="H21" i="16"/>
  <c r="L21" i="16"/>
  <c r="E21" i="16"/>
  <c r="I21" i="16"/>
  <c r="M21" i="16"/>
  <c r="F21" i="16"/>
  <c r="J21" i="16"/>
  <c r="B21" i="16"/>
  <c r="F10" i="2"/>
  <c r="D24" i="16"/>
  <c r="H24" i="16"/>
  <c r="L24" i="16"/>
  <c r="E24" i="16"/>
  <c r="I24" i="16"/>
  <c r="M24" i="16"/>
  <c r="F24" i="16"/>
  <c r="J24" i="16"/>
  <c r="B24" i="16"/>
  <c r="C24" i="16"/>
  <c r="G24" i="16"/>
  <c r="K24" i="16"/>
  <c r="N21" i="16" l="1"/>
  <c r="H13" i="5"/>
  <c r="I13" i="5"/>
  <c r="J13" i="5"/>
  <c r="K13" i="5"/>
  <c r="L13" i="5"/>
  <c r="R13" i="5"/>
  <c r="V13" i="5"/>
  <c r="K15" i="7"/>
  <c r="P15" i="7" s="1"/>
  <c r="J15" i="7"/>
  <c r="O15" i="7" s="1"/>
  <c r="I15" i="7"/>
  <c r="S13" i="5" l="1"/>
  <c r="N15" i="7"/>
  <c r="T13" i="5"/>
  <c r="U13" i="5"/>
  <c r="B26" i="2"/>
  <c r="J27" i="2" l="1"/>
  <c r="K27" i="2"/>
  <c r="L27" i="2"/>
  <c r="M27" i="2"/>
  <c r="I27" i="2"/>
  <c r="Q18" i="1"/>
  <c r="B18" i="1"/>
  <c r="R12" i="5"/>
  <c r="H12" i="5"/>
  <c r="I12" i="5"/>
  <c r="J12" i="5"/>
  <c r="K12" i="5"/>
  <c r="L12" i="5"/>
  <c r="B12" i="5"/>
  <c r="P26" i="2"/>
  <c r="H29" i="7"/>
  <c r="C12" i="5"/>
  <c r="M12" i="5" s="1"/>
  <c r="M26" i="2"/>
  <c r="K14" i="7"/>
  <c r="J14" i="7"/>
  <c r="I14" i="7"/>
  <c r="N14" i="7" s="1"/>
  <c r="O14" i="7" l="1"/>
  <c r="E18" i="1" s="1"/>
  <c r="J18" i="1" s="1"/>
  <c r="P14" i="7"/>
  <c r="F18" i="1" s="1"/>
  <c r="K18" i="1" s="1"/>
  <c r="J26" i="2"/>
  <c r="V12" i="5"/>
  <c r="T12" i="5"/>
  <c r="U12" i="5"/>
  <c r="S12" i="5"/>
  <c r="G18" i="1"/>
  <c r="L18" i="1" s="1"/>
  <c r="C18" i="1"/>
  <c r="H18" i="1" s="1"/>
  <c r="D12" i="5"/>
  <c r="N12" i="5" s="1"/>
  <c r="I26" i="2"/>
  <c r="G12" i="5"/>
  <c r="Q12" i="5" s="1"/>
  <c r="B29" i="7"/>
  <c r="B30" i="7"/>
  <c r="E12" i="5" l="1"/>
  <c r="O12" i="5" s="1"/>
  <c r="K26" i="2"/>
  <c r="K28" i="2" s="1"/>
  <c r="L26" i="2"/>
  <c r="L28" i="2" s="1"/>
  <c r="F12" i="5"/>
  <c r="P12" i="5" s="1"/>
  <c r="D18" i="1"/>
  <c r="I18" i="1" s="1"/>
  <c r="P28" i="2"/>
  <c r="M28" i="2"/>
  <c r="I28" i="2"/>
  <c r="E26" i="2"/>
  <c r="G27" i="2"/>
  <c r="E27" i="2"/>
  <c r="H26" i="2"/>
  <c r="D26" i="2"/>
  <c r="F26" i="2" l="1"/>
  <c r="E28" i="2"/>
  <c r="J28" i="2"/>
  <c r="G26" i="2"/>
  <c r="G28" i="2" s="1"/>
  <c r="F27" i="2"/>
  <c r="D27" i="2"/>
  <c r="D28" i="2" s="1"/>
  <c r="H27" i="2"/>
  <c r="H28" i="2" s="1"/>
  <c r="F28" i="2" l="1"/>
  <c r="N28" i="2" s="1"/>
  <c r="O28" i="2"/>
  <c r="Q28" i="2" l="1"/>
  <c r="G20" i="3"/>
  <c r="H20" i="3" s="1"/>
  <c r="G21" i="3"/>
  <c r="H21" i="3" s="1"/>
  <c r="I12" i="7" l="1"/>
  <c r="N12" i="7" s="1"/>
  <c r="Q16" i="1" l="1"/>
  <c r="R10" i="5"/>
  <c r="J10" i="5"/>
  <c r="K10" i="5"/>
  <c r="L10" i="5"/>
  <c r="I21" i="2" l="1"/>
  <c r="I20" i="2" l="1"/>
  <c r="C13" i="5" l="1"/>
  <c r="M13" i="5" s="1"/>
  <c r="C19" i="1"/>
  <c r="D16" i="1"/>
  <c r="I16" i="1" s="1"/>
  <c r="S10" i="5"/>
  <c r="L12" i="7"/>
  <c r="Q12" i="7" s="1"/>
  <c r="K12" i="7"/>
  <c r="P12" i="7" s="1"/>
  <c r="F16" i="1" l="1"/>
  <c r="K16" i="1" s="1"/>
  <c r="U10" i="5"/>
  <c r="G16" i="1"/>
  <c r="L16" i="1" s="1"/>
  <c r="V10" i="5"/>
  <c r="P20" i="2"/>
  <c r="E13" i="5" l="1"/>
  <c r="O13" i="5" s="1"/>
  <c r="E19" i="1"/>
  <c r="G13" i="5"/>
  <c r="Q13" i="5" s="1"/>
  <c r="G19" i="1"/>
  <c r="D13" i="5"/>
  <c r="N13" i="5" s="1"/>
  <c r="D19" i="1"/>
  <c r="F13" i="5"/>
  <c r="P13" i="5" s="1"/>
  <c r="F19" i="1"/>
  <c r="L20" i="2"/>
  <c r="P29" i="2"/>
  <c r="P31" i="2" s="1"/>
  <c r="P22" i="2" l="1"/>
  <c r="P32" i="2" l="1"/>
  <c r="B9" i="16" s="1"/>
  <c r="K30" i="2"/>
  <c r="F30" i="2" s="1"/>
  <c r="K21" i="2"/>
  <c r="F21" i="2" s="1"/>
  <c r="J12" i="7"/>
  <c r="O12" i="7" s="1"/>
  <c r="H27" i="7"/>
  <c r="P43" i="2" l="1"/>
  <c r="T10" i="5"/>
  <c r="K20" i="2"/>
  <c r="E16" i="1" l="1"/>
  <c r="J16" i="1" s="1"/>
  <c r="E10" i="5"/>
  <c r="O10" i="5" s="1"/>
  <c r="F20" i="2"/>
  <c r="F22" i="2" s="1"/>
  <c r="K22" i="2"/>
  <c r="K29" i="2" l="1"/>
  <c r="D9" i="2"/>
  <c r="D11" i="2" s="1"/>
  <c r="F29" i="2" l="1"/>
  <c r="F31" i="2" s="1"/>
  <c r="F32" i="2" s="1"/>
  <c r="K31" i="2"/>
  <c r="K32" i="2" s="1"/>
  <c r="E4" i="12"/>
  <c r="B11" i="12"/>
  <c r="F43" i="2" l="1"/>
  <c r="K43" i="2"/>
  <c r="D14" i="3"/>
  <c r="D16" i="3" s="1"/>
  <c r="C16" i="1" l="1"/>
  <c r="H16" i="1" s="1"/>
  <c r="J30" i="2" l="1"/>
  <c r="E30" i="2" s="1"/>
  <c r="L30" i="2"/>
  <c r="M30" i="2"/>
  <c r="I30" i="2"/>
  <c r="I29" i="2"/>
  <c r="D29" i="2" s="1"/>
  <c r="J21" i="2"/>
  <c r="E21" i="2" s="1"/>
  <c r="L21" i="2"/>
  <c r="G21" i="2" s="1"/>
  <c r="M21" i="2"/>
  <c r="D21" i="2"/>
  <c r="B29" i="2"/>
  <c r="B20" i="2"/>
  <c r="I10" i="5"/>
  <c r="H10" i="5"/>
  <c r="B13" i="5"/>
  <c r="G74" i="3"/>
  <c r="H74" i="3" s="1"/>
  <c r="G72" i="3"/>
  <c r="H72" i="3" s="1"/>
  <c r="G71" i="3"/>
  <c r="H71" i="3" s="1"/>
  <c r="G70" i="3"/>
  <c r="H70" i="3" s="1"/>
  <c r="G69" i="3"/>
  <c r="H69" i="3" s="1"/>
  <c r="G68" i="3"/>
  <c r="H68" i="3" s="1"/>
  <c r="G67" i="3"/>
  <c r="H67" i="3" s="1"/>
  <c r="G66" i="3"/>
  <c r="H66" i="3" s="1"/>
  <c r="G64" i="3"/>
  <c r="H64" i="3" s="1"/>
  <c r="G63" i="3"/>
  <c r="H63" i="3" s="1"/>
  <c r="G62" i="3"/>
  <c r="H62" i="3" s="1"/>
  <c r="G60" i="3"/>
  <c r="H60" i="3" s="1"/>
  <c r="G59" i="3"/>
  <c r="H59" i="3" s="1"/>
  <c r="G58" i="3"/>
  <c r="H58" i="3" s="1"/>
  <c r="G57" i="3"/>
  <c r="H57" i="3" s="1"/>
  <c r="G55" i="3"/>
  <c r="H55" i="3" s="1"/>
  <c r="G54" i="3"/>
  <c r="H54" i="3" s="1"/>
  <c r="G53" i="3"/>
  <c r="H53" i="3" s="1"/>
  <c r="G52" i="3"/>
  <c r="H52" i="3" s="1"/>
  <c r="G51" i="3"/>
  <c r="H51" i="3" s="1"/>
  <c r="G50" i="3"/>
  <c r="H50" i="3" s="1"/>
  <c r="G49" i="3"/>
  <c r="H49" i="3" s="1"/>
  <c r="G48" i="3"/>
  <c r="H48" i="3" s="1"/>
  <c r="B19" i="1"/>
  <c r="B16" i="1"/>
  <c r="M29" i="2"/>
  <c r="H29" i="2" s="1"/>
  <c r="H30" i="7"/>
  <c r="A27" i="7"/>
  <c r="B27" i="7"/>
  <c r="M20" i="2"/>
  <c r="H20" i="2" s="1"/>
  <c r="D20" i="2"/>
  <c r="A16" i="1"/>
  <c r="C8" i="2"/>
  <c r="B8" i="2"/>
  <c r="I30" i="7" l="1"/>
  <c r="F61" i="3" s="1"/>
  <c r="G61" i="3" s="1"/>
  <c r="H61" i="3" s="1"/>
  <c r="K5" i="16"/>
  <c r="H5" i="16"/>
  <c r="L5" i="16"/>
  <c r="D22" i="2"/>
  <c r="H21" i="2"/>
  <c r="M22" i="2"/>
  <c r="D30" i="2"/>
  <c r="I31" i="2"/>
  <c r="H30" i="2"/>
  <c r="M31" i="2"/>
  <c r="G30" i="2"/>
  <c r="I22" i="2"/>
  <c r="G20" i="2"/>
  <c r="L22" i="2"/>
  <c r="L29" i="2"/>
  <c r="L31" i="2" s="1"/>
  <c r="F10" i="5"/>
  <c r="P10" i="5" s="1"/>
  <c r="C10" i="5"/>
  <c r="M10" i="5" s="1"/>
  <c r="G10" i="5"/>
  <c r="Q10" i="5" s="1"/>
  <c r="G5" i="16" l="1"/>
  <c r="D5" i="16"/>
  <c r="I32" i="2"/>
  <c r="I43" i="2" s="1"/>
  <c r="J5" i="16"/>
  <c r="F5" i="16"/>
  <c r="M5" i="16"/>
  <c r="E5" i="16"/>
  <c r="I5" i="16"/>
  <c r="L32" i="2"/>
  <c r="L43" i="2" s="1"/>
  <c r="M32" i="2"/>
  <c r="M43" i="2" s="1"/>
  <c r="G29" i="2"/>
  <c r="J4" i="9" l="1"/>
  <c r="Q19" i="1" l="1"/>
  <c r="H19" i="1" l="1"/>
  <c r="I19" i="1"/>
  <c r="J19" i="1"/>
  <c r="K19" i="1"/>
  <c r="L19" i="1"/>
  <c r="G4" i="5"/>
  <c r="B10" i="5" l="1"/>
  <c r="A10" i="5"/>
  <c r="A20" i="2" l="1"/>
  <c r="A8" i="16" s="1"/>
  <c r="A9" i="2"/>
  <c r="A12" i="3"/>
  <c r="D65" i="3" l="1"/>
  <c r="G65" i="3"/>
  <c r="H65" i="3"/>
  <c r="G46" i="3" l="1"/>
  <c r="H46" i="3" s="1"/>
  <c r="H73" i="3" l="1"/>
  <c r="G73" i="3"/>
  <c r="D73" i="3"/>
  <c r="H56" i="3"/>
  <c r="G56" i="3"/>
  <c r="D56" i="3"/>
  <c r="H47" i="3"/>
  <c r="G47" i="3"/>
  <c r="D47" i="3"/>
  <c r="H45" i="3"/>
  <c r="G45" i="3"/>
  <c r="D45" i="3"/>
  <c r="D40" i="3" l="1"/>
  <c r="G43" i="3"/>
  <c r="H43" i="3" s="1"/>
  <c r="G44" i="3"/>
  <c r="H44" i="3" s="1"/>
  <c r="G42" i="3" l="1"/>
  <c r="H42" i="3" s="1"/>
  <c r="G41" i="3"/>
  <c r="G16" i="3"/>
  <c r="H16" i="3" s="1"/>
  <c r="G17" i="3"/>
  <c r="H17" i="3" s="1"/>
  <c r="G19" i="3"/>
  <c r="G22" i="3"/>
  <c r="H22" i="3" s="1"/>
  <c r="G23" i="3"/>
  <c r="H23" i="3" s="1"/>
  <c r="G24" i="3"/>
  <c r="H24" i="3" s="1"/>
  <c r="G25" i="3"/>
  <c r="H25" i="3" s="1"/>
  <c r="G26" i="3"/>
  <c r="H26" i="3" s="1"/>
  <c r="G27" i="3"/>
  <c r="H27" i="3" s="1"/>
  <c r="G28" i="3"/>
  <c r="G29" i="3"/>
  <c r="H29" i="3" s="1"/>
  <c r="G30" i="3"/>
  <c r="H30" i="3" s="1"/>
  <c r="G31" i="3"/>
  <c r="H31" i="3" s="1"/>
  <c r="G32" i="3"/>
  <c r="H32" i="3" s="1"/>
  <c r="G33" i="3"/>
  <c r="H33" i="3" s="1"/>
  <c r="G34" i="3"/>
  <c r="H34" i="3" s="1"/>
  <c r="G35" i="3"/>
  <c r="H35" i="3" s="1"/>
  <c r="G36" i="3"/>
  <c r="H36" i="3" s="1"/>
  <c r="G37" i="3"/>
  <c r="H37" i="3" s="1"/>
  <c r="G38" i="3"/>
  <c r="H38" i="3" s="1"/>
  <c r="H28" i="3" l="1"/>
  <c r="K74" i="3" s="1"/>
  <c r="G18" i="3"/>
  <c r="H41" i="3"/>
  <c r="H40" i="3" s="1"/>
  <c r="H39" i="3" s="1"/>
  <c r="G40" i="3"/>
  <c r="G39" i="3" s="1"/>
  <c r="H19" i="3"/>
  <c r="H18" i="3" l="1"/>
  <c r="G14" i="3"/>
  <c r="G15" i="3" l="1"/>
  <c r="A9" i="5"/>
  <c r="B9" i="5"/>
  <c r="H15" i="3" l="1"/>
  <c r="G13" i="3"/>
  <c r="G22" i="2"/>
  <c r="H22" i="2"/>
  <c r="G31" i="2"/>
  <c r="D31" i="2"/>
  <c r="D32" i="2" s="1"/>
  <c r="H31" i="2"/>
  <c r="H32" i="2" l="1"/>
  <c r="H43" i="2" s="1"/>
  <c r="G32" i="2"/>
  <c r="G43" i="2" s="1"/>
  <c r="G12" i="3"/>
  <c r="G75" i="3" s="1"/>
  <c r="D43" i="2"/>
  <c r="H14" i="3" l="1"/>
  <c r="H13" i="3" s="1"/>
  <c r="D13" i="3"/>
  <c r="H12" i="3" l="1"/>
  <c r="H75" i="3" s="1"/>
  <c r="D12" i="3"/>
  <c r="D75" i="3" s="1"/>
  <c r="D12" i="16" l="1"/>
  <c r="H12" i="16"/>
  <c r="L12" i="16"/>
  <c r="E12" i="16"/>
  <c r="I12" i="16"/>
  <c r="M12" i="16"/>
  <c r="F12" i="16"/>
  <c r="J12" i="16"/>
  <c r="B12" i="16"/>
  <c r="C12" i="16"/>
  <c r="G12" i="16"/>
  <c r="K12" i="16"/>
  <c r="K75" i="3"/>
  <c r="H142" i="3"/>
  <c r="K141" i="3" s="1"/>
  <c r="F9" i="2"/>
  <c r="F11" i="2" l="1"/>
  <c r="G10" i="2" s="1"/>
  <c r="J29" i="2"/>
  <c r="G9" i="2" l="1"/>
  <c r="H9" i="2" s="1"/>
  <c r="J31" i="2"/>
  <c r="E29" i="2"/>
  <c r="E31" i="2" s="1"/>
  <c r="G11" i="2" l="1"/>
  <c r="L9" i="2" s="1"/>
  <c r="H10" i="2"/>
  <c r="I10" i="2" s="1"/>
  <c r="N31" i="2"/>
  <c r="O31" i="2"/>
  <c r="L10" i="2" l="1"/>
  <c r="L11" i="2" s="1"/>
  <c r="H11" i="2"/>
  <c r="Q31" i="2"/>
  <c r="D10" i="5" l="1"/>
  <c r="N10" i="5" s="1"/>
  <c r="J20" i="2"/>
  <c r="J22" i="2" s="1"/>
  <c r="J32" i="2" s="1"/>
  <c r="J43" i="2" l="1"/>
  <c r="E20" i="2"/>
  <c r="E22" i="2" s="1"/>
  <c r="E32" i="2" s="1"/>
  <c r="O22" i="2"/>
  <c r="O32" i="2" s="1"/>
  <c r="E43" i="2" l="1"/>
  <c r="N22" i="2"/>
  <c r="N32" i="2" s="1"/>
  <c r="M9" i="16" l="1"/>
  <c r="G9" i="16"/>
  <c r="K9" i="16"/>
  <c r="H9" i="16"/>
  <c r="F9" i="16"/>
  <c r="J9" i="16"/>
  <c r="I9" i="16"/>
  <c r="E9" i="16"/>
  <c r="L9" i="16"/>
  <c r="Q22" i="2"/>
  <c r="O43" i="2"/>
  <c r="C9" i="2"/>
  <c r="C11" i="2" s="1"/>
  <c r="Q32" i="2" l="1"/>
  <c r="Q43" i="2" s="1"/>
  <c r="D9" i="16"/>
  <c r="C9" i="16"/>
  <c r="N43" i="2"/>
  <c r="B9" i="2"/>
  <c r="N9" i="16" l="1"/>
  <c r="E9" i="2"/>
  <c r="B11" i="2"/>
  <c r="E11" i="2" l="1"/>
  <c r="I9" i="2"/>
  <c r="I11" i="2" s="1"/>
  <c r="K25" i="16" l="1"/>
  <c r="G25" i="16"/>
  <c r="C25" i="16"/>
  <c r="J25" i="16"/>
  <c r="F25" i="16"/>
  <c r="M25" i="16"/>
  <c r="I25" i="16"/>
  <c r="E25" i="16"/>
  <c r="L25" i="16"/>
  <c r="H25" i="16"/>
  <c r="D25" i="16"/>
  <c r="N24" i="16" l="1"/>
  <c r="N25" i="16" s="1"/>
  <c r="B25" i="16"/>
  <c r="M13" i="16" l="1"/>
  <c r="I13" i="16"/>
  <c r="E13" i="16"/>
  <c r="L13" i="16"/>
  <c r="H13" i="16"/>
  <c r="D13" i="16"/>
  <c r="K13" i="16"/>
  <c r="G13" i="16"/>
  <c r="C13" i="16"/>
  <c r="J13" i="16"/>
  <c r="F13" i="16"/>
  <c r="N12" i="16" l="1"/>
  <c r="N13" i="16" s="1"/>
  <c r="B13" i="16"/>
</calcChain>
</file>

<file path=xl/sharedStrings.xml><?xml version="1.0" encoding="utf-8"?>
<sst xmlns="http://schemas.openxmlformats.org/spreadsheetml/2006/main" count="726" uniqueCount="342">
  <si>
    <t>REPARTICION:</t>
  </si>
  <si>
    <t xml:space="preserve">TOTAL </t>
  </si>
  <si>
    <t>Cálculo Ingreso</t>
  </si>
  <si>
    <t>Ocupación / Cargo</t>
  </si>
  <si>
    <t>Reajuste</t>
  </si>
  <si>
    <t>Prestación</t>
  </si>
  <si>
    <t>Total</t>
  </si>
  <si>
    <t>Meta Ocupación</t>
  </si>
  <si>
    <t>Total Prestaciones</t>
  </si>
  <si>
    <t>Ingreso anual</t>
  </si>
  <si>
    <t>Ingreso total anual</t>
  </si>
  <si>
    <t>COSTOS DE OPERACIÓN</t>
  </si>
  <si>
    <t>REMUNERACIONES DIRECTAS</t>
  </si>
  <si>
    <t>SUPLENCIAS Y REEMPLAZOS</t>
  </si>
  <si>
    <t>PERSONAL A TRATO Y TEMPORAL</t>
  </si>
  <si>
    <t>OTRAS REMUNERACIONES</t>
  </si>
  <si>
    <t>GASTO DE OPERACIÓN</t>
  </si>
  <si>
    <t>ALIMENTOS Y BEBIDAS</t>
  </si>
  <si>
    <t>TEXTILES Y ACABADOS TEXTILES</t>
  </si>
  <si>
    <t>COMBUSTIBLE LUBRIC P.VEHICULOS</t>
  </si>
  <si>
    <t>PARA CALEFACCION</t>
  </si>
  <si>
    <t>PRODUCTOS QUIMICOS</t>
  </si>
  <si>
    <t>MAT.P/MATEN.Y REPARACION</t>
  </si>
  <si>
    <t>EQUIPOS MENORES</t>
  </si>
  <si>
    <t>ELECTRICIDAD</t>
  </si>
  <si>
    <t>AGUA</t>
  </si>
  <si>
    <t>GAS</t>
  </si>
  <si>
    <t>TELEFONIA FIJA</t>
  </si>
  <si>
    <t>TELEFONIA CELULAR</t>
  </si>
  <si>
    <t>ACCESO A INTERNET</t>
  </si>
  <si>
    <t>SERVICIOS DE ASEO</t>
  </si>
  <si>
    <t>PASAJES, FLETES Y BODEGAJE</t>
  </si>
  <si>
    <t>SERVICIOS INFORMATICOS</t>
  </si>
  <si>
    <t>MAQUINAS Y EQUIPOS DE OFICINA</t>
  </si>
  <si>
    <t>GASTOS DE ADMINISTRACIÓN Y VENTAS</t>
  </si>
  <si>
    <t>GASTO EN PERSONAL</t>
  </si>
  <si>
    <t>% tiempo</t>
  </si>
  <si>
    <t>$ Costo</t>
  </si>
  <si>
    <t>VIATICOS PERSONAL COD.TRABAJO</t>
  </si>
  <si>
    <t>VESTUARIO ACC.Y PRENDAS DIVERS</t>
  </si>
  <si>
    <t>CALZADO</t>
  </si>
  <si>
    <t>CURSOS DE CAPACITACION</t>
  </si>
  <si>
    <t>CONSUMOS BÁSICOS</t>
  </si>
  <si>
    <t>ENLACES DE TELECOMUNICACIONES</t>
  </si>
  <si>
    <t>OTROS SERVICIOS BASICOS</t>
  </si>
  <si>
    <t>BIENES DE CONSUMO</t>
  </si>
  <si>
    <t>COMB.LUBR.DIRECTOS-INDIRECTOS</t>
  </si>
  <si>
    <t>MATERIALES DE OFICINA</t>
  </si>
  <si>
    <t>PROD.QUIMIC,FARMACEUTICOS IND.</t>
  </si>
  <si>
    <t>FERT.INSECT.FUNG.Y OTROS</t>
  </si>
  <si>
    <t>MAT.Y UTILES DE ASEO</t>
  </si>
  <si>
    <t>MENAJE OFICINA CASINO Y OTROS</t>
  </si>
  <si>
    <t>MOBILIARIO Y OTROS</t>
  </si>
  <si>
    <t>COSTO SERVICIO DESAYUNO</t>
  </si>
  <si>
    <t>COSTOS DE TEXT. VEST,O PRENDAS</t>
  </si>
  <si>
    <t>SERVICIOS GENERALES</t>
  </si>
  <si>
    <t>SERVICIO DE PUBLICIDAD</t>
  </si>
  <si>
    <t>SERVICIO DE IMPRESION</t>
  </si>
  <si>
    <t>SERVICIOS DE VIGILANCIA</t>
  </si>
  <si>
    <t>OTROS SERVICIOS GENERALES</t>
  </si>
  <si>
    <t>ARRIENDO DE TERRENOS</t>
  </si>
  <si>
    <t>ARRIENDO DE MOBILIARIO Y OTROS</t>
  </si>
  <si>
    <t>ARRIENDO DE MAQUINAS Y EQUIPOS</t>
  </si>
  <si>
    <t>OTROS ARRIENDOS</t>
  </si>
  <si>
    <t>SEGURO INMUEBLES</t>
  </si>
  <si>
    <t>MANTENCIÓN Y REPARACIÓN</t>
  </si>
  <si>
    <t>OTROS GASTOS</t>
  </si>
  <si>
    <t>Costo Unitario Promedio</t>
  </si>
  <si>
    <t>Cantidad</t>
  </si>
  <si>
    <t>ASISTENCIA RECREATIVA</t>
  </si>
  <si>
    <t>ASISTENCIA EDUCACIONAL</t>
  </si>
  <si>
    <t>ASISTENCIA COMERCIAL</t>
  </si>
  <si>
    <t>Institución</t>
  </si>
  <si>
    <t>Nombre</t>
  </si>
  <si>
    <t>Apellido</t>
  </si>
  <si>
    <t>DETALLE / OBSERVACIONES</t>
  </si>
  <si>
    <t>Número de Cuenta</t>
  </si>
  <si>
    <t>ítem de Gasto (según Plan de Cuenta Institucional)</t>
  </si>
  <si>
    <t>Costos Fijos</t>
  </si>
  <si>
    <t>Costos Variables</t>
  </si>
  <si>
    <t>Costos Directos</t>
  </si>
  <si>
    <t>Costos Indirectos</t>
  </si>
  <si>
    <t>Centro de Costo</t>
  </si>
  <si>
    <t>Ingresos Totales</t>
  </si>
  <si>
    <t>INSTRUCCIONES</t>
  </si>
  <si>
    <t>ÍNDICE DE TABLAS</t>
  </si>
  <si>
    <t>Mensualidad</t>
  </si>
  <si>
    <t>Personal Servicio Activo Armada y otras FFAA</t>
  </si>
  <si>
    <t>En retiro</t>
  </si>
  <si>
    <t>Casos Especiales</t>
  </si>
  <si>
    <t>Ingreso por Matrícula</t>
  </si>
  <si>
    <t>Ingreso por Mensualidad</t>
  </si>
  <si>
    <t>Departamento de Informática</t>
  </si>
  <si>
    <t>Departamento de RR.HH.</t>
  </si>
  <si>
    <t>Departamento de Finanzas y Abastecimiento</t>
  </si>
  <si>
    <t>TOTAL GENERAL</t>
  </si>
  <si>
    <t>REMUNERACIONES TOTALES CÓDIGO DEL TRABAJO</t>
  </si>
  <si>
    <t>OTROS MATERIALES DE USO CONSUMO</t>
  </si>
  <si>
    <t>OTROS GASTOS IMPREVISTOS</t>
  </si>
  <si>
    <t>GASTOS MENORES (FOFI)</t>
  </si>
  <si>
    <t>MANT.Y REPAR. MOBILIARIO Y OTROS</t>
  </si>
  <si>
    <t>MANT.Y REPAR. DE EQUIPOS OFICINA</t>
  </si>
  <si>
    <t>MANT.Y REPAR. OTRAS MAQ. Y EQUIP.</t>
  </si>
  <si>
    <t>MANT.Y REPAR. EQUIPOS INFORMATICOS</t>
  </si>
  <si>
    <t>OTROS MANTEN. Y REPAR. MENORES</t>
  </si>
  <si>
    <t>SERVICIO DE MANTENCION JARDINES</t>
  </si>
  <si>
    <t>COSTO DIRECTO TOTAL</t>
  </si>
  <si>
    <t>Total Anual</t>
  </si>
  <si>
    <t>Costos Totales</t>
  </si>
  <si>
    <t>Reajuste propuesto</t>
  </si>
  <si>
    <t>TOTAL GENERAL COSTOS DIRECTOS</t>
  </si>
  <si>
    <t>COMPARACIÓN 1</t>
  </si>
  <si>
    <t>COMPARACIÓN 2</t>
  </si>
  <si>
    <t>% Distribución Costo Indirecto</t>
  </si>
  <si>
    <t>Excedentes</t>
  </si>
  <si>
    <t>Centro de Beneficio</t>
  </si>
  <si>
    <t>Costo Total Remuneraciones por Centro de Beneficio</t>
  </si>
  <si>
    <t>Total Bonos anual</t>
  </si>
  <si>
    <t>Total Aguinaldos anual</t>
  </si>
  <si>
    <t>Unidades de Apoyo Administrativo</t>
  </si>
  <si>
    <t>Otros</t>
  </si>
  <si>
    <t>Asistencia Educacional</t>
  </si>
  <si>
    <t xml:space="preserve">En esta hoja deberá incorporar toda la información, tablas y cálculos complementarios que permitan explicar y justificar sus proyecciones de ingresos y egresos, de acuerdo a los datos incorporados en las hojas anteriores.
</t>
  </si>
  <si>
    <t>Reajuste en pesos ($)</t>
  </si>
  <si>
    <t>Reajuste en porcentaje (%)</t>
  </si>
  <si>
    <t>Ingreso por Escuela de Verano</t>
  </si>
  <si>
    <t>Media jornada</t>
  </si>
  <si>
    <r>
      <t xml:space="preserve">Con el objeto de medir comparativamente el bienestar otorgado al personal de la Armada, es necesario recabar antecedentes comparativos que permitan cuantificar las alternativas de precios que ofrece el mercado </t>
    </r>
    <r>
      <rPr>
        <b/>
        <u/>
        <sz val="10"/>
        <rFont val="Arial"/>
        <family val="2"/>
      </rPr>
      <t>dentro de la misma comuna en la que se encuentran los Jardines Infantiles (J.I.) y Salas Cunas (S.C.)</t>
    </r>
    <r>
      <rPr>
        <sz val="10"/>
        <rFont val="Arial"/>
        <family val="2"/>
      </rPr>
      <t xml:space="preserve"> de su Repartición. Este cuadro comparativo debe ser completado con, </t>
    </r>
    <r>
      <rPr>
        <b/>
        <u/>
        <sz val="10"/>
        <rFont val="Arial"/>
        <family val="2"/>
      </rPr>
      <t>A LO MENOS</t>
    </r>
    <r>
      <rPr>
        <sz val="10"/>
        <rFont val="Arial"/>
        <family val="2"/>
      </rPr>
      <t xml:space="preserve">, dos instituciones públicas o privadas </t>
    </r>
    <r>
      <rPr>
        <b/>
        <u/>
        <sz val="10"/>
        <rFont val="Arial"/>
        <family val="2"/>
      </rPr>
      <t>puedan considerarse como las principales competencias directas</t>
    </r>
    <r>
      <rPr>
        <sz val="10"/>
        <rFont val="Arial"/>
        <family val="2"/>
      </rPr>
      <t xml:space="preserve"> y que otorguen </t>
    </r>
    <r>
      <rPr>
        <b/>
        <u/>
        <sz val="10"/>
        <rFont val="Arial"/>
        <family val="2"/>
      </rPr>
      <t>prestaciones de calidad igual o similar</t>
    </r>
    <r>
      <rPr>
        <sz val="10"/>
        <rFont val="Arial"/>
        <family val="2"/>
      </rPr>
      <t xml:space="preserve"> a las brindadas por las instalaciones de este Departamento/Delegación.</t>
    </r>
  </si>
  <si>
    <t>Precio promedio mercado (ppm)</t>
  </si>
  <si>
    <t>SERVICIO DE SUSCRIPCION</t>
  </si>
  <si>
    <t>EQUIPOS COMPUTACIONALES</t>
  </si>
  <si>
    <t>Total Meta Ocupación</t>
  </si>
  <si>
    <t>Jardines Infantiles</t>
  </si>
  <si>
    <t>PDI</t>
  </si>
  <si>
    <t>GENDARMERIA</t>
  </si>
  <si>
    <t>ADMINISTRACIÓN CENTRAL</t>
  </si>
  <si>
    <t>COSTO  TOTAL</t>
  </si>
  <si>
    <t>% Respecto a Precio Promedio Mercado</t>
  </si>
  <si>
    <t>Tiempo Total</t>
  </si>
  <si>
    <t>$ Costo Total</t>
  </si>
  <si>
    <t>$Costo Total</t>
  </si>
  <si>
    <t>TABLA 1: RESUMEN DE INGRESOS Y EGRESOS DE CENTROS DE BENEFICIOS</t>
  </si>
  <si>
    <t>TABLA 2: DETALLE DE INGRESOS POR PRESTACIÓN Y SEGMENTO</t>
  </si>
  <si>
    <t>TABLA 3: REAJUSTE DE TARIFAS POR PRESTACIÓN Y SEGMENTO</t>
  </si>
  <si>
    <t>TABLA 4: METAS DE OCUPACIÓN POR PRESTACIÓN Y SEGMENTO</t>
  </si>
  <si>
    <t>Depto./ Del.</t>
  </si>
  <si>
    <t>TABLA 5: COSTOS DIRECTOS DE CENTROS DE BENEFICIOS</t>
  </si>
  <si>
    <t>TABLA 6: REMUNERACIONES DEL PERSONAL LEY 18.712 ADMINISTRACION CENTRAL Y APOYO ADMINISTRATIVO ASISTENCIA EDUCACIONAL</t>
  </si>
  <si>
    <t>TABLA 7: DISTRIBUCION COSTOS REMUNERACIONES ADMINISTRACION CENTRAL Y APOYO ADMINISTRATIVO A. EDUCACIONAL</t>
  </si>
  <si>
    <t>TABLA 8: COSTOS DE OPERACION ADMINISTRACIÓN CENTRAL Y  APOYO ADMINISTRATIVO ASISTENCIA EDUCACIONAL</t>
  </si>
  <si>
    <t>TABLA 9: RESUMEN DISTRIBUCION COSTOS REMUNERACIONES ADMINISTRACION CENTRAL Y APOYO ADMINISTRATIVO A. EDUCACIONAL</t>
  </si>
  <si>
    <t>TABLA 10: RESUMEN DISTRIBUCION COSTOS OPERACIÓN ADMINISTRACION CENTRAL  Y APOYO ADMINISTRATIVO A. EDUCACIONAL</t>
  </si>
  <si>
    <t>TABLA 11: FINANCIAMIENTO ADM. CENTRAL  Y APOYO ADMINISTRATIVO 
(REMUNERACIONES + COSTO OPERACIÓN)</t>
  </si>
  <si>
    <t>TABLA 12: RESUMEN DE TARIFADO</t>
  </si>
  <si>
    <t>TABLA 13: REMUNERACIONES DEL PERSONAL LEY 18.712 DE CENTROS DE BENEFICIOS</t>
  </si>
  <si>
    <t>TABLA 14: COMPARACIÓN TARIFAS CON PRECIOS DE MERCADO</t>
  </si>
  <si>
    <t>A) Resumen Ingresos y Egresos</t>
  </si>
  <si>
    <t>B) Reajuste Tarifas y Ocupación</t>
  </si>
  <si>
    <t>C) Costos Directos</t>
  </si>
  <si>
    <t>D) Costos Indirectos</t>
  </si>
  <si>
    <t>E) Resumen Tarifado</t>
  </si>
  <si>
    <t>F) Remuneraciones</t>
  </si>
  <si>
    <t>G) Comparación Mercado</t>
  </si>
  <si>
    <t>H) Detalle Datos</t>
  </si>
  <si>
    <t>SERVICIOS DE VIGILANCIA /SEGURIDAD</t>
  </si>
  <si>
    <t>SUPLENCIAS Y REEMPLAZOS (EC  oPAC)</t>
  </si>
  <si>
    <t xml:space="preserve"> INDEMNIZACIÓN CÓDIGO DEL TRABAJO</t>
  </si>
  <si>
    <t>OTRAS REMUNERACIONES (ALUMNOS EN PRACTICA)</t>
  </si>
  <si>
    <t>ALIMENTOS Y BEBIDAS (PERSONAL)</t>
  </si>
  <si>
    <t>ALIMENTOS Y BEBIDAS (NIÑOS)</t>
  </si>
  <si>
    <t>ALIMENTOS Y BEBIDAS (ALUMNOS EN PRÁCTICA)</t>
  </si>
  <si>
    <t>TEXTILES Y ACABADOS TEXTILES (CORTINAJE ROLLER, SACOS DE DORMIR, COBERTORES, ETC.)</t>
  </si>
  <si>
    <t>PARA CALEFACCION (CALDERAS, ESTUFAS, ETC)</t>
  </si>
  <si>
    <t>TEXTOS Y OTROS MAT.ENSEÑANZA</t>
  </si>
  <si>
    <t>EQUIPOS MENORES (EQUIPAMIENTO)</t>
  </si>
  <si>
    <t>SERVICIO DE SUSCRIPCION (MATERIAL DE APOYO)</t>
  </si>
  <si>
    <t>GASTOS MENORES (FOFI) DIRECTIVA DGFA N°02-DC/0201/22 FECHA ENERO 2009</t>
  </si>
  <si>
    <t>MAQUINAS Y EQUIPOS DE OFICINA (ADQUISICION)</t>
  </si>
  <si>
    <t>VESTUARIO ACC.Y PRENDAS DIVERSAS</t>
  </si>
  <si>
    <t>CALZADO E PERSONAL DE COCINA</t>
  </si>
  <si>
    <t>COM.DE SERVICIO EN EL PAIS (VIATICO - 2 REUNIONES ANUALES DIRECTORA)</t>
  </si>
  <si>
    <t>EQUIPOS COMPUTACIONALES (CAMARAS DE VIGILANCIA)</t>
  </si>
  <si>
    <t>OTROS SERVICIOS GENERALES (FUMIGACIÓN)</t>
  </si>
  <si>
    <t>OTROS ARRIENDOS (BUSES)</t>
  </si>
  <si>
    <t>SEGURO PARVULOS</t>
  </si>
  <si>
    <t>OTROS SERVICIOS GENERALES (LAVANDERIIA)</t>
  </si>
  <si>
    <t>MANT.Y REPAR. OTRAS MAQ. Y EQUIP. (COCINA)</t>
  </si>
  <si>
    <t>OTROS MANTEN. Y REPAR. MENORES (GASFITERIA Y ELECTRICIDAD)</t>
  </si>
  <si>
    <t>A) RESUMEN DE INGRESOS Y EGRESOS</t>
  </si>
  <si>
    <t>B) REAJUSTE DE TARIFAS Y METAS DE OCUPACIÓN POR CENTRO DE BENEFICIO</t>
  </si>
  <si>
    <t>D) COSTOS INDIRECTOS ASISTENCIA EDUCACIONAL</t>
  </si>
  <si>
    <t>E) RESUMEN DE TARIFADO</t>
  </si>
  <si>
    <t>F) REMUNERACIONES DEL PERSONAL CÓDIGO DEL TRABAJO</t>
  </si>
  <si>
    <t>G) COMPARACIÓN TARIFAS CON PRECIOS DE MERCADO</t>
  </si>
  <si>
    <t>H) DETALLE DE DATOS COMPLEMENTARIOS</t>
  </si>
  <si>
    <t>ANEXO A</t>
  </si>
  <si>
    <t>ANEXO B</t>
  </si>
  <si>
    <t>ANEXO C</t>
  </si>
  <si>
    <t>ANEXO D</t>
  </si>
  <si>
    <t>ANEXO E</t>
  </si>
  <si>
    <t>ANEXO F</t>
  </si>
  <si>
    <t>ANEXO G</t>
  </si>
  <si>
    <t>Jardín Infantil Mar y Cielo</t>
  </si>
  <si>
    <t xml:space="preserve">Doble jornada </t>
  </si>
  <si>
    <t>Jornada completa</t>
  </si>
  <si>
    <t>C) ESTIMACION DE COSTOS DIRECTOS</t>
  </si>
  <si>
    <t>OTROS MANTEN. Y REP.MENORES</t>
  </si>
  <si>
    <t>PROD.QUIMIC,FARMACEUTICOS IND. (BOTIQUIN)</t>
  </si>
  <si>
    <t>PRODUCTOS QUIMICOS (EXTINTOR)</t>
  </si>
  <si>
    <t>CUOTA DE PADRES</t>
  </si>
  <si>
    <t>AFL</t>
  </si>
  <si>
    <t>PAF</t>
  </si>
  <si>
    <t>TECNICO EN PARV</t>
  </si>
  <si>
    <t>TOTAL</t>
  </si>
  <si>
    <t>Diurna</t>
  </si>
  <si>
    <t>Nocturna</t>
  </si>
  <si>
    <t>Media Jornada</t>
  </si>
  <si>
    <t>JI (80%)</t>
  </si>
  <si>
    <t>SC (20%)</t>
  </si>
  <si>
    <t xml:space="preserve"> COSTOS DIRECTOS COMUNES  "JARDIN INFANTIL Y SALA CUNA MAR Y CIELO"</t>
  </si>
  <si>
    <t>I) Proyección Mensual</t>
  </si>
  <si>
    <t>ENERO</t>
  </si>
  <si>
    <t>FEBRERO</t>
  </si>
  <si>
    <t>MARZO</t>
  </si>
  <si>
    <t>ABRIL</t>
  </si>
  <si>
    <t>MAYO</t>
  </si>
  <si>
    <t>JUNIO</t>
  </si>
  <si>
    <t>JULIO</t>
  </si>
  <si>
    <t>AGOSTO</t>
  </si>
  <si>
    <t>SEPTIEMBRE</t>
  </si>
  <si>
    <t>OCTUBRE</t>
  </si>
  <si>
    <t>NOVIEMBRE</t>
  </si>
  <si>
    <t>DICIEMBRE</t>
  </si>
  <si>
    <t>INGRESOS DE OPERACION</t>
  </si>
  <si>
    <t>REMUNERACIONES COD.DEL TRABAJO</t>
  </si>
  <si>
    <t>COSTOS  DE OPERACION</t>
  </si>
  <si>
    <t>BONOS CÓDIGO DEL TRABAJO</t>
  </si>
  <si>
    <t>Sala Cuna Mar y Cielo Diurna</t>
  </si>
  <si>
    <t>TABLA N°15: PROYECCIÓN MENSUAL</t>
  </si>
  <si>
    <t>MATRICULA</t>
  </si>
  <si>
    <t>PERSONAL</t>
  </si>
  <si>
    <t>ACUMULADO A DICIEMBRE</t>
  </si>
  <si>
    <t>RESULTADO OPERACIONAL</t>
  </si>
  <si>
    <t>Sala Cuna Mar y Cielo</t>
  </si>
  <si>
    <t>BIENMAG</t>
  </si>
  <si>
    <t>Mensualidad 2024</t>
  </si>
  <si>
    <t>Gasto Total empresa
2024</t>
  </si>
  <si>
    <t>Media Jornada extendida</t>
  </si>
  <si>
    <t>Matrícula 2025</t>
  </si>
  <si>
    <t>Mensualidad 2025</t>
  </si>
  <si>
    <t>Tarifa 2025</t>
  </si>
  <si>
    <t>Propuesta Mensualidad 2025</t>
  </si>
  <si>
    <t>Meta Ocupación niños 2025</t>
  </si>
  <si>
    <t>COSTO DIRECTO ESTIMADO 2025</t>
  </si>
  <si>
    <t>REMUNERACIONES 2024</t>
  </si>
  <si>
    <t>Costo Total anual por Servidor 2024</t>
  </si>
  <si>
    <t>Costo Total por Servidor Reajustado 2025</t>
  </si>
  <si>
    <t>COSTO INDIRECTO ESTIMADO 2025</t>
  </si>
  <si>
    <t>Gasto Total empresa
2025</t>
  </si>
  <si>
    <t xml:space="preserve">BIENMAG </t>
  </si>
  <si>
    <t xml:space="preserve">MUÑOZ LOBOS </t>
  </si>
  <si>
    <t xml:space="preserve">LEONTINA </t>
  </si>
  <si>
    <t xml:space="preserve">BUSTAMANTE ALMONACID </t>
  </si>
  <si>
    <t xml:space="preserve">AUX. ASEO </t>
  </si>
  <si>
    <t>MARISOL</t>
  </si>
  <si>
    <t>CHIGUAY LLANCALAHUEN</t>
  </si>
  <si>
    <t>ENC. DEUDORES</t>
  </si>
  <si>
    <t>VICTOR</t>
  </si>
  <si>
    <t>DIAZ DIAZ</t>
  </si>
  <si>
    <t>CAJERO</t>
  </si>
  <si>
    <t>ANGELICA</t>
  </si>
  <si>
    <t xml:space="preserve">RIVERA CALISTO </t>
  </si>
  <si>
    <t>TESORERA</t>
  </si>
  <si>
    <t xml:space="preserve">AURELIA </t>
  </si>
  <si>
    <t>ZUÑIGA AGUILA</t>
  </si>
  <si>
    <t>ENC. PRESUPUESTO</t>
  </si>
  <si>
    <t>CARMEN LUZ</t>
  </si>
  <si>
    <t>OBANDO NAVARRO</t>
  </si>
  <si>
    <t>ENC. RR.HH.</t>
  </si>
  <si>
    <t xml:space="preserve">BARRERA MORALES </t>
  </si>
  <si>
    <t xml:space="preserve">F.P. LEONTINA </t>
  </si>
  <si>
    <t xml:space="preserve">F.P. CONSTANZA </t>
  </si>
  <si>
    <t xml:space="preserve">E.C. CARLA </t>
  </si>
  <si>
    <t xml:space="preserve">E.C. MARION </t>
  </si>
  <si>
    <t xml:space="preserve">SCHARP MILLÁN </t>
  </si>
  <si>
    <t xml:space="preserve">E.C. MILENNA </t>
  </si>
  <si>
    <t xml:space="preserve">MIRANDA MUÑOZ </t>
  </si>
  <si>
    <t xml:space="preserve">PAC GLORIA </t>
  </si>
  <si>
    <t xml:space="preserve">BARRIA CÁRDENAS </t>
  </si>
  <si>
    <t xml:space="preserve">PAC PAULINA </t>
  </si>
  <si>
    <t xml:space="preserve">CANDIA DÍAZ </t>
  </si>
  <si>
    <t xml:space="preserve">TT JENIFER </t>
  </si>
  <si>
    <t xml:space="preserve">BARRIA OJEDA </t>
  </si>
  <si>
    <t xml:space="preserve">BOUR TORRES </t>
  </si>
  <si>
    <t xml:space="preserve">TT PATRICIA </t>
  </si>
  <si>
    <t xml:space="preserve">ALVARADO SUBIABRE </t>
  </si>
  <si>
    <t xml:space="preserve">PAC CONSTANZA </t>
  </si>
  <si>
    <t>ACEVEDO ViILLAGRA</t>
  </si>
  <si>
    <t xml:space="preserve">TT KAREN </t>
  </si>
  <si>
    <t xml:space="preserve">TT MARIA </t>
  </si>
  <si>
    <t xml:space="preserve">CHAVEZ SALINAS </t>
  </si>
  <si>
    <t xml:space="preserve">TT NICOLE </t>
  </si>
  <si>
    <t xml:space="preserve">SANZANA GARRIDO </t>
  </si>
  <si>
    <t>Jardín Infantil CONÉ (EJÉRCITO)</t>
  </si>
  <si>
    <t>1.- Se considera contratacion de técnico en jornada completa, para completar nuestro coeficiente técnico requerido según nuestra máxima capacidad. Se considera un sueldo mas cercano al recibido por personal con contrato de Trabajador a Trato.</t>
  </si>
  <si>
    <t xml:space="preserve">3.- Se considerará el ingreso de particulares, para poder obtener una mayor cantidad de matrículas para el año 2025. </t>
  </si>
  <si>
    <t xml:space="preserve">Nivel </t>
  </si>
  <si>
    <t xml:space="preserve">Personal </t>
  </si>
  <si>
    <t xml:space="preserve">Sala Cuna </t>
  </si>
  <si>
    <t xml:space="preserve">Cap. Max. </t>
  </si>
  <si>
    <t xml:space="preserve"> Matricula  Proyectada</t>
  </si>
  <si>
    <t xml:space="preserve">Medio Mayor </t>
  </si>
  <si>
    <t>Medio Menor</t>
  </si>
  <si>
    <t>Transición Integrado</t>
  </si>
  <si>
    <t xml:space="preserve">Total </t>
  </si>
  <si>
    <t xml:space="preserve">Proyeccion 2025 por nivel </t>
  </si>
  <si>
    <t xml:space="preserve">1 educadora   2 técnicos </t>
  </si>
  <si>
    <t xml:space="preserve">1 educadora   2 tecnicos </t>
  </si>
  <si>
    <t xml:space="preserve">1 educadora   1 técnico </t>
  </si>
  <si>
    <t xml:space="preserve">Jardín Infantil Pequeños Artistas </t>
  </si>
  <si>
    <t xml:space="preserve">N.N. </t>
  </si>
  <si>
    <t xml:space="preserve">MANIPULADORA DE ALIMENTOS </t>
  </si>
  <si>
    <t xml:space="preserve">DIRECTORA </t>
  </si>
  <si>
    <t xml:space="preserve">EDUC. PARV. </t>
  </si>
  <si>
    <t xml:space="preserve">TEC. PARV. </t>
  </si>
  <si>
    <t>5.- Se considera contratación de Manipuladora de Alimentos para año 2025.</t>
  </si>
  <si>
    <t>2.- Se proyecta aumento en las matrículas con respecto al año actual.</t>
  </si>
  <si>
    <t>4.- Se proyecta mantener a PAC Constanza Acevedo Villagra con contrato para el 2025, debido a extensa licencia médica por cirugia de columna de EC Marion Scharp Millan e incierto escenario de retorno con limitaciones de movimientos y por ende de sus funciones como educadora de sala.</t>
  </si>
  <si>
    <t>TABLA 6: REMUNERACIONES DEL PERSONAL LEY 18.712 ADMINISTRACION CENTRAL Y APOYO ADMINISTRATIVO ASISTENCIA RECREATIVA</t>
  </si>
  <si>
    <t>TABLA 7: DISTRIBUCION COSTOS REMUNERACIONES ADMINISTRACION CENTRAL Y APOYO ADMINISTRATIVO A. RECREATIVA</t>
  </si>
  <si>
    <t>TABLA 8: COSTOS DE OPERACION ADMINISTRACIÓN CENTRAL Y  APOYO ADMINISTRATIVO ASISTENCIA RECREATIVA</t>
  </si>
  <si>
    <t>TABLA 9: RESUMEN DISTRIBUCION COSTOS REMUNERACIONES ADMINISTRACION CENTRAL Y APOYO ADMINISTRATIVO A. RECREATIVA</t>
  </si>
  <si>
    <t>TABLA 10: RESUMEN DISTRIBUCION COSTOS OPERACIÓN ADMINISTRACION CENTRAL  Y APOYO ADMINISTRATIVO A. RECREATIVA</t>
  </si>
  <si>
    <t>Costo Total Empresa</t>
  </si>
  <si>
    <t>AREA RECREATIVA</t>
  </si>
  <si>
    <t>Asistencia Recreativa</t>
  </si>
  <si>
    <t>REINERIO</t>
  </si>
  <si>
    <t>ALVAREZ MIKACIC</t>
  </si>
  <si>
    <t>ENC. AREA RECREATIVA</t>
  </si>
  <si>
    <t>|</t>
  </si>
  <si>
    <t>MANT.Y REPAR. VEHICULOS</t>
  </si>
  <si>
    <t>Asistencia Comercial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</si>
</sst>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_-* #,##0.00_-;\-* #,##0.00_-;_-* &quot;-&quot;??_-;_-@_-"/>
    <numFmt numFmtId="165" formatCode="_-&quot;$&quot;\ * #,##0_-;\-&quot;$&quot;\ * #,##0_-;_-&quot;$&quot;\ * &quot;-&quot;_-;_-@_-"/>
    <numFmt numFmtId="166" formatCode="_-* #,##0.00\ &quot;€&quot;_-;\-* #,##0.00\ &quot;€&quot;_-;_-* &quot;-&quot;??\ &quot;€&quot;_-;_-@_-"/>
    <numFmt numFmtId="167" formatCode="_-\$* #,##0.00_-;&quot;-$&quot;* #,##0.00_-;_-\$* \-??_-;_-@_-"/>
    <numFmt numFmtId="168" formatCode="\$#,##0_);&quot;($&quot;#,##0\)"/>
    <numFmt numFmtId="169" formatCode="_-&quot;$ &quot;* #,##0_-;&quot;-$ &quot;* #,##0_-;_-&quot;$ &quot;* \-_-;_-@_-"/>
    <numFmt numFmtId="170" formatCode="0\ %"/>
    <numFmt numFmtId="171" formatCode="0.0%"/>
    <numFmt numFmtId="172" formatCode="#,##0_ ;[Red]\-#,##0\ "/>
    <numFmt numFmtId="173" formatCode="_-* #,##0.00_-;\-* #,##0.00_-;_-* \-??_-;_-@_-"/>
    <numFmt numFmtId="174" formatCode="_-\ * #,##0_-;&quot;$ &quot;* #,##0_-;_-\ * \-_-;_-@_-"/>
    <numFmt numFmtId="175" formatCode="_-* #,##0.0_-;\-* #,##0.0_-;_-* \-??_-;_-@_-"/>
    <numFmt numFmtId="176" formatCode="_(* #,##0_);_(* \(#,##0\);_(* \-_);_(@_)"/>
    <numFmt numFmtId="177" formatCode="_-* #,##0_-;\-* #,##0_-;_-* \-??_-;_-@_-"/>
    <numFmt numFmtId="178" formatCode="&quot;$&quot;\ #,##0"/>
    <numFmt numFmtId="179" formatCode="_-&quot;$&quot;* #,##0_-;\-&quot;$&quot;* #,##0_-;_-&quot;$&quot;* &quot;-&quot;??_-;_-@_-"/>
    <numFmt numFmtId="180" formatCode="#,##0_ ;\-#,##0\ "/>
    <numFmt numFmtId="181" formatCode="0.00\ %"/>
    <numFmt numFmtId="182" formatCode="_-\$* #,##0_-;&quot;-$&quot;* #,##0_-;_-\$* \-??_-;_-@_-"/>
    <numFmt numFmtId="183" formatCode="_-[$$-340A]\ * #,##0_-;\-[$$-340A]\ * #,##0_-;_-[$$-340A]\ * &quot;-&quot;??_-;_-@_-"/>
    <numFmt numFmtId="184" formatCode="_-[$€]* #,##0.00_-;\-[$€]* #,##0.00_-;_-[$€]* &quot;-&quot;??_-;_-@_-"/>
    <numFmt numFmtId="185" formatCode="_-[$€-2]\ * #,##0.00_-;\-[$€-2]\ * #,##0.00_-;_-[$€-2]\ * &quot;-&quot;??_-"/>
    <numFmt numFmtId="186" formatCode="_-&quot;$&quot;\ * #,##0_-;\-&quot;$&quot;\ * #,##0_-;_-&quot;$&quot;\ * &quot;-&quot;??_-;_-@_-"/>
  </numFmts>
  <fonts count="5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b/>
      <sz val="24"/>
      <color indexed="8"/>
      <name val="Arial"/>
      <family val="2"/>
    </font>
    <font>
      <sz val="18"/>
      <color indexed="8"/>
      <name val="Arial"/>
      <family val="2"/>
    </font>
    <font>
      <sz val="12"/>
      <color indexed="8"/>
      <name val="Arial"/>
      <family val="2"/>
    </font>
    <font>
      <sz val="10"/>
      <color indexed="63"/>
      <name val="Arial"/>
      <family val="2"/>
    </font>
    <font>
      <i/>
      <sz val="10"/>
      <color indexed="23"/>
      <name val="Arial"/>
      <family val="2"/>
    </font>
    <font>
      <sz val="10"/>
      <color indexed="17"/>
      <name val="Arial"/>
      <family val="2"/>
    </font>
    <font>
      <sz val="10"/>
      <color indexed="19"/>
      <name val="Arial"/>
      <family val="2"/>
    </font>
    <font>
      <sz val="10"/>
      <color indexed="16"/>
      <name val="Arial"/>
      <family val="2"/>
    </font>
    <font>
      <b/>
      <sz val="10"/>
      <color indexed="9"/>
      <name val="Arial"/>
      <family val="2"/>
    </font>
    <font>
      <b/>
      <sz val="10"/>
      <color indexed="8"/>
      <name val="Arial"/>
      <family val="2"/>
    </font>
    <font>
      <sz val="10"/>
      <color indexed="9"/>
      <name val="Arial"/>
      <family val="2"/>
    </font>
    <font>
      <b/>
      <sz val="10"/>
      <name val="Arial"/>
      <family val="2"/>
    </font>
    <font>
      <sz val="10"/>
      <name val="Arial"/>
      <family val="2"/>
    </font>
    <font>
      <b/>
      <sz val="10"/>
      <color theme="1"/>
      <name val="Arial"/>
      <family val="2"/>
    </font>
    <font>
      <b/>
      <sz val="10"/>
      <color indexed="10"/>
      <name val="Arial"/>
      <family val="2"/>
    </font>
    <font>
      <b/>
      <sz val="10"/>
      <color indexed="40"/>
      <name val="Arial"/>
      <family val="2"/>
    </font>
    <font>
      <b/>
      <sz val="10"/>
      <color theme="0"/>
      <name val="Arial"/>
      <family val="2"/>
    </font>
    <font>
      <sz val="10"/>
      <color indexed="8"/>
      <name val="Arial"/>
      <family val="2"/>
    </font>
    <font>
      <b/>
      <u/>
      <sz val="10"/>
      <name val="Arial"/>
      <family val="2"/>
    </font>
    <font>
      <u/>
      <sz val="10"/>
      <color theme="10"/>
      <name val="Arial"/>
      <family val="2"/>
    </font>
    <font>
      <b/>
      <sz val="11"/>
      <name val="Arial"/>
      <family val="2"/>
    </font>
    <font>
      <b/>
      <sz val="12"/>
      <name val="Arial"/>
      <family val="2"/>
    </font>
    <font>
      <b/>
      <sz val="12"/>
      <color theme="0"/>
      <name val="Arial"/>
      <family val="2"/>
    </font>
    <font>
      <b/>
      <u/>
      <sz val="12"/>
      <color rgb="FF0000CC"/>
      <name val="Arial"/>
      <family val="2"/>
    </font>
    <font>
      <b/>
      <sz val="16"/>
      <name val="Arial"/>
      <family val="2"/>
    </font>
    <font>
      <b/>
      <sz val="10"/>
      <color rgb="FF000099"/>
      <name val="Arial"/>
      <family val="2"/>
    </font>
    <font>
      <b/>
      <sz val="10"/>
      <color rgb="FFFF0000"/>
      <name val="Arial"/>
      <family val="2"/>
    </font>
    <font>
      <sz val="10"/>
      <color rgb="FFFF0000"/>
      <name val="Arial"/>
      <family val="2"/>
    </font>
    <font>
      <sz val="10"/>
      <color theme="1"/>
      <name val="Arial"/>
      <family val="2"/>
    </font>
    <font>
      <sz val="11"/>
      <color indexed="8"/>
      <name val="Calibri"/>
      <family val="2"/>
    </font>
    <font>
      <sz val="10"/>
      <name val="Verdana"/>
      <family val="2"/>
    </font>
    <font>
      <sz val="10"/>
      <color rgb="FFFF00FF"/>
      <name val="Arial"/>
      <family val="2"/>
    </font>
    <font>
      <b/>
      <sz val="9"/>
      <name val="Arial"/>
      <family val="2"/>
    </font>
    <font>
      <b/>
      <u/>
      <sz val="12"/>
      <name val="Arial"/>
      <family val="2"/>
    </font>
    <font>
      <sz val="9"/>
      <name val="Arial"/>
      <family val="2"/>
    </font>
    <font>
      <sz val="9"/>
      <color rgb="FFFF0000"/>
      <name val="Arial"/>
      <family val="2"/>
    </font>
    <font>
      <b/>
      <sz val="9"/>
      <color rgb="FFFF0000"/>
      <name val="Arial"/>
      <family val="2"/>
    </font>
    <font>
      <b/>
      <u/>
      <sz val="10"/>
      <color rgb="FFFF0000"/>
      <name val="Arial"/>
      <family val="2"/>
    </font>
    <font>
      <b/>
      <sz val="12"/>
      <color rgb="FFFF0000"/>
      <name val="Arial"/>
      <family val="2"/>
    </font>
    <font>
      <sz val="11"/>
      <name val="Calibri"/>
      <family val="2"/>
      <scheme val="minor"/>
    </font>
    <font>
      <b/>
      <sz val="10"/>
      <color theme="0"/>
      <name val="Arial Narrow"/>
      <family val="2"/>
    </font>
    <font>
      <b/>
      <sz val="10"/>
      <color theme="1"/>
      <name val="Arial Narrow"/>
      <family val="2"/>
    </font>
    <font>
      <sz val="8"/>
      <name val="Arial"/>
      <family val="2"/>
    </font>
    <font>
      <b/>
      <sz val="8"/>
      <name val="Arial"/>
      <family val="2"/>
    </font>
    <font>
      <b/>
      <sz val="11"/>
      <color theme="1"/>
      <name val="Calibri"/>
      <family val="2"/>
      <scheme val="minor"/>
    </font>
    <font>
      <b/>
      <sz val="10"/>
      <color theme="1"/>
      <name val="Calibri"/>
      <family val="2"/>
      <scheme val="minor"/>
    </font>
    <font>
      <u/>
      <sz val="11"/>
      <color theme="10"/>
      <name val="Calibri"/>
      <family val="2"/>
      <scheme val="minor"/>
    </font>
  </fonts>
  <fills count="57">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22"/>
      </patternFill>
    </fill>
    <fill>
      <patternFill patternType="solid">
        <fgColor indexed="22"/>
        <bgColor indexed="47"/>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9"/>
        <bgColor indexed="26"/>
      </patternFill>
    </fill>
    <fill>
      <patternFill patternType="gray125">
        <bgColor indexed="9"/>
      </patternFill>
    </fill>
    <fill>
      <patternFill patternType="solid">
        <fgColor rgb="FFFFFFFF"/>
        <bgColor indexed="64"/>
      </patternFill>
    </fill>
    <fill>
      <patternFill patternType="solid">
        <fgColor rgb="FFFFFF00"/>
        <bgColor indexed="64"/>
      </patternFill>
    </fill>
    <fill>
      <patternFill patternType="solid">
        <fgColor rgb="FFFFFF00"/>
        <bgColor indexed="26"/>
      </patternFill>
    </fill>
    <fill>
      <patternFill patternType="solid">
        <fgColor theme="3" tint="0.39997558519241921"/>
        <bgColor indexed="64"/>
      </patternFill>
    </fill>
    <fill>
      <patternFill patternType="solid">
        <fgColor theme="0" tint="-0.249977111117893"/>
        <bgColor indexed="26"/>
      </patternFill>
    </fill>
    <fill>
      <patternFill patternType="solid">
        <fgColor theme="0" tint="-0.249977111117893"/>
        <bgColor indexed="64"/>
      </patternFill>
    </fill>
    <fill>
      <patternFill patternType="solid">
        <fgColor theme="0" tint="-0.249977111117893"/>
        <bgColor indexed="24"/>
      </patternFill>
    </fill>
    <fill>
      <patternFill patternType="solid">
        <fgColor theme="0" tint="-0.249977111117893"/>
        <bgColor indexed="44"/>
      </patternFill>
    </fill>
    <fill>
      <patternFill patternType="solid">
        <fgColor theme="5" tint="0.79998168889431442"/>
        <bgColor indexed="64"/>
      </patternFill>
    </fill>
    <fill>
      <patternFill patternType="solid">
        <fgColor theme="5" tint="0.79998168889431442"/>
        <bgColor indexed="24"/>
      </patternFill>
    </fill>
    <fill>
      <patternFill patternType="solid">
        <fgColor theme="5" tint="0.39997558519241921"/>
        <bgColor indexed="24"/>
      </patternFill>
    </fill>
    <fill>
      <patternFill patternType="gray125">
        <fgColor auto="1"/>
        <bgColor theme="5" tint="0.79998168889431442"/>
      </patternFill>
    </fill>
    <fill>
      <patternFill patternType="solid">
        <fgColor theme="5" tint="0.39997558519241921"/>
        <bgColor indexed="40"/>
      </patternFill>
    </fill>
    <fill>
      <patternFill patternType="gray125">
        <fgColor auto="1"/>
        <bgColor theme="5" tint="0.39997558519241921"/>
      </patternFill>
    </fill>
    <fill>
      <patternFill patternType="solid">
        <fgColor rgb="FFC00000"/>
        <bgColor indexed="26"/>
      </patternFill>
    </fill>
    <fill>
      <patternFill patternType="solid">
        <fgColor theme="5" tint="0.399975585192419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3" tint="0.39997558519241921"/>
        <bgColor indexed="24"/>
      </patternFill>
    </fill>
    <fill>
      <patternFill patternType="solid">
        <fgColor theme="3" tint="0.39997558519241921"/>
        <bgColor indexed="44"/>
      </patternFill>
    </fill>
    <fill>
      <patternFill patternType="gray125">
        <fgColor auto="1"/>
        <bgColor theme="3" tint="0.39997558519241921"/>
      </patternFill>
    </fill>
    <fill>
      <patternFill patternType="solid">
        <fgColor theme="3" tint="-0.249977111117893"/>
        <bgColor indexed="24"/>
      </patternFill>
    </fill>
    <fill>
      <patternFill patternType="solid">
        <fgColor theme="3" tint="0.39997558519241921"/>
        <bgColor indexed="26"/>
      </patternFill>
    </fill>
    <fill>
      <patternFill patternType="solid">
        <fgColor theme="3" tint="-0.249977111117893"/>
        <bgColor indexed="26"/>
      </patternFill>
    </fill>
    <fill>
      <patternFill patternType="solid">
        <fgColor theme="0" tint="-0.14999847407452621"/>
        <bgColor indexed="64"/>
      </patternFill>
    </fill>
    <fill>
      <patternFill patternType="solid">
        <fgColor theme="2"/>
        <bgColor indexed="64"/>
      </patternFill>
    </fill>
    <fill>
      <patternFill patternType="solid">
        <fgColor rgb="FF69D8FF"/>
        <bgColor indexed="24"/>
      </patternFill>
    </fill>
    <fill>
      <patternFill patternType="solid">
        <fgColor theme="4" tint="0.59999389629810485"/>
        <bgColor indexed="24"/>
      </patternFill>
    </fill>
    <fill>
      <patternFill patternType="solid">
        <fgColor theme="5" tint="0.39997558519241921"/>
        <bgColor auto="1"/>
      </patternFill>
    </fill>
    <fill>
      <patternFill patternType="solid">
        <fgColor theme="5" tint="0.79998168889431442"/>
        <bgColor auto="1"/>
      </patternFill>
    </fill>
    <fill>
      <patternFill patternType="solid">
        <fgColor theme="0" tint="-0.34998626667073579"/>
        <bgColor indexed="64"/>
      </patternFill>
    </fill>
    <fill>
      <patternFill patternType="solid">
        <fgColor theme="0"/>
        <bgColor indexed="64"/>
      </patternFill>
    </fill>
    <fill>
      <patternFill patternType="solid">
        <fgColor rgb="FFFFFF00"/>
        <bgColor indexed="2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bgColor indexed="64"/>
      </patternFill>
    </fill>
    <fill>
      <patternFill patternType="gray125">
        <bgColor theme="3" tint="0.79998168889431442"/>
      </patternFill>
    </fill>
    <fill>
      <patternFill patternType="gray125">
        <bgColor theme="0" tint="-0.14999847407452621"/>
      </patternFill>
    </fill>
    <fill>
      <patternFill patternType="gray125">
        <bgColor theme="3" tint="0.79995117038483843"/>
      </patternFill>
    </fill>
    <fill>
      <patternFill patternType="solid">
        <fgColor rgb="FF002060"/>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theme="4" tint="0.79998168889431442"/>
        <bgColor theme="4" tint="0.79998168889431442"/>
      </patternFill>
    </fill>
  </fills>
  <borders count="238">
    <border>
      <left/>
      <right/>
      <top/>
      <bottom/>
      <diagonal/>
    </border>
    <border>
      <left style="thin">
        <color indexed="23"/>
      </left>
      <right style="thin">
        <color indexed="23"/>
      </right>
      <top style="thin">
        <color indexed="23"/>
      </top>
      <bottom style="thin">
        <color indexed="23"/>
      </bottom>
      <diagonal/>
    </border>
    <border>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rgb="FF0070C0"/>
      </left>
      <right style="thin">
        <color rgb="FF0070C0"/>
      </right>
      <top/>
      <bottom style="thin">
        <color rgb="FF0070C0"/>
      </bottom>
      <diagonal/>
    </border>
    <border>
      <left style="thin">
        <color auto="1"/>
      </left>
      <right style="thin">
        <color auto="1"/>
      </right>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auto="1"/>
      </bottom>
      <diagonal/>
    </border>
    <border>
      <left style="thin">
        <color indexed="8"/>
      </left>
      <right/>
      <top style="thin">
        <color indexed="8"/>
      </top>
      <bottom/>
      <diagonal/>
    </border>
    <border>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8"/>
      </left>
      <right style="thin">
        <color indexed="8"/>
      </right>
      <top style="medium">
        <color indexed="8"/>
      </top>
      <bottom/>
      <diagonal/>
    </border>
    <border>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indexed="8"/>
      </left>
      <right/>
      <top style="thin">
        <color indexed="8"/>
      </top>
      <bottom style="thin">
        <color indexed="8"/>
      </bottom>
      <diagonal/>
    </border>
    <border>
      <left/>
      <right style="thin">
        <color indexed="8"/>
      </right>
      <top style="thin">
        <color auto="1"/>
      </top>
      <bottom style="thin">
        <color auto="1"/>
      </bottom>
      <diagonal/>
    </border>
    <border>
      <left style="thin">
        <color indexed="8"/>
      </left>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style="medium">
        <color indexed="8"/>
      </right>
      <top style="medium">
        <color auto="1"/>
      </top>
      <bottom style="thin">
        <color auto="1"/>
      </bottom>
      <diagonal/>
    </border>
    <border>
      <left style="thin">
        <color indexed="8"/>
      </left>
      <right/>
      <top style="thin">
        <color indexed="8"/>
      </top>
      <bottom style="thin">
        <color indexed="8"/>
      </bottom>
      <diagonal/>
    </border>
    <border>
      <left style="thin">
        <color indexed="8"/>
      </left>
      <right/>
      <top/>
      <bottom/>
      <diagonal/>
    </border>
    <border>
      <left/>
      <right style="medium">
        <color indexed="64"/>
      </right>
      <top style="thin">
        <color auto="1"/>
      </top>
      <bottom/>
      <diagonal/>
    </border>
    <border>
      <left style="medium">
        <color indexed="64"/>
      </left>
      <right/>
      <top/>
      <bottom/>
      <diagonal/>
    </border>
    <border>
      <left/>
      <right style="thin">
        <color indexed="64"/>
      </right>
      <top/>
      <bottom/>
      <diagonal/>
    </border>
    <border>
      <left/>
      <right/>
      <top style="thin">
        <color indexed="8"/>
      </top>
      <bottom style="thin">
        <color indexed="8"/>
      </bottom>
      <diagonal/>
    </border>
    <border>
      <left style="medium">
        <color auto="1"/>
      </left>
      <right style="thin">
        <color auto="1"/>
      </right>
      <top style="thin">
        <color auto="1"/>
      </top>
      <bottom/>
      <diagonal/>
    </border>
    <border>
      <left style="medium">
        <color indexed="64"/>
      </left>
      <right style="medium">
        <color indexed="64"/>
      </right>
      <top/>
      <bottom style="medium">
        <color indexed="64"/>
      </bottom>
      <diagonal/>
    </border>
    <border>
      <left style="thin">
        <color auto="1"/>
      </left>
      <right/>
      <top style="thin">
        <color auto="1"/>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8"/>
      </left>
      <right style="thin">
        <color indexed="8"/>
      </right>
      <top/>
      <bottom/>
      <diagonal/>
    </border>
    <border>
      <left/>
      <right style="medium">
        <color indexed="64"/>
      </right>
      <top/>
      <bottom style="medium">
        <color indexed="64"/>
      </bottom>
      <diagonal/>
    </border>
    <border>
      <left style="thin">
        <color indexed="8"/>
      </left>
      <right/>
      <top/>
      <bottom/>
      <diagonal/>
    </border>
    <border>
      <left/>
      <right style="thin">
        <color indexed="8"/>
      </right>
      <top/>
      <bottom/>
      <diagonal/>
    </border>
    <border>
      <left/>
      <right style="thin">
        <color indexed="8"/>
      </right>
      <top style="medium">
        <color indexed="8"/>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style="medium">
        <color indexed="64"/>
      </right>
      <top style="medium">
        <color indexed="64"/>
      </top>
      <bottom style="thin">
        <color auto="1"/>
      </bottom>
      <diagonal/>
    </border>
    <border>
      <left style="medium">
        <color indexed="64"/>
      </left>
      <right style="medium">
        <color indexed="64"/>
      </right>
      <top style="thin">
        <color auto="1"/>
      </top>
      <bottom/>
      <diagonal/>
    </border>
    <border>
      <left/>
      <right style="medium">
        <color auto="1"/>
      </right>
      <top style="medium">
        <color auto="1"/>
      </top>
      <bottom style="thin">
        <color auto="1"/>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auto="1"/>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right style="medium">
        <color indexed="8"/>
      </right>
      <top style="medium">
        <color indexed="64"/>
      </top>
      <bottom style="thin">
        <color indexed="8"/>
      </bottom>
      <diagonal/>
    </border>
    <border>
      <left style="medium">
        <color indexed="8"/>
      </left>
      <right style="medium">
        <color indexed="64"/>
      </right>
      <top style="medium">
        <color indexed="64"/>
      </top>
      <bottom/>
      <diagonal/>
    </border>
    <border>
      <left style="medium">
        <color indexed="8"/>
      </left>
      <right style="medium">
        <color indexed="64"/>
      </right>
      <top/>
      <bottom/>
      <diagonal/>
    </border>
    <border>
      <left style="thin">
        <color indexed="64"/>
      </left>
      <right/>
      <top style="thin">
        <color indexed="64"/>
      </top>
      <bottom style="medium">
        <color indexed="64"/>
      </bottom>
      <diagonal/>
    </border>
    <border>
      <left style="thin">
        <color indexed="8"/>
      </left>
      <right/>
      <top style="thin">
        <color indexed="8"/>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medium">
        <color indexed="64"/>
      </right>
      <top style="thin">
        <color auto="1"/>
      </top>
      <bottom/>
      <diagonal/>
    </border>
    <border>
      <left style="medium">
        <color auto="1"/>
      </left>
      <right/>
      <top/>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auto="1"/>
      </right>
      <top style="thin">
        <color auto="1"/>
      </top>
      <bottom style="medium">
        <color indexed="64"/>
      </bottom>
      <diagonal/>
    </border>
    <border>
      <left/>
      <right/>
      <top/>
      <bottom style="medium">
        <color auto="1"/>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8"/>
      </bottom>
      <diagonal/>
    </border>
    <border>
      <left/>
      <right style="thin">
        <color indexed="8"/>
      </right>
      <top style="thin">
        <color indexed="8"/>
      </top>
      <bottom/>
      <diagonal/>
    </border>
    <border>
      <left style="medium">
        <color indexed="64"/>
      </left>
      <right/>
      <top style="medium">
        <color indexed="64"/>
      </top>
      <bottom style="thin">
        <color indexed="8"/>
      </bottom>
      <diagonal/>
    </border>
    <border>
      <left style="thin">
        <color indexed="8"/>
      </left>
      <right/>
      <top style="thin">
        <color indexed="8"/>
      </top>
      <bottom style="thin">
        <color indexed="8"/>
      </bottom>
      <diagonal/>
    </border>
    <border>
      <left/>
      <right style="thin">
        <color indexed="64"/>
      </right>
      <top style="medium">
        <color indexed="64"/>
      </top>
      <bottom style="thin">
        <color indexed="64"/>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style="thin">
        <color indexed="64"/>
      </left>
      <right style="medium">
        <color indexed="64"/>
      </right>
      <top/>
      <bottom/>
      <diagonal/>
    </border>
    <border>
      <left style="thin">
        <color indexed="8"/>
      </left>
      <right style="thin">
        <color indexed="8"/>
      </right>
      <top style="thin">
        <color indexed="8"/>
      </top>
      <bottom style="thin">
        <color indexed="8"/>
      </bottom>
      <diagonal/>
    </border>
    <border>
      <left style="thin">
        <color indexed="64"/>
      </left>
      <right/>
      <top/>
      <bottom/>
      <diagonal/>
    </border>
    <border>
      <left style="thin">
        <color indexed="8"/>
      </left>
      <right/>
      <top style="thin">
        <color indexed="8"/>
      </top>
      <bottom/>
      <diagonal/>
    </border>
    <border>
      <left/>
      <right/>
      <top style="medium">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diagonal/>
    </border>
    <border>
      <left/>
      <right style="thin">
        <color indexed="8"/>
      </right>
      <top/>
      <bottom style="medium">
        <color indexed="64"/>
      </bottom>
      <diagonal/>
    </border>
    <border>
      <left style="thin">
        <color indexed="64"/>
      </left>
      <right style="thin">
        <color indexed="64"/>
      </right>
      <top/>
      <bottom style="thin">
        <color indexed="64"/>
      </bottom>
      <diagonal/>
    </border>
    <border>
      <left style="thin">
        <color indexed="8"/>
      </left>
      <right/>
      <top style="thin">
        <color indexed="8"/>
      </top>
      <bottom style="medium">
        <color indexed="64"/>
      </bottom>
      <diagonal/>
    </border>
    <border>
      <left/>
      <right style="thin">
        <color indexed="8"/>
      </right>
      <top style="medium">
        <color indexed="8"/>
      </top>
      <bottom style="thin">
        <color indexed="8"/>
      </bottom>
      <diagonal/>
    </border>
    <border>
      <left/>
      <right style="thin">
        <color indexed="8"/>
      </right>
      <top style="thin">
        <color indexed="8"/>
      </top>
      <bottom/>
      <diagonal/>
    </border>
    <border>
      <left/>
      <right style="thin">
        <color indexed="8"/>
      </right>
      <top style="medium">
        <color indexed="64"/>
      </top>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diagonal/>
    </border>
    <border>
      <left style="thin">
        <color indexed="8"/>
      </left>
      <right/>
      <top style="medium">
        <color indexed="8"/>
      </top>
      <bottom style="thin">
        <color indexed="8"/>
      </bottom>
      <diagonal/>
    </border>
    <border>
      <left/>
      <right style="thin">
        <color indexed="8"/>
      </right>
      <top style="medium">
        <color indexed="64"/>
      </top>
      <bottom style="thin">
        <color indexed="8"/>
      </bottom>
      <diagonal/>
    </border>
    <border>
      <left style="thin">
        <color indexed="8"/>
      </left>
      <right/>
      <top style="medium">
        <color indexed="8"/>
      </top>
      <bottom/>
      <diagonal/>
    </border>
    <border>
      <left style="thin">
        <color indexed="8"/>
      </left>
      <right style="thin">
        <color indexed="8"/>
      </right>
      <top style="medium">
        <color indexed="64"/>
      </top>
      <bottom/>
      <diagonal/>
    </border>
    <border>
      <left style="thin">
        <color auto="1"/>
      </left>
      <right style="thin">
        <color auto="1"/>
      </right>
      <top style="medium">
        <color indexed="64"/>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style="thin">
        <color auto="1"/>
      </left>
      <right style="thin">
        <color auto="1"/>
      </right>
      <top style="thin">
        <color indexed="8"/>
      </top>
      <bottom style="medium">
        <color indexed="64"/>
      </bottom>
      <diagonal/>
    </border>
    <border>
      <left/>
      <right style="thin">
        <color auto="1"/>
      </right>
      <top style="thin">
        <color indexed="8"/>
      </top>
      <bottom style="medium">
        <color indexed="64"/>
      </bottom>
      <diagonal/>
    </border>
    <border>
      <left style="thin">
        <color auto="1"/>
      </left>
      <right style="medium">
        <color indexed="64"/>
      </right>
      <top style="thin">
        <color indexed="8"/>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medium">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medium">
        <color indexed="8"/>
      </right>
      <top style="thin">
        <color indexed="8"/>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medium">
        <color indexed="64"/>
      </left>
      <right style="thin">
        <color indexed="8"/>
      </right>
      <top style="medium">
        <color indexed="64"/>
      </top>
      <bottom/>
      <diagonal/>
    </border>
    <border>
      <left style="thin">
        <color indexed="8"/>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auto="1"/>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auto="1"/>
      </left>
      <right style="thin">
        <color indexed="8"/>
      </right>
      <top style="medium">
        <color indexed="8"/>
      </top>
      <bottom/>
      <diagonal/>
    </border>
    <border>
      <left style="thin">
        <color indexed="8"/>
      </left>
      <right style="medium">
        <color auto="1"/>
      </right>
      <top style="medium">
        <color indexed="8"/>
      </top>
      <bottom/>
      <diagonal/>
    </border>
    <border>
      <left/>
      <right/>
      <top style="medium">
        <color indexed="8"/>
      </top>
      <bottom/>
      <diagonal/>
    </border>
    <border>
      <left/>
      <right style="medium">
        <color auto="1"/>
      </right>
      <top style="medium">
        <color indexed="8"/>
      </top>
      <bottom/>
      <diagonal/>
    </border>
    <border>
      <left style="thin">
        <color indexed="8"/>
      </left>
      <right style="medium">
        <color indexed="8"/>
      </right>
      <top style="medium">
        <color indexed="64"/>
      </top>
      <bottom/>
      <diagonal/>
    </border>
    <border>
      <left style="medium">
        <color indexed="8"/>
      </left>
      <right style="thin">
        <color indexed="8"/>
      </right>
      <top style="medium">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auto="1"/>
      </top>
      <bottom style="thin">
        <color auto="1"/>
      </bottom>
      <diagonal/>
    </border>
    <border>
      <left style="thin">
        <color indexed="8"/>
      </left>
      <right/>
      <top style="thin">
        <color indexed="8"/>
      </top>
      <bottom style="thin">
        <color auto="1"/>
      </bottom>
      <diagonal/>
    </border>
    <border>
      <left style="thin">
        <color indexed="8"/>
      </left>
      <right/>
      <top style="thin">
        <color indexed="8"/>
      </top>
      <bottom style="thin">
        <color indexed="8"/>
      </bottom>
      <diagonal/>
    </border>
    <border>
      <left style="thin">
        <color indexed="8"/>
      </left>
      <right/>
      <top style="thin">
        <color auto="1"/>
      </top>
      <bottom style="thin">
        <color indexed="8"/>
      </bottom>
      <diagonal/>
    </border>
    <border>
      <left style="thin">
        <color auto="1"/>
      </left>
      <right style="thin">
        <color auto="1"/>
      </right>
      <top style="medium">
        <color indexed="64"/>
      </top>
      <bottom/>
      <diagonal/>
    </border>
    <border>
      <left style="thin">
        <color indexed="64"/>
      </left>
      <right/>
      <top style="thin">
        <color indexed="64"/>
      </top>
      <bottom style="thin">
        <color indexed="64"/>
      </bottom>
      <diagonal/>
    </border>
    <border>
      <left/>
      <right style="thin">
        <color indexed="8"/>
      </right>
      <top style="thin">
        <color indexed="8"/>
      </top>
      <bottom style="thin">
        <color indexed="8"/>
      </bottom>
      <diagonal/>
    </border>
    <border>
      <left/>
      <right style="thin">
        <color rgb="FF000000"/>
      </right>
      <top style="thin">
        <color rgb="FF000000"/>
      </top>
      <bottom style="thin">
        <color rgb="FF000000"/>
      </bottom>
      <diagonal/>
    </border>
    <border>
      <left/>
      <right style="thin">
        <color indexed="8"/>
      </right>
      <top style="thin">
        <color auto="1"/>
      </top>
      <bottom style="thin">
        <color auto="1"/>
      </bottom>
      <diagonal/>
    </border>
    <border>
      <left/>
      <right/>
      <top/>
      <bottom style="thin">
        <color theme="4" tint="0.39997558519241921"/>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style="medium">
        <color indexed="64"/>
      </left>
      <right style="thin">
        <color indexed="8"/>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8"/>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auto="1"/>
      </left>
      <right style="medium">
        <color auto="1"/>
      </right>
      <top style="thin">
        <color auto="1"/>
      </top>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thin">
        <color auto="1"/>
      </top>
      <bottom/>
      <diagonal/>
    </border>
    <border>
      <left style="medium">
        <color auto="1"/>
      </left>
      <right style="medium">
        <color indexed="64"/>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auto="1"/>
      </left>
      <right/>
      <top style="medium">
        <color auto="1"/>
      </top>
      <bottom/>
      <diagonal/>
    </border>
    <border>
      <left/>
      <right style="medium">
        <color auto="1"/>
      </right>
      <top style="medium">
        <color auto="1"/>
      </top>
      <bottom style="thin">
        <color auto="1"/>
      </bottom>
      <diagonal/>
    </border>
    <border>
      <left style="medium">
        <color indexed="64"/>
      </left>
      <right/>
      <top style="thin">
        <color auto="1"/>
      </top>
      <bottom style="thin">
        <color auto="1"/>
      </bottom>
      <diagonal/>
    </border>
  </borders>
  <cellStyleXfs count="42">
    <xf numFmtId="0" fontId="0" fillId="0" borderId="0"/>
    <xf numFmtId="0" fontId="13" fillId="0" borderId="0" applyNumberFormat="0" applyFill="0" applyBorder="0" applyAlignment="0" applyProtection="0"/>
    <xf numFmtId="0" fontId="14" fillId="2" borderId="0" applyNumberFormat="0" applyBorder="0" applyAlignment="0" applyProtection="0"/>
    <xf numFmtId="0" fontId="14" fillId="3" borderId="0" applyNumberFormat="0" applyBorder="0" applyAlignment="0" applyProtection="0"/>
    <xf numFmtId="0" fontId="13" fillId="4" borderId="0" applyNumberFormat="0" applyBorder="0" applyAlignment="0" applyProtection="0"/>
    <xf numFmtId="0" fontId="11" fillId="5" borderId="0" applyNumberFormat="0" applyBorder="0" applyAlignment="0" applyProtection="0"/>
    <xf numFmtId="0" fontId="12" fillId="6" borderId="0" applyNumberFormat="0" applyBorder="0" applyAlignment="0" applyProtection="0"/>
    <xf numFmtId="0" fontId="8" fillId="0" borderId="0" applyNumberFormat="0" applyFill="0" applyBorder="0" applyAlignment="0" applyProtection="0"/>
    <xf numFmtId="0" fontId="9" fillId="7" borderId="0" applyNumberFormat="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173" fontId="16" fillId="0" borderId="0"/>
    <xf numFmtId="167" fontId="16" fillId="0" borderId="0"/>
    <xf numFmtId="0" fontId="10" fillId="8" borderId="0" applyNumberFormat="0" applyBorder="0" applyAlignment="0" applyProtection="0"/>
    <xf numFmtId="0" fontId="7" fillId="8" borderId="1" applyNumberFormat="0" applyAlignment="0" applyProtection="0"/>
    <xf numFmtId="170" fontId="16" fillId="0" borderId="0"/>
    <xf numFmtId="0" fontId="16" fillId="0" borderId="0" applyNumberFormat="0" applyFill="0" applyBorder="0" applyAlignment="0" applyProtection="0"/>
    <xf numFmtId="0" fontId="16" fillId="0" borderId="0" applyNumberFormat="0" applyFill="0" applyBorder="0" applyAlignment="0" applyProtection="0"/>
    <xf numFmtId="0" fontId="11" fillId="0" borderId="0" applyNumberFormat="0" applyFill="0" applyBorder="0" applyAlignment="0" applyProtection="0"/>
    <xf numFmtId="0" fontId="23" fillId="0" borderId="0" applyNumberFormat="0" applyFill="0" applyBorder="0" applyAlignment="0" applyProtection="0"/>
    <xf numFmtId="184" fontId="33"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173" fontId="16" fillId="0" borderId="0" applyFill="0" applyBorder="0" applyAlignment="0" applyProtection="0"/>
    <xf numFmtId="167" fontId="16" fillId="0" borderId="0" applyFill="0" applyBorder="0" applyAlignment="0" applyProtection="0"/>
    <xf numFmtId="166" fontId="16" fillId="0" borderId="0" applyFont="0" applyFill="0" applyBorder="0" applyAlignment="0" applyProtection="0"/>
    <xf numFmtId="0" fontId="16" fillId="0" borderId="0"/>
    <xf numFmtId="0" fontId="16" fillId="0" borderId="0"/>
    <xf numFmtId="0" fontId="16" fillId="0" borderId="0"/>
    <xf numFmtId="9" fontId="16" fillId="0" borderId="0" applyFill="0" applyBorder="0" applyAlignment="0" applyProtection="0"/>
    <xf numFmtId="165" fontId="16" fillId="0" borderId="0" applyFont="0" applyFill="0" applyBorder="0" applyAlignment="0" applyProtection="0"/>
    <xf numFmtId="0" fontId="3" fillId="0" borderId="0"/>
    <xf numFmtId="164" fontId="3" fillId="0" borderId="0" applyFont="0" applyFill="0" applyBorder="0" applyAlignment="0" applyProtection="0"/>
    <xf numFmtId="0" fontId="7" fillId="8" borderId="219" applyNumberFormat="0" applyAlignment="0" applyProtection="0"/>
    <xf numFmtId="0" fontId="7" fillId="8" borderId="217" applyNumberFormat="0" applyAlignment="0" applyProtection="0"/>
    <xf numFmtId="0" fontId="2" fillId="0" borderId="0"/>
    <xf numFmtId="164" fontId="2" fillId="0" borderId="0" applyFont="0" applyFill="0" applyBorder="0" applyAlignment="0" applyProtection="0"/>
    <xf numFmtId="167" fontId="16" fillId="0" borderId="0"/>
    <xf numFmtId="0" fontId="7" fillId="8" borderId="218" applyNumberFormat="0" applyAlignment="0" applyProtection="0"/>
    <xf numFmtId="0" fontId="16" fillId="0" borderId="0"/>
    <xf numFmtId="0" fontId="50" fillId="0" borderId="0" applyNumberFormat="0" applyFill="0" applyBorder="0" applyAlignment="0" applyProtection="0"/>
  </cellStyleXfs>
  <cellXfs count="960">
    <xf numFmtId="0" fontId="0" fillId="0" borderId="0" xfId="0"/>
    <xf numFmtId="170" fontId="0" fillId="0" borderId="0" xfId="16" applyFont="1"/>
    <xf numFmtId="0" fontId="0" fillId="0" borderId="0" xfId="0" applyAlignment="1">
      <alignment vertical="center"/>
    </xf>
    <xf numFmtId="0" fontId="18" fillId="0" borderId="0" xfId="0" applyFont="1" applyAlignment="1">
      <alignment vertical="center"/>
    </xf>
    <xf numFmtId="0" fontId="15" fillId="0" borderId="0" xfId="0" applyFont="1" applyAlignment="1">
      <alignment vertical="center"/>
    </xf>
    <xf numFmtId="0" fontId="19" fillId="0" borderId="0" xfId="0" applyFont="1" applyAlignment="1">
      <alignment vertical="center"/>
    </xf>
    <xf numFmtId="0" fontId="15" fillId="0" borderId="0" xfId="0" applyFont="1" applyAlignment="1">
      <alignment horizontal="right" vertical="center"/>
    </xf>
    <xf numFmtId="0" fontId="15" fillId="9" borderId="0" xfId="0" applyFont="1" applyFill="1" applyAlignment="1">
      <alignment horizontal="left" vertical="center"/>
    </xf>
    <xf numFmtId="169" fontId="15" fillId="9" borderId="0" xfId="13" applyNumberFormat="1" applyFont="1" applyFill="1" applyAlignment="1">
      <alignment vertical="center"/>
    </xf>
    <xf numFmtId="167" fontId="15" fillId="0" borderId="0" xfId="13" applyFont="1" applyAlignment="1">
      <alignment vertical="center"/>
    </xf>
    <xf numFmtId="172" fontId="15" fillId="0" borderId="0" xfId="0" applyNumberFormat="1" applyFont="1" applyAlignment="1">
      <alignment vertical="center"/>
    </xf>
    <xf numFmtId="0" fontId="0" fillId="0" borderId="0" xfId="0" applyAlignment="1">
      <alignment horizontal="center" vertical="center"/>
    </xf>
    <xf numFmtId="169" fontId="15" fillId="0" borderId="0" xfId="0" applyNumberFormat="1" applyFont="1" applyAlignment="1">
      <alignment horizontal="center" vertical="center" wrapText="1"/>
    </xf>
    <xf numFmtId="0" fontId="15" fillId="0" borderId="2" xfId="0" applyFont="1" applyBorder="1" applyAlignment="1">
      <alignment horizontal="center" vertical="center"/>
    </xf>
    <xf numFmtId="0" fontId="15" fillId="0" borderId="0" xfId="0" applyFont="1" applyAlignment="1">
      <alignment horizontal="center" vertical="center" wrapText="1"/>
    </xf>
    <xf numFmtId="167" fontId="0" fillId="0" borderId="0" xfId="13" applyFont="1" applyAlignment="1">
      <alignment vertical="center"/>
    </xf>
    <xf numFmtId="170" fontId="18" fillId="0" borderId="0" xfId="16" applyFont="1" applyAlignment="1">
      <alignment vertical="center"/>
    </xf>
    <xf numFmtId="175" fontId="0" fillId="0" borderId="0" xfId="12" applyNumberFormat="1" applyFont="1" applyAlignment="1">
      <alignment vertical="center"/>
    </xf>
    <xf numFmtId="0" fontId="0" fillId="11" borderId="0" xfId="0" applyFill="1" applyAlignment="1">
      <alignment horizontal="left" vertical="center"/>
    </xf>
    <xf numFmtId="178" fontId="0" fillId="11" borderId="0" xfId="0" applyNumberFormat="1" applyFill="1" applyAlignment="1">
      <alignment horizontal="right" vertical="center"/>
    </xf>
    <xf numFmtId="0" fontId="0" fillId="11" borderId="0" xfId="0" applyFill="1"/>
    <xf numFmtId="17" fontId="20" fillId="0" borderId="0" xfId="0" applyNumberFormat="1" applyFont="1" applyAlignment="1">
      <alignment horizontal="center" vertical="center" wrapText="1"/>
    </xf>
    <xf numFmtId="0" fontId="20" fillId="0" borderId="0" xfId="0" applyFont="1" applyAlignment="1">
      <alignment horizontal="center" vertical="center" wrapText="1"/>
    </xf>
    <xf numFmtId="0" fontId="0" fillId="0" borderId="0" xfId="0" applyAlignment="1">
      <alignment horizontal="center" vertical="center" wrapText="1"/>
    </xf>
    <xf numFmtId="0" fontId="0" fillId="11" borderId="0" xfId="0" applyFill="1" applyAlignment="1">
      <alignment vertical="center"/>
    </xf>
    <xf numFmtId="178" fontId="0" fillId="0" borderId="0" xfId="0" applyNumberFormat="1" applyAlignment="1">
      <alignment horizontal="right" vertical="center"/>
    </xf>
    <xf numFmtId="9" fontId="0" fillId="0" borderId="0" xfId="0" applyNumberFormat="1" applyAlignment="1">
      <alignment horizontal="center" vertical="center"/>
    </xf>
    <xf numFmtId="178" fontId="15" fillId="0" borderId="0" xfId="0" applyNumberFormat="1" applyFont="1"/>
    <xf numFmtId="178" fontId="15" fillId="11" borderId="0" xfId="0" applyNumberFormat="1" applyFont="1" applyFill="1" applyAlignment="1">
      <alignment horizontal="right" vertical="center"/>
    </xf>
    <xf numFmtId="9" fontId="0" fillId="11" borderId="0" xfId="0" applyNumberFormat="1" applyFill="1" applyAlignment="1">
      <alignment horizontal="center" vertical="center"/>
    </xf>
    <xf numFmtId="178" fontId="0" fillId="0" borderId="0" xfId="0" applyNumberFormat="1"/>
    <xf numFmtId="0" fontId="15" fillId="0" borderId="0" xfId="0" applyFont="1" applyAlignment="1">
      <alignment horizontal="center" vertical="center"/>
    </xf>
    <xf numFmtId="0" fontId="15" fillId="0" borderId="0" xfId="0" applyFont="1"/>
    <xf numFmtId="170" fontId="15" fillId="0" borderId="0" xfId="16" applyFont="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1" fontId="0" fillId="0" borderId="0" xfId="16" applyNumberFormat="1" applyFont="1"/>
    <xf numFmtId="0" fontId="15" fillId="0" borderId="0" xfId="0" applyFont="1" applyAlignment="1">
      <alignment horizontal="center"/>
    </xf>
    <xf numFmtId="178" fontId="15" fillId="0" borderId="0" xfId="0" applyNumberFormat="1" applyFont="1" applyAlignment="1">
      <alignment horizontal="center" vertical="center" wrapText="1"/>
    </xf>
    <xf numFmtId="168" fontId="26" fillId="30" borderId="26" xfId="0" applyNumberFormat="1" applyFont="1" applyFill="1" applyBorder="1" applyAlignment="1">
      <alignment vertical="center"/>
    </xf>
    <xf numFmtId="168" fontId="15" fillId="32" borderId="30" xfId="13" applyNumberFormat="1" applyFont="1" applyFill="1" applyBorder="1" applyAlignment="1">
      <alignment vertical="center"/>
    </xf>
    <xf numFmtId="0" fontId="15" fillId="16" borderId="21" xfId="0" applyFont="1" applyFill="1" applyBorder="1" applyAlignment="1">
      <alignment horizontal="center" vertical="center" wrapText="1"/>
    </xf>
    <xf numFmtId="0" fontId="25" fillId="0" borderId="36" xfId="0" applyFont="1" applyBorder="1" applyAlignment="1">
      <alignment horizontal="center" vertical="center"/>
    </xf>
    <xf numFmtId="0" fontId="25" fillId="0" borderId="0" xfId="0" applyFont="1" applyAlignment="1">
      <alignment horizontal="center" vertical="center"/>
    </xf>
    <xf numFmtId="178" fontId="15" fillId="26" borderId="21" xfId="0" applyNumberFormat="1" applyFont="1" applyFill="1" applyBorder="1" applyAlignment="1">
      <alignment horizontal="center" vertical="center"/>
    </xf>
    <xf numFmtId="171" fontId="15" fillId="19" borderId="21" xfId="16" applyNumberFormat="1" applyFont="1" applyFill="1" applyBorder="1" applyAlignment="1">
      <alignment horizontal="center" vertical="center"/>
    </xf>
    <xf numFmtId="179" fontId="0" fillId="0" borderId="0" xfId="13" applyNumberFormat="1" applyFont="1" applyAlignment="1">
      <alignment vertical="center"/>
    </xf>
    <xf numFmtId="170" fontId="16" fillId="0" borderId="21" xfId="16" applyBorder="1" applyAlignment="1">
      <alignment horizontal="center" vertical="center"/>
    </xf>
    <xf numFmtId="170" fontId="15" fillId="16" borderId="21" xfId="16" applyFont="1" applyFill="1" applyBorder="1" applyAlignment="1">
      <alignment horizontal="center" vertical="center"/>
    </xf>
    <xf numFmtId="0" fontId="0" fillId="0" borderId="0" xfId="0" applyProtection="1">
      <protection locked="0"/>
    </xf>
    <xf numFmtId="0" fontId="0" fillId="0" borderId="0" xfId="0" applyAlignment="1" applyProtection="1">
      <alignment horizontal="left" vertical="center" wrapText="1"/>
      <protection locked="0"/>
    </xf>
    <xf numFmtId="169" fontId="15" fillId="35" borderId="50" xfId="0" applyNumberFormat="1" applyFont="1" applyFill="1" applyBorder="1" applyAlignment="1">
      <alignment horizontal="center" vertical="center" wrapText="1"/>
    </xf>
    <xf numFmtId="0" fontId="30" fillId="0" borderId="0" xfId="0" applyFont="1" applyAlignment="1">
      <alignment horizontal="center" vertical="center" wrapText="1"/>
    </xf>
    <xf numFmtId="170" fontId="31" fillId="0" borderId="0" xfId="16" applyFont="1" applyAlignment="1">
      <alignment horizontal="center" vertical="center"/>
    </xf>
    <xf numFmtId="0" fontId="15" fillId="0" borderId="2" xfId="0" applyFont="1" applyBorder="1" applyAlignment="1">
      <alignment horizontal="right" vertical="center"/>
    </xf>
    <xf numFmtId="0" fontId="27" fillId="11" borderId="0" xfId="0" applyFont="1" applyFill="1" applyAlignment="1">
      <alignment horizontal="left" vertical="center" indent="2"/>
    </xf>
    <xf numFmtId="0" fontId="27" fillId="0" borderId="0" xfId="0" applyFont="1" applyAlignment="1">
      <alignment horizontal="left" vertical="center" indent="2"/>
    </xf>
    <xf numFmtId="0" fontId="27" fillId="0" borderId="0" xfId="0" applyFont="1" applyAlignment="1">
      <alignment vertical="center"/>
    </xf>
    <xf numFmtId="180" fontId="0" fillId="12" borderId="83" xfId="13" applyNumberFormat="1" applyFont="1" applyFill="1" applyBorder="1" applyAlignment="1" applyProtection="1">
      <alignment horizontal="center" vertical="center"/>
      <protection locked="0"/>
    </xf>
    <xf numFmtId="170" fontId="16" fillId="0" borderId="0" xfId="16"/>
    <xf numFmtId="0" fontId="25" fillId="12" borderId="35" xfId="0" applyFont="1" applyFill="1" applyBorder="1" applyAlignment="1" applyProtection="1">
      <alignment horizontal="center" vertical="center"/>
      <protection locked="0"/>
    </xf>
    <xf numFmtId="0" fontId="27" fillId="0" borderId="0" xfId="0" applyFont="1" applyAlignment="1">
      <alignment vertical="center" wrapText="1"/>
    </xf>
    <xf numFmtId="0" fontId="15" fillId="16" borderId="99" xfId="0" applyFont="1" applyFill="1" applyBorder="1" applyAlignment="1">
      <alignment horizontal="center" vertical="center" wrapText="1"/>
    </xf>
    <xf numFmtId="0" fontId="0" fillId="12" borderId="83" xfId="0" applyFill="1" applyBorder="1" applyAlignment="1" applyProtection="1">
      <alignment horizontal="left" vertical="center"/>
      <protection locked="0"/>
    </xf>
    <xf numFmtId="178" fontId="25" fillId="28" borderId="42" xfId="0" applyNumberFormat="1" applyFont="1" applyFill="1" applyBorder="1" applyAlignment="1">
      <alignment vertical="center"/>
    </xf>
    <xf numFmtId="0" fontId="0" fillId="12" borderId="85" xfId="0" applyFill="1" applyBorder="1" applyAlignment="1" applyProtection="1">
      <alignment horizontal="left" vertical="center"/>
      <protection locked="0"/>
    </xf>
    <xf numFmtId="169" fontId="0" fillId="12" borderId="84" xfId="13" applyNumberFormat="1" applyFont="1" applyFill="1" applyBorder="1" applyAlignment="1" applyProtection="1">
      <alignment vertical="center"/>
      <protection locked="0"/>
    </xf>
    <xf numFmtId="181" fontId="16" fillId="37" borderId="83" xfId="16" applyNumberFormat="1" applyFill="1" applyBorder="1" applyAlignment="1">
      <alignment horizontal="center" vertical="center"/>
    </xf>
    <xf numFmtId="0" fontId="23" fillId="0" borderId="0" xfId="20" applyFill="1" applyBorder="1" applyAlignment="1" applyProtection="1">
      <alignment vertical="center"/>
    </xf>
    <xf numFmtId="0" fontId="23" fillId="11" borderId="0" xfId="20" applyFill="1" applyBorder="1" applyAlignment="1" applyProtection="1">
      <alignment vertical="center"/>
    </xf>
    <xf numFmtId="0" fontId="23" fillId="0" borderId="0" xfId="20" applyProtection="1"/>
    <xf numFmtId="0" fontId="23" fillId="0" borderId="0" xfId="20" applyBorder="1" applyAlignment="1" applyProtection="1">
      <alignment vertical="center"/>
    </xf>
    <xf numFmtId="0" fontId="23" fillId="0" borderId="0" xfId="20" applyBorder="1" applyAlignment="1" applyProtection="1">
      <alignment horizontal="left" vertical="center"/>
    </xf>
    <xf numFmtId="0" fontId="27" fillId="0" borderId="0" xfId="0" applyFont="1" applyAlignment="1">
      <alignment horizontal="left" vertical="center"/>
    </xf>
    <xf numFmtId="0" fontId="23" fillId="0" borderId="0" xfId="20" quotePrefix="1" applyBorder="1" applyAlignment="1" applyProtection="1">
      <alignment horizontal="left" vertical="center"/>
    </xf>
    <xf numFmtId="0" fontId="23" fillId="0" borderId="0" xfId="20"/>
    <xf numFmtId="0" fontId="23" fillId="11" borderId="0" xfId="20" applyFill="1" applyBorder="1" applyAlignment="1" applyProtection="1">
      <alignment horizontal="left" vertical="center"/>
    </xf>
    <xf numFmtId="0" fontId="23" fillId="0" borderId="0" xfId="20" applyAlignment="1" applyProtection="1">
      <alignment horizontal="left"/>
    </xf>
    <xf numFmtId="0" fontId="0" fillId="0" borderId="109" xfId="0" applyBorder="1" applyAlignment="1">
      <alignment horizontal="left" vertical="center"/>
    </xf>
    <xf numFmtId="176" fontId="32" fillId="0" borderId="109" xfId="0" applyNumberFormat="1" applyFont="1" applyBorder="1" applyAlignment="1">
      <alignment horizontal="left"/>
    </xf>
    <xf numFmtId="176" fontId="21" fillId="0" borderId="109" xfId="0" applyNumberFormat="1" applyFont="1" applyBorder="1" applyAlignment="1">
      <alignment horizontal="left"/>
    </xf>
    <xf numFmtId="169" fontId="0" fillId="12" borderId="80" xfId="13" applyNumberFormat="1" applyFont="1" applyFill="1" applyBorder="1" applyAlignment="1" applyProtection="1">
      <alignment vertical="center"/>
      <protection locked="0"/>
    </xf>
    <xf numFmtId="177" fontId="21" fillId="12" borderId="80" xfId="12" applyNumberFormat="1" applyFont="1" applyFill="1" applyBorder="1" applyAlignment="1" applyProtection="1">
      <alignment vertical="center"/>
      <protection locked="0"/>
    </xf>
    <xf numFmtId="169" fontId="21" fillId="12" borderId="80" xfId="13" applyNumberFormat="1" applyFont="1" applyFill="1" applyBorder="1" applyAlignment="1" applyProtection="1">
      <alignment vertical="center"/>
      <protection locked="0"/>
    </xf>
    <xf numFmtId="0" fontId="13" fillId="20" borderId="109" xfId="0" applyFont="1" applyFill="1" applyBorder="1" applyAlignment="1">
      <alignment horizontal="left" vertical="center"/>
    </xf>
    <xf numFmtId="176" fontId="21" fillId="0" borderId="77" xfId="0" applyNumberFormat="1" applyFont="1" applyBorder="1" applyAlignment="1">
      <alignment horizontal="left"/>
    </xf>
    <xf numFmtId="169" fontId="13" fillId="20" borderId="80" xfId="13" applyNumberFormat="1" applyFont="1" applyFill="1" applyBorder="1" applyAlignment="1">
      <alignment horizontal="center" vertical="center"/>
    </xf>
    <xf numFmtId="169" fontId="13" fillId="22" borderId="80" xfId="13" applyNumberFormat="1" applyFont="1" applyFill="1" applyBorder="1" applyAlignment="1">
      <alignment vertical="center"/>
    </xf>
    <xf numFmtId="0" fontId="13" fillId="23" borderId="109" xfId="0" applyFont="1" applyFill="1" applyBorder="1" applyAlignment="1">
      <alignment horizontal="left" vertical="center"/>
    </xf>
    <xf numFmtId="0" fontId="15" fillId="32" borderId="31" xfId="0" applyFont="1" applyFill="1" applyBorder="1" applyAlignment="1">
      <alignment vertical="center"/>
    </xf>
    <xf numFmtId="169" fontId="13" fillId="28" borderId="112" xfId="13" applyNumberFormat="1" applyFont="1" applyFill="1" applyBorder="1" applyAlignment="1">
      <alignment vertical="center"/>
    </xf>
    <xf numFmtId="169" fontId="13" fillId="20" borderId="111" xfId="13" applyNumberFormat="1" applyFont="1" applyFill="1" applyBorder="1" applyAlignment="1">
      <alignment horizontal="center" vertical="center"/>
    </xf>
    <xf numFmtId="169" fontId="13" fillId="23" borderId="111" xfId="13" applyNumberFormat="1" applyFont="1" applyFill="1" applyBorder="1" applyAlignment="1">
      <alignment horizontal="center" vertical="center"/>
    </xf>
    <xf numFmtId="169" fontId="13" fillId="20" borderId="112" xfId="13" applyNumberFormat="1" applyFont="1" applyFill="1" applyBorder="1" applyAlignment="1">
      <alignment vertical="center"/>
    </xf>
    <xf numFmtId="169" fontId="13" fillId="28" borderId="107" xfId="13" applyNumberFormat="1" applyFont="1" applyFill="1" applyBorder="1" applyAlignment="1">
      <alignment vertical="center"/>
    </xf>
    <xf numFmtId="169" fontId="13" fillId="23" borderId="112" xfId="13" applyNumberFormat="1" applyFont="1" applyFill="1" applyBorder="1" applyAlignment="1">
      <alignment horizontal="center" vertical="center"/>
    </xf>
    <xf numFmtId="169" fontId="21" fillId="29" borderId="80" xfId="13" applyNumberFormat="1" applyFont="1" applyFill="1" applyBorder="1" applyAlignment="1">
      <alignment vertical="center"/>
    </xf>
    <xf numFmtId="169" fontId="13" fillId="23" borderId="80" xfId="13" applyNumberFormat="1" applyFont="1" applyFill="1" applyBorder="1" applyAlignment="1">
      <alignment horizontal="center" vertical="center"/>
    </xf>
    <xf numFmtId="169" fontId="13" fillId="24" borderId="80" xfId="13" applyNumberFormat="1" applyFont="1" applyFill="1" applyBorder="1" applyAlignment="1">
      <alignment vertical="center"/>
    </xf>
    <xf numFmtId="169" fontId="13" fillId="20" borderId="80" xfId="13" applyNumberFormat="1" applyFont="1" applyFill="1" applyBorder="1" applyAlignment="1">
      <alignment vertical="center"/>
    </xf>
    <xf numFmtId="168" fontId="15" fillId="32" borderId="80" xfId="13" applyNumberFormat="1" applyFont="1" applyFill="1" applyBorder="1" applyAlignment="1">
      <alignment vertical="center"/>
    </xf>
    <xf numFmtId="168" fontId="15" fillId="33" borderId="80" xfId="13" applyNumberFormat="1" applyFont="1" applyFill="1" applyBorder="1" applyAlignment="1">
      <alignment vertical="center"/>
    </xf>
    <xf numFmtId="0" fontId="15" fillId="17" borderId="80" xfId="0" applyFont="1" applyFill="1" applyBorder="1" applyAlignment="1">
      <alignment horizontal="center" vertical="center" wrapText="1"/>
    </xf>
    <xf numFmtId="175" fontId="15" fillId="17" borderId="80" xfId="12" applyNumberFormat="1" applyFont="1" applyFill="1" applyBorder="1" applyAlignment="1">
      <alignment horizontal="center" vertical="center" wrapText="1"/>
    </xf>
    <xf numFmtId="169" fontId="15" fillId="41" borderId="80" xfId="13" applyNumberFormat="1" applyFont="1" applyFill="1" applyBorder="1" applyAlignment="1">
      <alignment vertical="center"/>
    </xf>
    <xf numFmtId="169" fontId="15" fillId="42" borderId="80" xfId="13" applyNumberFormat="1" applyFont="1" applyFill="1" applyBorder="1" applyAlignment="1">
      <alignment vertical="center"/>
    </xf>
    <xf numFmtId="169" fontId="21" fillId="1" borderId="80" xfId="13" applyNumberFormat="1" applyFont="1" applyFill="1" applyBorder="1" applyAlignment="1">
      <alignment vertical="center"/>
    </xf>
    <xf numFmtId="177" fontId="21" fillId="1" borderId="80" xfId="12" applyNumberFormat="1" applyFont="1" applyFill="1" applyBorder="1" applyAlignment="1">
      <alignment vertical="center"/>
    </xf>
    <xf numFmtId="0" fontId="15" fillId="0" borderId="0" xfId="0" applyFont="1" applyAlignment="1" applyProtection="1">
      <alignment horizontal="center" vertical="center"/>
      <protection locked="0"/>
    </xf>
    <xf numFmtId="1" fontId="0" fillId="0" borderId="114" xfId="0" applyNumberFormat="1" applyBorder="1"/>
    <xf numFmtId="169" fontId="0" fillId="46" borderId="80" xfId="13" applyNumberFormat="1" applyFont="1" applyFill="1" applyBorder="1" applyAlignment="1">
      <alignment vertical="center"/>
    </xf>
    <xf numFmtId="0" fontId="15" fillId="0" borderId="0" xfId="0" applyFont="1" applyAlignment="1" applyProtection="1">
      <alignment vertical="center"/>
      <protection locked="0"/>
    </xf>
    <xf numFmtId="169" fontId="0" fillId="0" borderId="0" xfId="0" applyNumberFormat="1" applyAlignment="1">
      <alignment vertical="center"/>
    </xf>
    <xf numFmtId="169" fontId="15" fillId="0" borderId="0" xfId="0" applyNumberFormat="1" applyFont="1" applyAlignment="1">
      <alignment vertical="center"/>
    </xf>
    <xf numFmtId="180" fontId="0" fillId="12" borderId="115" xfId="13" applyNumberFormat="1" applyFont="1" applyFill="1" applyBorder="1" applyAlignment="1" applyProtection="1">
      <alignment horizontal="center" vertical="center"/>
      <protection locked="0"/>
    </xf>
    <xf numFmtId="169" fontId="0" fillId="0" borderId="121" xfId="0" applyNumberFormat="1" applyBorder="1" applyAlignment="1">
      <alignment vertical="center"/>
    </xf>
    <xf numFmtId="169" fontId="15" fillId="35" borderId="122" xfId="0" applyNumberFormat="1" applyFont="1" applyFill="1" applyBorder="1" applyAlignment="1">
      <alignment horizontal="center" vertical="center" wrapText="1"/>
    </xf>
    <xf numFmtId="169" fontId="15" fillId="35" borderId="123" xfId="0" applyNumberFormat="1" applyFont="1" applyFill="1" applyBorder="1" applyAlignment="1">
      <alignment horizontal="center" vertical="center" wrapText="1"/>
    </xf>
    <xf numFmtId="169" fontId="15" fillId="35" borderId="124" xfId="0" applyNumberFormat="1" applyFont="1" applyFill="1" applyBorder="1" applyAlignment="1">
      <alignment horizontal="center" vertical="center" wrapText="1"/>
    </xf>
    <xf numFmtId="169" fontId="0" fillId="10" borderId="80" xfId="13" applyNumberFormat="1" applyFont="1" applyFill="1" applyBorder="1" applyAlignment="1">
      <alignment horizontal="right" vertical="center"/>
    </xf>
    <xf numFmtId="174" fontId="0" fillId="0" borderId="80" xfId="12" applyNumberFormat="1" applyFont="1" applyBorder="1" applyAlignment="1">
      <alignment vertical="center"/>
    </xf>
    <xf numFmtId="169" fontId="16" fillId="0" borderId="78" xfId="13" applyNumberFormat="1" applyBorder="1" applyAlignment="1">
      <alignment vertical="center"/>
    </xf>
    <xf numFmtId="169" fontId="0" fillId="10" borderId="78" xfId="13" applyNumberFormat="1" applyFont="1" applyFill="1" applyBorder="1" applyAlignment="1">
      <alignment horizontal="right" vertical="center"/>
    </xf>
    <xf numFmtId="169" fontId="15" fillId="40" borderId="127" xfId="0" applyNumberFormat="1" applyFont="1" applyFill="1" applyBorder="1" applyAlignment="1">
      <alignment vertical="center"/>
    </xf>
    <xf numFmtId="169" fontId="15" fillId="40" borderId="83" xfId="13" applyNumberFormat="1" applyFont="1" applyFill="1" applyBorder="1" applyAlignment="1">
      <alignment vertical="center"/>
    </xf>
    <xf numFmtId="169" fontId="15" fillId="40" borderId="83" xfId="13" applyNumberFormat="1" applyFont="1" applyFill="1" applyBorder="1" applyAlignment="1">
      <alignment horizontal="right" vertical="center"/>
    </xf>
    <xf numFmtId="169" fontId="16" fillId="0" borderId="44" xfId="13" applyNumberFormat="1" applyBorder="1" applyAlignment="1">
      <alignment vertical="center"/>
    </xf>
    <xf numFmtId="169" fontId="16" fillId="0" borderId="79" xfId="13" applyNumberFormat="1" applyBorder="1" applyAlignment="1">
      <alignment vertical="center"/>
    </xf>
    <xf numFmtId="174" fontId="0" fillId="0" borderId="81" xfId="12" applyNumberFormat="1" applyFont="1" applyBorder="1" applyAlignment="1">
      <alignment vertical="center"/>
    </xf>
    <xf numFmtId="174" fontId="0" fillId="0" borderId="82" xfId="12" applyNumberFormat="1" applyFont="1" applyBorder="1" applyAlignment="1">
      <alignment vertical="center"/>
    </xf>
    <xf numFmtId="169" fontId="15" fillId="40" borderId="85" xfId="13" applyNumberFormat="1" applyFont="1" applyFill="1" applyBorder="1" applyAlignment="1">
      <alignment vertical="center"/>
    </xf>
    <xf numFmtId="169" fontId="15" fillId="40" borderId="84" xfId="13" applyNumberFormat="1" applyFont="1" applyFill="1" applyBorder="1" applyAlignment="1">
      <alignment vertical="center"/>
    </xf>
    <xf numFmtId="169" fontId="0" fillId="10" borderId="110" xfId="13" applyNumberFormat="1" applyFont="1" applyFill="1" applyBorder="1" applyAlignment="1">
      <alignment horizontal="right" vertical="center"/>
    </xf>
    <xf numFmtId="169" fontId="0" fillId="10" borderId="95" xfId="13" applyNumberFormat="1" applyFont="1" applyFill="1" applyBorder="1" applyAlignment="1">
      <alignment horizontal="right" vertical="center"/>
    </xf>
    <xf numFmtId="169" fontId="15" fillId="40" borderId="94" xfId="13" applyNumberFormat="1" applyFont="1" applyFill="1" applyBorder="1" applyAlignment="1">
      <alignment horizontal="right" vertical="center"/>
    </xf>
    <xf numFmtId="169" fontId="16" fillId="44" borderId="48" xfId="13" applyNumberFormat="1" applyFill="1" applyBorder="1" applyAlignment="1">
      <alignment vertical="center"/>
    </xf>
    <xf numFmtId="174" fontId="0" fillId="12" borderId="90" xfId="12" applyNumberFormat="1" applyFont="1" applyFill="1" applyBorder="1" applyAlignment="1" applyProtection="1">
      <alignment vertical="center"/>
      <protection locked="0"/>
    </xf>
    <xf numFmtId="169" fontId="15" fillId="40" borderId="76" xfId="13" applyNumberFormat="1" applyFont="1" applyFill="1" applyBorder="1" applyAlignment="1">
      <alignment vertical="center"/>
    </xf>
    <xf numFmtId="169" fontId="15" fillId="40" borderId="104" xfId="13" applyNumberFormat="1" applyFont="1" applyFill="1" applyBorder="1" applyAlignment="1">
      <alignment horizontal="right" vertical="center"/>
    </xf>
    <xf numFmtId="0" fontId="15" fillId="15" borderId="108" xfId="0" applyFont="1" applyFill="1" applyBorder="1" applyAlignment="1">
      <alignment horizontal="center" vertical="center" wrapText="1"/>
    </xf>
    <xf numFmtId="169" fontId="20" fillId="36" borderId="68" xfId="0" applyNumberFormat="1" applyFont="1" applyFill="1" applyBorder="1" applyAlignment="1">
      <alignment horizontal="center" vertical="center" wrapText="1"/>
    </xf>
    <xf numFmtId="169" fontId="20" fillId="36" borderId="137" xfId="0" applyNumberFormat="1" applyFont="1" applyFill="1" applyBorder="1" applyAlignment="1">
      <alignment horizontal="center" vertical="center" wrapText="1"/>
    </xf>
    <xf numFmtId="0" fontId="20" fillId="36" borderId="67" xfId="0" applyFont="1" applyFill="1" applyBorder="1" applyAlignment="1">
      <alignment horizontal="center" vertical="center" wrapText="1"/>
    </xf>
    <xf numFmtId="0" fontId="20" fillId="25" borderId="138" xfId="0" applyFont="1" applyFill="1" applyBorder="1" applyAlignment="1">
      <alignment horizontal="center" vertical="center" wrapText="1"/>
    </xf>
    <xf numFmtId="0" fontId="20" fillId="25" borderId="135" xfId="0" applyFont="1" applyFill="1" applyBorder="1" applyAlignment="1">
      <alignment horizontal="center" vertical="center" wrapText="1"/>
    </xf>
    <xf numFmtId="0" fontId="20" fillId="25" borderId="68" xfId="0" applyFont="1" applyFill="1" applyBorder="1" applyAlignment="1">
      <alignment horizontal="center" vertical="center" wrapText="1"/>
    </xf>
    <xf numFmtId="0" fontId="15" fillId="15" borderId="71" xfId="0" applyFont="1" applyFill="1" applyBorder="1" applyAlignment="1">
      <alignment horizontal="center" vertical="center" wrapText="1"/>
    </xf>
    <xf numFmtId="0" fontId="15" fillId="0" borderId="139" xfId="0" applyFont="1" applyBorder="1" applyAlignment="1">
      <alignment horizontal="left" vertical="center"/>
    </xf>
    <xf numFmtId="169" fontId="0" fillId="29" borderId="117" xfId="13" applyNumberFormat="1" applyFont="1" applyFill="1" applyBorder="1" applyAlignment="1">
      <alignment vertical="center"/>
    </xf>
    <xf numFmtId="169" fontId="0" fillId="29" borderId="121" xfId="13" applyNumberFormat="1" applyFont="1" applyFill="1" applyBorder="1" applyAlignment="1">
      <alignment vertical="center"/>
    </xf>
    <xf numFmtId="169" fontId="15" fillId="29" borderId="140" xfId="13" applyNumberFormat="1" applyFont="1" applyFill="1" applyBorder="1" applyAlignment="1">
      <alignment vertical="center"/>
    </xf>
    <xf numFmtId="169" fontId="0" fillId="19" borderId="141" xfId="13" applyNumberFormat="1" applyFont="1" applyFill="1" applyBorder="1" applyAlignment="1">
      <alignment vertical="center"/>
    </xf>
    <xf numFmtId="169" fontId="0" fillId="19" borderId="142" xfId="13" applyNumberFormat="1" applyFont="1" applyFill="1" applyBorder="1" applyAlignment="1">
      <alignment vertical="center"/>
    </xf>
    <xf numFmtId="169" fontId="15" fillId="19" borderId="117" xfId="13" applyNumberFormat="1" applyFont="1" applyFill="1" applyBorder="1" applyAlignment="1">
      <alignment vertical="center"/>
    </xf>
    <xf numFmtId="169" fontId="15" fillId="0" borderId="143" xfId="13" applyNumberFormat="1" applyFont="1" applyBorder="1" applyAlignment="1">
      <alignment vertical="center"/>
    </xf>
    <xf numFmtId="0" fontId="15" fillId="15" borderId="144" xfId="0" applyFont="1" applyFill="1" applyBorder="1" applyAlignment="1">
      <alignment horizontal="center" vertical="center"/>
    </xf>
    <xf numFmtId="169" fontId="24" fillId="15" borderId="145" xfId="13" applyNumberFormat="1" applyFont="1" applyFill="1" applyBorder="1" applyAlignment="1">
      <alignment vertical="center"/>
    </xf>
    <xf numFmtId="169" fontId="24" fillId="15" borderId="146" xfId="13" applyNumberFormat="1" applyFont="1" applyFill="1" applyBorder="1" applyAlignment="1">
      <alignment vertical="center"/>
    </xf>
    <xf numFmtId="169" fontId="24" fillId="15" borderId="147" xfId="13" applyNumberFormat="1" applyFont="1" applyFill="1" applyBorder="1" applyAlignment="1">
      <alignment vertical="center"/>
    </xf>
    <xf numFmtId="168" fontId="0" fillId="0" borderId="87" xfId="13" applyNumberFormat="1" applyFont="1" applyBorder="1" applyAlignment="1">
      <alignment vertical="center"/>
    </xf>
    <xf numFmtId="168" fontId="0" fillId="0" borderId="88" xfId="13" applyNumberFormat="1" applyFont="1" applyBorder="1" applyAlignment="1">
      <alignment vertical="center"/>
    </xf>
    <xf numFmtId="169" fontId="0" fillId="29" borderId="80" xfId="13" applyNumberFormat="1" applyFont="1" applyFill="1" applyBorder="1" applyAlignment="1">
      <alignment vertical="center"/>
    </xf>
    <xf numFmtId="169" fontId="0" fillId="29" borderId="85" xfId="13" applyNumberFormat="1" applyFont="1" applyFill="1" applyBorder="1" applyAlignment="1">
      <alignment vertical="center"/>
    </xf>
    <xf numFmtId="169" fontId="0" fillId="29" borderId="83" xfId="13" applyNumberFormat="1" applyFont="1" applyFill="1" applyBorder="1" applyAlignment="1">
      <alignment vertical="center"/>
    </xf>
    <xf numFmtId="169" fontId="0" fillId="29" borderId="84" xfId="13" applyNumberFormat="1" applyFont="1" applyFill="1" applyBorder="1" applyAlignment="1">
      <alignment vertical="center"/>
    </xf>
    <xf numFmtId="169" fontId="15" fillId="35" borderId="153" xfId="0" applyNumberFormat="1" applyFont="1" applyFill="1" applyBorder="1" applyAlignment="1">
      <alignment horizontal="center" vertical="center" wrapText="1"/>
    </xf>
    <xf numFmtId="169" fontId="15" fillId="35" borderId="154" xfId="0" applyNumberFormat="1" applyFont="1" applyFill="1" applyBorder="1" applyAlignment="1">
      <alignment horizontal="center" vertical="center" wrapText="1"/>
    </xf>
    <xf numFmtId="169" fontId="15" fillId="35" borderId="155" xfId="0" applyNumberFormat="1" applyFont="1" applyFill="1" applyBorder="1" applyAlignment="1">
      <alignment horizontal="center" vertical="center" wrapText="1"/>
    </xf>
    <xf numFmtId="169" fontId="15" fillId="15" borderId="156" xfId="0" applyNumberFormat="1" applyFont="1" applyFill="1" applyBorder="1" applyAlignment="1">
      <alignment horizontal="center" vertical="center" wrapText="1"/>
    </xf>
    <xf numFmtId="169" fontId="15" fillId="15" borderId="154" xfId="0" applyNumberFormat="1" applyFont="1" applyFill="1" applyBorder="1" applyAlignment="1">
      <alignment horizontal="center" vertical="center" wrapText="1"/>
    </xf>
    <xf numFmtId="169" fontId="15" fillId="15" borderId="157" xfId="0" applyNumberFormat="1" applyFont="1" applyFill="1" applyBorder="1" applyAlignment="1">
      <alignment horizontal="center" vertical="center" wrapText="1"/>
    </xf>
    <xf numFmtId="0" fontId="15" fillId="15" borderId="153" xfId="0" applyFont="1" applyFill="1" applyBorder="1" applyAlignment="1">
      <alignment horizontal="center" vertical="center"/>
    </xf>
    <xf numFmtId="0" fontId="15" fillId="15" borderId="158" xfId="0" applyFont="1" applyFill="1" applyBorder="1" applyAlignment="1">
      <alignment horizontal="center" vertical="center"/>
    </xf>
    <xf numFmtId="169" fontId="16" fillId="0" borderId="48" xfId="13" applyNumberFormat="1" applyBorder="1" applyAlignment="1">
      <alignment vertical="center"/>
    </xf>
    <xf numFmtId="169" fontId="15" fillId="40" borderId="86" xfId="13" applyNumberFormat="1" applyFont="1" applyFill="1" applyBorder="1" applyAlignment="1">
      <alignment vertical="center"/>
    </xf>
    <xf numFmtId="169" fontId="15" fillId="40" borderId="148" xfId="13" applyNumberFormat="1" applyFont="1" applyFill="1" applyBorder="1" applyAlignment="1">
      <alignment vertical="center"/>
    </xf>
    <xf numFmtId="169" fontId="15" fillId="40" borderId="99" xfId="13" applyNumberFormat="1" applyFont="1" applyFill="1" applyBorder="1" applyAlignment="1">
      <alignment vertical="center"/>
    </xf>
    <xf numFmtId="174" fontId="0" fillId="0" borderId="90" xfId="12" applyNumberFormat="1" applyFont="1" applyBorder="1" applyAlignment="1">
      <alignment vertical="center"/>
    </xf>
    <xf numFmtId="169" fontId="0" fillId="0" borderId="61" xfId="13" applyNumberFormat="1" applyFont="1" applyBorder="1" applyAlignment="1">
      <alignment vertical="center"/>
    </xf>
    <xf numFmtId="169" fontId="0" fillId="0" borderId="126" xfId="13" applyNumberFormat="1" applyFont="1" applyBorder="1" applyAlignment="1">
      <alignment vertical="center"/>
    </xf>
    <xf numFmtId="169" fontId="0" fillId="0" borderId="105" xfId="13" applyNumberFormat="1" applyFont="1" applyBorder="1" applyAlignment="1">
      <alignment vertical="center"/>
    </xf>
    <xf numFmtId="169" fontId="24" fillId="32" borderId="149" xfId="13" applyNumberFormat="1" applyFont="1" applyFill="1" applyBorder="1" applyAlignment="1">
      <alignment vertical="center" wrapText="1"/>
    </xf>
    <xf numFmtId="169" fontId="24" fillId="32" borderId="115" xfId="13" applyNumberFormat="1" applyFont="1" applyFill="1" applyBorder="1" applyAlignment="1">
      <alignment vertical="center" wrapText="1"/>
    </xf>
    <xf numFmtId="169" fontId="24" fillId="32" borderId="116" xfId="13" applyNumberFormat="1" applyFont="1" applyFill="1" applyBorder="1" applyAlignment="1">
      <alignment vertical="center" wrapText="1"/>
    </xf>
    <xf numFmtId="169" fontId="24" fillId="32" borderId="118" xfId="13" applyNumberFormat="1" applyFont="1" applyFill="1" applyBorder="1" applyAlignment="1">
      <alignment vertical="center" wrapText="1"/>
    </xf>
    <xf numFmtId="169" fontId="24" fillId="32" borderId="160" xfId="13" applyNumberFormat="1" applyFont="1" applyFill="1" applyBorder="1" applyAlignment="1">
      <alignment vertical="center" wrapText="1"/>
    </xf>
    <xf numFmtId="169" fontId="24" fillId="32" borderId="161" xfId="13" applyNumberFormat="1" applyFont="1" applyFill="1" applyBorder="1" applyAlignment="1">
      <alignment vertical="center" wrapText="1"/>
    </xf>
    <xf numFmtId="169" fontId="24" fillId="32" borderId="162" xfId="13" applyNumberFormat="1" applyFont="1" applyFill="1" applyBorder="1" applyAlignment="1">
      <alignment vertical="center" wrapText="1"/>
    </xf>
    <xf numFmtId="169" fontId="24" fillId="32" borderId="150" xfId="13" applyNumberFormat="1" applyFont="1" applyFill="1" applyBorder="1" applyAlignment="1">
      <alignment vertical="center" wrapText="1"/>
    </xf>
    <xf numFmtId="169" fontId="24" fillId="32" borderId="45" xfId="13" applyNumberFormat="1" applyFont="1" applyFill="1" applyBorder="1" applyAlignment="1">
      <alignment vertical="center" wrapText="1"/>
    </xf>
    <xf numFmtId="169" fontId="24" fillId="32" borderId="46" xfId="13" applyNumberFormat="1" applyFont="1" applyFill="1" applyBorder="1" applyAlignment="1">
      <alignment vertical="center" wrapText="1"/>
    </xf>
    <xf numFmtId="169" fontId="24" fillId="32" borderId="49" xfId="13" applyNumberFormat="1" applyFont="1" applyFill="1" applyBorder="1" applyAlignment="1">
      <alignment vertical="center" wrapText="1"/>
    </xf>
    <xf numFmtId="169" fontId="24" fillId="32" borderId="56" xfId="13" applyNumberFormat="1" applyFont="1" applyFill="1" applyBorder="1" applyAlignment="1">
      <alignment vertical="center" wrapText="1"/>
    </xf>
    <xf numFmtId="179" fontId="0" fillId="46" borderId="168" xfId="13" applyNumberFormat="1" applyFont="1" applyFill="1" applyBorder="1" applyAlignment="1">
      <alignment vertical="center"/>
    </xf>
    <xf numFmtId="169" fontId="15" fillId="35" borderId="44" xfId="0" applyNumberFormat="1" applyFont="1" applyFill="1" applyBorder="1" applyAlignment="1">
      <alignment horizontal="center" vertical="center" wrapText="1"/>
    </xf>
    <xf numFmtId="169" fontId="15" fillId="35" borderId="78" xfId="0" applyNumberFormat="1" applyFont="1" applyFill="1" applyBorder="1" applyAlignment="1">
      <alignment horizontal="center" vertical="center" wrapText="1"/>
    </xf>
    <xf numFmtId="171" fontId="0" fillId="12" borderId="169" xfId="13" applyNumberFormat="1" applyFont="1" applyFill="1" applyBorder="1" applyAlignment="1" applyProtection="1">
      <alignment horizontal="center" vertical="center"/>
      <protection locked="0"/>
    </xf>
    <xf numFmtId="171" fontId="0" fillId="46" borderId="168" xfId="13" applyNumberFormat="1" applyFont="1" applyFill="1" applyBorder="1" applyAlignment="1">
      <alignment horizontal="center" vertical="center"/>
    </xf>
    <xf numFmtId="171" fontId="0" fillId="12" borderId="85" xfId="13" applyNumberFormat="1" applyFont="1" applyFill="1" applyBorder="1" applyAlignment="1" applyProtection="1">
      <alignment horizontal="center" vertical="center"/>
      <protection locked="0"/>
    </xf>
    <xf numFmtId="171" fontId="0" fillId="46" borderId="83" xfId="13" applyNumberFormat="1" applyFont="1" applyFill="1" applyBorder="1" applyAlignment="1">
      <alignment horizontal="center" vertical="center"/>
    </xf>
    <xf numFmtId="169" fontId="15" fillId="15" borderId="130" xfId="0" applyNumberFormat="1" applyFont="1" applyFill="1" applyBorder="1" applyAlignment="1">
      <alignment horizontal="center" vertical="center" wrapText="1"/>
    </xf>
    <xf numFmtId="169" fontId="15" fillId="15" borderId="167" xfId="0" applyNumberFormat="1" applyFont="1" applyFill="1" applyBorder="1" applyAlignment="1">
      <alignment horizontal="center" vertical="center" wrapText="1"/>
    </xf>
    <xf numFmtId="179" fontId="0" fillId="29" borderId="168" xfId="13" applyNumberFormat="1" applyFont="1" applyFill="1" applyBorder="1" applyAlignment="1">
      <alignment vertical="center"/>
    </xf>
    <xf numFmtId="179" fontId="0" fillId="29" borderId="170" xfId="13" applyNumberFormat="1" applyFont="1" applyFill="1" applyBorder="1" applyAlignment="1">
      <alignment vertical="center"/>
    </xf>
    <xf numFmtId="179" fontId="0" fillId="29" borderId="83" xfId="13" applyNumberFormat="1" applyFont="1" applyFill="1" applyBorder="1" applyAlignment="1">
      <alignment vertical="center"/>
    </xf>
    <xf numFmtId="179" fontId="0" fillId="29" borderId="84" xfId="13" applyNumberFormat="1" applyFont="1" applyFill="1" applyBorder="1" applyAlignment="1">
      <alignment vertical="center"/>
    </xf>
    <xf numFmtId="178" fontId="24" fillId="28" borderId="152" xfId="0" applyNumberFormat="1" applyFont="1" applyFill="1" applyBorder="1" applyAlignment="1">
      <alignment horizontal="center" vertical="center"/>
    </xf>
    <xf numFmtId="169" fontId="15" fillId="15" borderId="166" xfId="0" applyNumberFormat="1" applyFont="1" applyFill="1" applyBorder="1" applyAlignment="1">
      <alignment horizontal="center" vertical="center" wrapText="1"/>
    </xf>
    <xf numFmtId="169" fontId="15" fillId="15" borderId="137" xfId="0" applyNumberFormat="1" applyFont="1" applyFill="1" applyBorder="1" applyAlignment="1">
      <alignment horizontal="center" vertical="center" wrapText="1"/>
    </xf>
    <xf numFmtId="169" fontId="15" fillId="15" borderId="180" xfId="0" applyNumberFormat="1" applyFont="1" applyFill="1" applyBorder="1" applyAlignment="1">
      <alignment horizontal="center" vertical="center" wrapText="1"/>
    </xf>
    <xf numFmtId="169" fontId="15" fillId="15" borderId="181" xfId="0" applyNumberFormat="1" applyFont="1" applyFill="1" applyBorder="1" applyAlignment="1">
      <alignment horizontal="center" vertical="center" wrapText="1"/>
    </xf>
    <xf numFmtId="169" fontId="0" fillId="37" borderId="169" xfId="13" applyNumberFormat="1" applyFont="1" applyFill="1" applyBorder="1" applyAlignment="1">
      <alignment vertical="center"/>
    </xf>
    <xf numFmtId="169" fontId="0" fillId="37" borderId="168" xfId="13" applyNumberFormat="1" applyFont="1" applyFill="1" applyBorder="1" applyAlignment="1">
      <alignment vertical="center"/>
    </xf>
    <xf numFmtId="169" fontId="0" fillId="0" borderId="168" xfId="13" applyNumberFormat="1" applyFont="1" applyBorder="1" applyAlignment="1">
      <alignment vertical="center"/>
    </xf>
    <xf numFmtId="171" fontId="0" fillId="0" borderId="169" xfId="0" applyNumberFormat="1" applyBorder="1" applyAlignment="1">
      <alignment horizontal="center" vertical="center"/>
    </xf>
    <xf numFmtId="171" fontId="0" fillId="0" borderId="168" xfId="0" applyNumberFormat="1" applyBorder="1" applyAlignment="1">
      <alignment horizontal="center" vertical="center"/>
    </xf>
    <xf numFmtId="171" fontId="0" fillId="0" borderId="170" xfId="0" applyNumberFormat="1" applyBorder="1" applyAlignment="1">
      <alignment horizontal="center" vertical="center"/>
    </xf>
    <xf numFmtId="169" fontId="0" fillId="37" borderId="85" xfId="13" applyNumberFormat="1" applyFont="1" applyFill="1" applyBorder="1" applyAlignment="1">
      <alignment vertical="center"/>
    </xf>
    <xf numFmtId="169" fontId="0" fillId="37" borderId="83" xfId="13" applyNumberFormat="1" applyFont="1" applyFill="1" applyBorder="1" applyAlignment="1">
      <alignment vertical="center"/>
    </xf>
    <xf numFmtId="169" fontId="0" fillId="37" borderId="76" xfId="13" applyNumberFormat="1" applyFont="1" applyFill="1" applyBorder="1" applyAlignment="1">
      <alignment vertical="center"/>
    </xf>
    <xf numFmtId="169" fontId="0" fillId="0" borderId="85" xfId="13" applyNumberFormat="1" applyFont="1" applyBorder="1" applyAlignment="1">
      <alignment vertical="center"/>
    </xf>
    <xf numFmtId="169" fontId="0" fillId="0" borderId="83" xfId="13" applyNumberFormat="1" applyFont="1" applyBorder="1" applyAlignment="1">
      <alignment vertical="center"/>
    </xf>
    <xf numFmtId="169" fontId="0" fillId="0" borderId="76" xfId="13" applyNumberFormat="1" applyFont="1" applyBorder="1" applyAlignment="1">
      <alignment vertical="center"/>
    </xf>
    <xf numFmtId="171" fontId="0" fillId="0" borderId="85" xfId="0" applyNumberFormat="1" applyBorder="1" applyAlignment="1">
      <alignment horizontal="center" vertical="center"/>
    </xf>
    <xf numFmtId="171" fontId="0" fillId="0" borderId="83" xfId="0" applyNumberFormat="1" applyBorder="1" applyAlignment="1">
      <alignment horizontal="center" vertical="center"/>
    </xf>
    <xf numFmtId="171" fontId="0" fillId="0" borderId="84" xfId="0" applyNumberFormat="1" applyBorder="1" applyAlignment="1">
      <alignment horizontal="center" vertical="center"/>
    </xf>
    <xf numFmtId="169" fontId="0" fillId="28" borderId="80" xfId="13" applyNumberFormat="1" applyFont="1" applyFill="1" applyBorder="1" applyAlignment="1">
      <alignment vertical="center"/>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30" fillId="0" borderId="0" xfId="0" applyFont="1" applyAlignment="1" applyProtection="1">
      <alignment horizontal="left" vertical="center" wrapText="1"/>
      <protection locked="0"/>
    </xf>
    <xf numFmtId="0" fontId="35" fillId="0" borderId="0" xfId="0" applyFont="1" applyAlignment="1" applyProtection="1">
      <alignment horizontal="left" vertical="center" wrapText="1"/>
      <protection locked="0"/>
    </xf>
    <xf numFmtId="0" fontId="31" fillId="0" borderId="0" xfId="0" applyFont="1" applyAlignment="1" applyProtection="1">
      <alignment horizontal="left"/>
      <protection locked="0"/>
    </xf>
    <xf numFmtId="0" fontId="15" fillId="0" borderId="0" xfId="0" applyFont="1" applyAlignment="1" applyProtection="1">
      <alignment horizontal="center"/>
      <protection locked="0"/>
    </xf>
    <xf numFmtId="0" fontId="36" fillId="0" borderId="0" xfId="0" applyFont="1" applyAlignment="1" applyProtection="1">
      <alignment horizontal="center"/>
      <protection locked="0"/>
    </xf>
    <xf numFmtId="0" fontId="38" fillId="0" borderId="0" xfId="0" applyFont="1" applyProtection="1">
      <protection locked="0"/>
    </xf>
    <xf numFmtId="0" fontId="36" fillId="0" borderId="0" xfId="0" applyFont="1" applyAlignment="1" applyProtection="1">
      <alignment horizontal="center" vertical="center" wrapText="1"/>
      <protection locked="0"/>
    </xf>
    <xf numFmtId="0" fontId="15" fillId="0" borderId="0" xfId="0" applyFont="1" applyProtection="1">
      <protection locked="0"/>
    </xf>
    <xf numFmtId="0" fontId="41" fillId="0" borderId="0" xfId="0" applyFont="1" applyAlignment="1" applyProtection="1">
      <alignment vertical="center" wrapText="1"/>
      <protection locked="0"/>
    </xf>
    <xf numFmtId="0" fontId="0" fillId="12" borderId="183" xfId="0" applyFill="1" applyBorder="1" applyAlignment="1" applyProtection="1">
      <alignment horizontal="left" vertical="center"/>
      <protection locked="0"/>
    </xf>
    <xf numFmtId="0" fontId="0" fillId="12" borderId="184" xfId="0" applyFill="1" applyBorder="1" applyAlignment="1" applyProtection="1">
      <alignment horizontal="left" vertical="center"/>
      <protection locked="0"/>
    </xf>
    <xf numFmtId="0" fontId="0" fillId="12" borderId="168" xfId="0" applyFill="1" applyBorder="1" applyAlignment="1" applyProtection="1">
      <alignment horizontal="left" vertical="center"/>
      <protection locked="0"/>
    </xf>
    <xf numFmtId="0" fontId="0" fillId="12" borderId="94" xfId="0" applyFill="1" applyBorder="1" applyAlignment="1" applyProtection="1">
      <alignment horizontal="left" vertical="center"/>
      <protection locked="0"/>
    </xf>
    <xf numFmtId="0" fontId="38" fillId="0" borderId="0" xfId="0" applyFont="1" applyAlignment="1" applyProtection="1">
      <alignment horizontal="left"/>
      <protection locked="0"/>
    </xf>
    <xf numFmtId="0" fontId="36" fillId="0" borderId="0" xfId="0" applyFont="1" applyAlignment="1" applyProtection="1">
      <alignment horizontal="left"/>
      <protection locked="0"/>
    </xf>
    <xf numFmtId="0" fontId="36" fillId="0" borderId="0" xfId="0" applyFont="1" applyProtection="1">
      <protection locked="0"/>
    </xf>
    <xf numFmtId="0" fontId="43" fillId="0" borderId="0" xfId="0" applyFont="1" applyProtection="1">
      <protection locked="0"/>
    </xf>
    <xf numFmtId="179" fontId="0" fillId="12" borderId="185" xfId="13" applyNumberFormat="1" applyFont="1" applyFill="1" applyBorder="1" applyAlignment="1" applyProtection="1">
      <alignment vertical="center"/>
      <protection locked="0"/>
    </xf>
    <xf numFmtId="169" fontId="16" fillId="1" borderId="186" xfId="13" applyNumberFormat="1" applyFill="1" applyBorder="1" applyAlignment="1">
      <alignment vertical="center"/>
    </xf>
    <xf numFmtId="169" fontId="16" fillId="1" borderId="168" xfId="13" applyNumberFormat="1" applyFill="1" applyBorder="1" applyAlignment="1">
      <alignment vertical="center"/>
    </xf>
    <xf numFmtId="169" fontId="16" fillId="1" borderId="174" xfId="13" applyNumberFormat="1" applyFill="1" applyBorder="1" applyAlignment="1">
      <alignment vertical="center"/>
    </xf>
    <xf numFmtId="169" fontId="16" fillId="1" borderId="169" xfId="13" applyNumberFormat="1" applyFill="1" applyBorder="1" applyAlignment="1">
      <alignment vertical="center"/>
    </xf>
    <xf numFmtId="180" fontId="0" fillId="12" borderId="184" xfId="13" applyNumberFormat="1" applyFont="1" applyFill="1" applyBorder="1" applyAlignment="1" applyProtection="1">
      <alignment horizontal="center" vertical="center"/>
      <protection locked="0"/>
    </xf>
    <xf numFmtId="169" fontId="16" fillId="0" borderId="184" xfId="13" applyNumberFormat="1" applyBorder="1" applyAlignment="1">
      <alignment vertical="center"/>
    </xf>
    <xf numFmtId="169" fontId="16" fillId="0" borderId="185" xfId="13" applyNumberFormat="1" applyBorder="1" applyAlignment="1">
      <alignment vertical="center"/>
    </xf>
    <xf numFmtId="169" fontId="16" fillId="0" borderId="186" xfId="13" applyNumberFormat="1" applyBorder="1" applyAlignment="1">
      <alignment vertical="center"/>
    </xf>
    <xf numFmtId="169" fontId="0" fillId="10" borderId="183" xfId="13" applyNumberFormat="1" applyFont="1" applyFill="1" applyBorder="1" applyAlignment="1">
      <alignment horizontal="right" vertical="center"/>
    </xf>
    <xf numFmtId="169" fontId="0" fillId="10" borderId="184" xfId="13" applyNumberFormat="1" applyFont="1" applyFill="1" applyBorder="1" applyAlignment="1">
      <alignment horizontal="right" vertical="center"/>
    </xf>
    <xf numFmtId="174" fontId="0" fillId="0" borderId="168" xfId="12" applyNumberFormat="1" applyFont="1" applyBorder="1" applyAlignment="1">
      <alignment vertical="center"/>
    </xf>
    <xf numFmtId="174" fontId="0" fillId="0" borderId="174" xfId="12" applyNumberFormat="1" applyFont="1" applyBorder="1" applyAlignment="1">
      <alignment vertical="center"/>
    </xf>
    <xf numFmtId="174" fontId="0" fillId="0" borderId="169" xfId="12" applyNumberFormat="1" applyFont="1" applyBorder="1" applyAlignment="1">
      <alignment vertical="center"/>
    </xf>
    <xf numFmtId="174" fontId="0" fillId="0" borderId="170" xfId="12" applyNumberFormat="1" applyFont="1" applyBorder="1" applyAlignment="1">
      <alignment vertical="center"/>
    </xf>
    <xf numFmtId="169" fontId="0" fillId="10" borderId="168" xfId="13" applyNumberFormat="1" applyFont="1" applyFill="1" applyBorder="1" applyAlignment="1">
      <alignment horizontal="right" vertical="center"/>
    </xf>
    <xf numFmtId="169" fontId="16" fillId="1" borderId="61" xfId="13" applyNumberFormat="1" applyFill="1" applyBorder="1" applyAlignment="1">
      <alignment vertical="center"/>
    </xf>
    <xf numFmtId="169" fontId="16" fillId="1" borderId="126" xfId="13" applyNumberFormat="1" applyFill="1" applyBorder="1" applyAlignment="1">
      <alignment vertical="center"/>
    </xf>
    <xf numFmtId="169" fontId="16" fillId="1" borderId="105" xfId="13" applyNumberFormat="1" applyFill="1" applyBorder="1" applyAlignment="1">
      <alignment vertical="center"/>
    </xf>
    <xf numFmtId="174" fontId="0" fillId="1" borderId="168" xfId="12" applyNumberFormat="1" applyFont="1" applyFill="1" applyBorder="1" applyAlignment="1">
      <alignment vertical="center"/>
    </xf>
    <xf numFmtId="174" fontId="0" fillId="1" borderId="174" xfId="12" applyNumberFormat="1" applyFont="1" applyFill="1" applyBorder="1" applyAlignment="1">
      <alignment vertical="center"/>
    </xf>
    <xf numFmtId="174" fontId="0" fillId="1" borderId="169" xfId="12" applyNumberFormat="1" applyFont="1" applyFill="1" applyBorder="1" applyAlignment="1">
      <alignment vertical="center"/>
    </xf>
    <xf numFmtId="174" fontId="0" fillId="1" borderId="170" xfId="12" applyNumberFormat="1" applyFont="1" applyFill="1" applyBorder="1" applyAlignment="1">
      <alignment vertical="center"/>
    </xf>
    <xf numFmtId="168" fontId="0" fillId="0" borderId="175" xfId="13" applyNumberFormat="1" applyFont="1" applyBorder="1" applyAlignment="1">
      <alignment vertical="center"/>
    </xf>
    <xf numFmtId="169" fontId="0" fillId="52" borderId="169" xfId="13" applyNumberFormat="1" applyFont="1" applyFill="1" applyBorder="1" applyAlignment="1">
      <alignment vertical="center"/>
    </xf>
    <xf numFmtId="169" fontId="0" fillId="52" borderId="168" xfId="13" applyNumberFormat="1" applyFont="1" applyFill="1" applyBorder="1" applyAlignment="1">
      <alignment vertical="center"/>
    </xf>
    <xf numFmtId="169" fontId="0" fillId="51" borderId="168" xfId="13" applyNumberFormat="1" applyFont="1" applyFill="1" applyBorder="1" applyAlignment="1">
      <alignment vertical="center"/>
    </xf>
    <xf numFmtId="169" fontId="0" fillId="1" borderId="169" xfId="13" applyNumberFormat="1" applyFont="1" applyFill="1" applyBorder="1" applyAlignment="1">
      <alignment vertical="center"/>
    </xf>
    <xf numFmtId="169" fontId="0" fillId="1" borderId="168" xfId="13" applyNumberFormat="1" applyFont="1" applyFill="1" applyBorder="1" applyAlignment="1">
      <alignment vertical="center"/>
    </xf>
    <xf numFmtId="179" fontId="0" fillId="12" borderId="183" xfId="13" applyNumberFormat="1" applyFont="1" applyFill="1" applyBorder="1" applyAlignment="1" applyProtection="1">
      <alignment vertical="center"/>
      <protection locked="0"/>
    </xf>
    <xf numFmtId="179" fontId="0" fillId="12" borderId="94" xfId="13" applyNumberFormat="1" applyFont="1" applyFill="1" applyBorder="1" applyAlignment="1" applyProtection="1">
      <alignment vertical="center"/>
      <protection locked="0"/>
    </xf>
    <xf numFmtId="0" fontId="0" fillId="12" borderId="186" xfId="0" applyFill="1" applyBorder="1" applyAlignment="1" applyProtection="1">
      <alignment horizontal="left" vertical="center"/>
      <protection locked="0"/>
    </xf>
    <xf numFmtId="0" fontId="0" fillId="12" borderId="169" xfId="0" applyFill="1" applyBorder="1" applyAlignment="1" applyProtection="1">
      <alignment horizontal="left" vertical="center"/>
      <protection locked="0"/>
    </xf>
    <xf numFmtId="169" fontId="0" fillId="12" borderId="168" xfId="13" applyNumberFormat="1" applyFont="1" applyFill="1" applyBorder="1" applyAlignment="1" applyProtection="1">
      <alignment vertical="center"/>
      <protection locked="0"/>
    </xf>
    <xf numFmtId="169" fontId="21" fillId="12" borderId="168" xfId="13" applyNumberFormat="1" applyFont="1" applyFill="1" applyBorder="1" applyAlignment="1" applyProtection="1">
      <alignment vertical="center"/>
      <protection locked="0"/>
    </xf>
    <xf numFmtId="177" fontId="21" fillId="12" borderId="168" xfId="12" applyNumberFormat="1" applyFont="1" applyFill="1" applyBorder="1" applyAlignment="1" applyProtection="1">
      <alignment vertical="center"/>
      <protection locked="0"/>
    </xf>
    <xf numFmtId="169" fontId="24" fillId="32" borderId="47" xfId="13" applyNumberFormat="1" applyFont="1" applyFill="1" applyBorder="1" applyAlignment="1">
      <alignment vertical="center" wrapText="1"/>
    </xf>
    <xf numFmtId="165" fontId="0" fillId="12" borderId="168" xfId="31" applyFont="1" applyFill="1" applyBorder="1" applyAlignment="1" applyProtection="1">
      <alignment horizontal="center" vertical="center"/>
      <protection locked="0"/>
    </xf>
    <xf numFmtId="165" fontId="0" fillId="46" borderId="168" xfId="31" applyFont="1" applyFill="1" applyBorder="1" applyAlignment="1" applyProtection="1">
      <alignment horizontal="center" vertical="center"/>
    </xf>
    <xf numFmtId="165" fontId="0" fillId="49" borderId="168" xfId="31" applyFont="1" applyFill="1" applyBorder="1" applyAlignment="1" applyProtection="1">
      <alignment horizontal="center" vertical="center"/>
      <protection locked="0"/>
    </xf>
    <xf numFmtId="0" fontId="0" fillId="0" borderId="190" xfId="0" applyBorder="1" applyAlignment="1">
      <alignment horizontal="left" vertical="center"/>
    </xf>
    <xf numFmtId="0" fontId="0" fillId="0" borderId="189" xfId="0" applyBorder="1" applyAlignment="1">
      <alignment horizontal="left" vertical="center"/>
    </xf>
    <xf numFmtId="0" fontId="0" fillId="0" borderId="191" xfId="0" applyBorder="1" applyAlignment="1">
      <alignment horizontal="left" vertical="center"/>
    </xf>
    <xf numFmtId="0" fontId="0" fillId="0" borderId="121" xfId="0" applyBorder="1" applyAlignment="1">
      <alignment horizontal="left" vertical="center"/>
    </xf>
    <xf numFmtId="0" fontId="0" fillId="0" borderId="188" xfId="0" applyBorder="1" applyAlignment="1">
      <alignment horizontal="left" vertical="center"/>
    </xf>
    <xf numFmtId="179" fontId="0" fillId="29" borderId="186" xfId="13" applyNumberFormat="1" applyFont="1" applyFill="1" applyBorder="1" applyAlignment="1" applyProtection="1">
      <alignment vertical="center"/>
      <protection locked="0"/>
    </xf>
    <xf numFmtId="179" fontId="0" fillId="29" borderId="184" xfId="13" applyNumberFormat="1" applyFont="1" applyFill="1" applyBorder="1" applyAlignment="1">
      <alignment vertical="center"/>
    </xf>
    <xf numFmtId="169" fontId="0" fillId="51" borderId="169" xfId="13" applyNumberFormat="1" applyFont="1" applyFill="1" applyBorder="1" applyAlignment="1">
      <alignment vertical="center"/>
    </xf>
    <xf numFmtId="169" fontId="0" fillId="0" borderId="184" xfId="13" applyNumberFormat="1" applyFont="1" applyBorder="1" applyAlignment="1">
      <alignment vertical="center"/>
    </xf>
    <xf numFmtId="169" fontId="0" fillId="0" borderId="185" xfId="13" applyNumberFormat="1" applyFont="1" applyBorder="1" applyAlignment="1">
      <alignment vertical="center"/>
    </xf>
    <xf numFmtId="171" fontId="0" fillId="0" borderId="186" xfId="0" applyNumberFormat="1" applyBorder="1" applyAlignment="1">
      <alignment horizontal="center" vertical="center"/>
    </xf>
    <xf numFmtId="171" fontId="0" fillId="0" borderId="184" xfId="0" applyNumberFormat="1" applyBorder="1" applyAlignment="1">
      <alignment horizontal="center" vertical="center"/>
    </xf>
    <xf numFmtId="169" fontId="0" fillId="0" borderId="193" xfId="13" applyNumberFormat="1" applyFont="1" applyBorder="1" applyAlignment="1">
      <alignment vertical="center"/>
    </xf>
    <xf numFmtId="169" fontId="0" fillId="1" borderId="193" xfId="13" applyNumberFormat="1" applyFont="1" applyFill="1" applyBorder="1" applyAlignment="1">
      <alignment vertical="center"/>
    </xf>
    <xf numFmtId="169" fontId="0" fillId="1" borderId="170" xfId="13" applyNumberFormat="1" applyFont="1" applyFill="1" applyBorder="1" applyAlignment="1">
      <alignment vertical="center"/>
    </xf>
    <xf numFmtId="181" fontId="16" fillId="37" borderId="185" xfId="16" applyNumberFormat="1" applyFill="1" applyBorder="1" applyAlignment="1">
      <alignment horizontal="center" vertical="center"/>
    </xf>
    <xf numFmtId="181" fontId="16" fillId="37" borderId="193" xfId="16" applyNumberFormat="1" applyFill="1" applyBorder="1" applyAlignment="1">
      <alignment horizontal="center" vertical="center"/>
    </xf>
    <xf numFmtId="181" fontId="16" fillId="37" borderId="76" xfId="16" applyNumberFormat="1" applyFill="1" applyBorder="1" applyAlignment="1">
      <alignment horizontal="center" vertical="center"/>
    </xf>
    <xf numFmtId="169" fontId="0" fillId="12" borderId="170" xfId="13" applyNumberFormat="1" applyFont="1" applyFill="1" applyBorder="1" applyAlignment="1" applyProtection="1">
      <alignment vertical="center"/>
      <protection locked="0"/>
    </xf>
    <xf numFmtId="0" fontId="0" fillId="0" borderId="0" xfId="0" applyAlignment="1" applyProtection="1">
      <alignment horizontal="center"/>
      <protection locked="0"/>
    </xf>
    <xf numFmtId="0" fontId="37" fillId="0" borderId="0" xfId="0" applyFont="1" applyProtection="1">
      <protection locked="0"/>
    </xf>
    <xf numFmtId="0" fontId="39" fillId="0" borderId="0" xfId="0" applyFont="1" applyAlignment="1" applyProtection="1">
      <alignment horizontal="center"/>
      <protection locked="0"/>
    </xf>
    <xf numFmtId="9" fontId="40" fillId="0" borderId="0" xfId="0" applyNumberFormat="1" applyFont="1" applyAlignment="1" applyProtection="1">
      <alignment horizontal="center"/>
      <protection locked="0"/>
    </xf>
    <xf numFmtId="169" fontId="15" fillId="0" borderId="0" xfId="0" applyNumberFormat="1" applyFont="1" applyAlignment="1" applyProtection="1">
      <alignment horizontal="center" vertical="center" wrapText="1"/>
      <protection locked="0"/>
    </xf>
    <xf numFmtId="0" fontId="15" fillId="0" borderId="0" xfId="0" applyFont="1" applyAlignment="1" applyProtection="1">
      <alignment horizontal="left"/>
      <protection locked="0"/>
    </xf>
    <xf numFmtId="180" fontId="0" fillId="0" borderId="0" xfId="13" applyNumberFormat="1" applyFont="1" applyAlignment="1" applyProtection="1">
      <alignment horizontal="center" vertical="center"/>
      <protection locked="0"/>
    </xf>
    <xf numFmtId="180" fontId="15" fillId="0" borderId="0" xfId="0" applyNumberFormat="1" applyFont="1" applyProtection="1">
      <protection locked="0"/>
    </xf>
    <xf numFmtId="180" fontId="25" fillId="0" borderId="0" xfId="0" applyNumberFormat="1" applyFont="1" applyProtection="1">
      <protection locked="0"/>
    </xf>
    <xf numFmtId="0" fontId="39" fillId="0" borderId="0" xfId="0" applyFont="1" applyAlignment="1" applyProtection="1">
      <alignment horizontal="left" vertical="center" wrapText="1"/>
      <protection locked="0"/>
    </xf>
    <xf numFmtId="0" fontId="38" fillId="0" borderId="0" xfId="0" applyFont="1" applyAlignment="1" applyProtection="1">
      <alignment vertical="center" wrapText="1"/>
      <protection locked="0"/>
    </xf>
    <xf numFmtId="0" fontId="15" fillId="0" borderId="0" xfId="0" applyFont="1" applyAlignment="1" applyProtection="1">
      <alignment vertical="center" wrapText="1"/>
      <protection locked="0"/>
    </xf>
    <xf numFmtId="0" fontId="46" fillId="0" borderId="0" xfId="0" applyFont="1" applyProtection="1">
      <protection locked="0"/>
    </xf>
    <xf numFmtId="0" fontId="47" fillId="0" borderId="0" xfId="0" applyFont="1" applyAlignment="1" applyProtection="1">
      <alignment horizontal="center" vertical="center"/>
      <protection locked="0"/>
    </xf>
    <xf numFmtId="0" fontId="47" fillId="0" borderId="0" xfId="0" applyFont="1" applyAlignment="1" applyProtection="1">
      <alignment vertical="center"/>
      <protection locked="0"/>
    </xf>
    <xf numFmtId="0" fontId="47" fillId="0" borderId="0" xfId="0" applyFont="1" applyAlignment="1" applyProtection="1">
      <alignment horizontal="right" vertical="center"/>
      <protection locked="0"/>
    </xf>
    <xf numFmtId="0" fontId="46" fillId="0" borderId="0" xfId="0" applyFont="1" applyAlignment="1" applyProtection="1">
      <alignment horizontal="left" vertical="center"/>
      <protection locked="0"/>
    </xf>
    <xf numFmtId="0" fontId="46" fillId="0" borderId="0" xfId="0" applyFont="1" applyAlignment="1" applyProtection="1">
      <alignment horizontal="left" vertical="center" wrapText="1"/>
      <protection locked="0"/>
    </xf>
    <xf numFmtId="169" fontId="0" fillId="0" borderId="67" xfId="0" applyNumberFormat="1" applyBorder="1" applyAlignment="1">
      <alignment vertical="center"/>
    </xf>
    <xf numFmtId="0" fontId="15" fillId="12" borderId="168" xfId="0" applyFont="1" applyFill="1" applyBorder="1" applyAlignment="1">
      <alignment horizontal="center" vertical="center"/>
    </xf>
    <xf numFmtId="0" fontId="15" fillId="21" borderId="194" xfId="0" applyFont="1" applyFill="1" applyBorder="1" applyAlignment="1">
      <alignment horizontal="center" vertical="center"/>
    </xf>
    <xf numFmtId="0" fontId="15" fillId="20" borderId="111" xfId="0" applyFont="1" applyFill="1" applyBorder="1" applyAlignment="1">
      <alignment horizontal="center" vertical="center" wrapText="1"/>
    </xf>
    <xf numFmtId="1" fontId="0" fillId="0" borderId="111" xfId="0" applyNumberFormat="1" applyBorder="1" applyAlignment="1">
      <alignment horizontal="center" vertical="center" wrapText="1"/>
    </xf>
    <xf numFmtId="1" fontId="0" fillId="0" borderId="195" xfId="0" applyNumberFormat="1" applyBorder="1" applyAlignment="1">
      <alignment horizontal="center"/>
    </xf>
    <xf numFmtId="1" fontId="0" fillId="44" borderId="111" xfId="0" applyNumberFormat="1" applyFill="1" applyBorder="1" applyAlignment="1">
      <alignment horizontal="center" vertical="center" wrapText="1"/>
    </xf>
    <xf numFmtId="1" fontId="0" fillId="0" borderId="53" xfId="0" applyNumberFormat="1" applyBorder="1" applyAlignment="1">
      <alignment horizontal="center" vertical="center" wrapText="1"/>
    </xf>
    <xf numFmtId="0" fontId="15" fillId="31" borderId="196" xfId="0" applyFont="1" applyFill="1" applyBorder="1" applyAlignment="1">
      <alignment horizontal="center" vertical="center" wrapText="1"/>
    </xf>
    <xf numFmtId="169" fontId="15" fillId="55" borderId="80" xfId="13" applyNumberFormat="1" applyFont="1" applyFill="1" applyBorder="1" applyAlignment="1">
      <alignment horizontal="center" vertical="center"/>
    </xf>
    <xf numFmtId="169" fontId="15" fillId="15" borderId="151" xfId="0" applyNumberFormat="1" applyFont="1" applyFill="1" applyBorder="1" applyAlignment="1">
      <alignment horizontal="center" vertical="center" wrapText="1"/>
    </xf>
    <xf numFmtId="0" fontId="13" fillId="17" borderId="80" xfId="0" applyFont="1" applyFill="1" applyBorder="1" applyAlignment="1">
      <alignment horizontal="center" vertical="center"/>
    </xf>
    <xf numFmtId="0" fontId="3" fillId="44" borderId="0" xfId="32" applyFill="1"/>
    <xf numFmtId="0" fontId="48" fillId="54" borderId="197" xfId="32" applyFont="1" applyFill="1" applyBorder="1" applyAlignment="1">
      <alignment horizontal="center" vertical="center"/>
    </xf>
    <xf numFmtId="0" fontId="48" fillId="56" borderId="197" xfId="32" applyFont="1" applyFill="1" applyBorder="1" applyAlignment="1">
      <alignment horizontal="center" vertical="center" wrapText="1"/>
    </xf>
    <xf numFmtId="0" fontId="48" fillId="44" borderId="0" xfId="32" applyFont="1" applyFill="1" applyAlignment="1">
      <alignment horizontal="right"/>
    </xf>
    <xf numFmtId="1" fontId="49" fillId="44" borderId="197" xfId="33" applyNumberFormat="1" applyFont="1" applyFill="1" applyBorder="1" applyAlignment="1">
      <alignment horizontal="center" vertical="center"/>
    </xf>
    <xf numFmtId="1" fontId="49" fillId="44" borderId="0" xfId="33" applyNumberFormat="1" applyFont="1" applyFill="1" applyBorder="1" applyAlignment="1">
      <alignment horizontal="center" vertical="center"/>
    </xf>
    <xf numFmtId="0" fontId="48" fillId="47" borderId="0" xfId="32" applyFont="1" applyFill="1" applyAlignment="1">
      <alignment horizontal="left" vertical="center" indent="1"/>
    </xf>
    <xf numFmtId="0" fontId="3" fillId="44" borderId="0" xfId="32" applyFill="1" applyAlignment="1">
      <alignment horizontal="left" indent="2"/>
    </xf>
    <xf numFmtId="186" fontId="3" fillId="44" borderId="0" xfId="32" applyNumberFormat="1" applyFill="1"/>
    <xf numFmtId="186" fontId="48" fillId="44" borderId="0" xfId="32" applyNumberFormat="1" applyFont="1" applyFill="1"/>
    <xf numFmtId="0" fontId="48" fillId="54" borderId="168" xfId="32" applyFont="1" applyFill="1" applyBorder="1" applyAlignment="1">
      <alignment horizontal="left" indent="2"/>
    </xf>
    <xf numFmtId="186" fontId="48" fillId="54" borderId="168" xfId="32" applyNumberFormat="1" applyFont="1" applyFill="1" applyBorder="1"/>
    <xf numFmtId="180" fontId="15" fillId="50" borderId="168" xfId="0" applyNumberFormat="1" applyFont="1" applyFill="1" applyBorder="1" applyAlignment="1">
      <alignment vertical="center"/>
    </xf>
    <xf numFmtId="0" fontId="0" fillId="0" borderId="87" xfId="0" applyBorder="1" applyAlignment="1">
      <alignment horizontal="left" vertical="center"/>
    </xf>
    <xf numFmtId="0" fontId="0" fillId="0" borderId="175" xfId="0" applyBorder="1" applyAlignment="1">
      <alignment horizontal="left" vertical="center"/>
    </xf>
    <xf numFmtId="0" fontId="0" fillId="0" borderId="202" xfId="0" applyBorder="1" applyAlignment="1">
      <alignment horizontal="left" vertical="center"/>
    </xf>
    <xf numFmtId="0" fontId="0" fillId="0" borderId="88" xfId="0" applyBorder="1" applyAlignment="1">
      <alignment horizontal="left" vertical="center"/>
    </xf>
    <xf numFmtId="180" fontId="0" fillId="29" borderId="203" xfId="0" applyNumberFormat="1" applyFill="1" applyBorder="1"/>
    <xf numFmtId="169" fontId="15" fillId="35" borderId="206" xfId="0" applyNumberFormat="1" applyFont="1" applyFill="1" applyBorder="1" applyAlignment="1">
      <alignment horizontal="center" vertical="center" wrapText="1"/>
    </xf>
    <xf numFmtId="180" fontId="0" fillId="12" borderId="186" xfId="13" applyNumberFormat="1" applyFont="1" applyFill="1" applyBorder="1" applyAlignment="1" applyProtection="1">
      <alignment horizontal="center" vertical="center"/>
      <protection locked="0"/>
    </xf>
    <xf numFmtId="180" fontId="15" fillId="50" borderId="169" xfId="0" applyNumberFormat="1" applyFont="1" applyFill="1" applyBorder="1" applyAlignment="1">
      <alignment vertical="center"/>
    </xf>
    <xf numFmtId="180" fontId="0" fillId="12" borderId="85" xfId="13" applyNumberFormat="1" applyFont="1" applyFill="1" applyBorder="1" applyAlignment="1" applyProtection="1">
      <alignment horizontal="center" vertical="center"/>
      <protection locked="0"/>
    </xf>
    <xf numFmtId="169" fontId="15" fillId="35" borderId="52" xfId="0" applyNumberFormat="1" applyFont="1" applyFill="1" applyBorder="1" applyAlignment="1">
      <alignment horizontal="center" vertical="center" wrapText="1"/>
    </xf>
    <xf numFmtId="180" fontId="0" fillId="12" borderId="185" xfId="13" applyNumberFormat="1" applyFont="1" applyFill="1" applyBorder="1" applyAlignment="1" applyProtection="1">
      <alignment horizontal="center" vertical="center"/>
      <protection locked="0"/>
    </xf>
    <xf numFmtId="180" fontId="0" fillId="12" borderId="118" xfId="13" applyNumberFormat="1" applyFont="1" applyFill="1" applyBorder="1" applyAlignment="1" applyProtection="1">
      <alignment horizontal="center" vertical="center"/>
      <protection locked="0"/>
    </xf>
    <xf numFmtId="180" fontId="15" fillId="50" borderId="193" xfId="0" applyNumberFormat="1" applyFont="1" applyFill="1" applyBorder="1" applyAlignment="1">
      <alignment vertical="center"/>
    </xf>
    <xf numFmtId="180" fontId="0" fillId="12" borderId="76" xfId="13" applyNumberFormat="1" applyFont="1" applyFill="1" applyBorder="1" applyAlignment="1" applyProtection="1">
      <alignment horizontal="center" vertical="center"/>
      <protection locked="0"/>
    </xf>
    <xf numFmtId="0" fontId="15" fillId="16" borderId="150" xfId="0" applyFont="1" applyFill="1" applyBorder="1" applyAlignment="1">
      <alignment horizontal="center" vertical="center" wrapText="1"/>
    </xf>
    <xf numFmtId="180" fontId="15" fillId="29" borderId="102" xfId="0" applyNumberFormat="1" applyFont="1" applyFill="1" applyBorder="1" applyAlignment="1">
      <alignment vertical="center"/>
    </xf>
    <xf numFmtId="180" fontId="15" fillId="50" borderId="103" xfId="0" applyNumberFormat="1" applyFont="1" applyFill="1" applyBorder="1" applyAlignment="1">
      <alignment vertical="center"/>
    </xf>
    <xf numFmtId="180" fontId="15" fillId="29" borderId="104" xfId="0" applyNumberFormat="1" applyFont="1" applyFill="1" applyBorder="1" applyAlignment="1">
      <alignment vertical="center"/>
    </xf>
    <xf numFmtId="169" fontId="16" fillId="50" borderId="168" xfId="13" applyNumberFormat="1" applyFill="1" applyBorder="1" applyAlignment="1">
      <alignment vertical="center"/>
    </xf>
    <xf numFmtId="179" fontId="0" fillId="46" borderId="200" xfId="13" applyNumberFormat="1" applyFont="1" applyFill="1" applyBorder="1" applyAlignment="1">
      <alignment vertical="center"/>
    </xf>
    <xf numFmtId="179" fontId="0" fillId="29" borderId="200" xfId="13" applyNumberFormat="1" applyFont="1" applyFill="1" applyBorder="1" applyAlignment="1">
      <alignment vertical="center"/>
    </xf>
    <xf numFmtId="179" fontId="0" fillId="29" borderId="201" xfId="13" applyNumberFormat="1" applyFont="1" applyFill="1" applyBorder="1" applyAlignment="1">
      <alignment vertical="center"/>
    </xf>
    <xf numFmtId="171" fontId="0" fillId="46" borderId="184" xfId="13" applyNumberFormat="1" applyFont="1" applyFill="1" applyBorder="1" applyAlignment="1">
      <alignment horizontal="center" vertical="center"/>
    </xf>
    <xf numFmtId="179" fontId="0" fillId="29" borderId="79" xfId="13" applyNumberFormat="1" applyFont="1" applyFill="1" applyBorder="1" applyAlignment="1">
      <alignment vertical="center"/>
    </xf>
    <xf numFmtId="169" fontId="16" fillId="50" borderId="169" xfId="13" applyNumberFormat="1" applyFill="1" applyBorder="1" applyAlignment="1">
      <alignment vertical="center"/>
    </xf>
    <xf numFmtId="169" fontId="16" fillId="50" borderId="170" xfId="13" applyNumberFormat="1" applyFill="1" applyBorder="1" applyAlignment="1">
      <alignment vertical="center"/>
    </xf>
    <xf numFmtId="169" fontId="15" fillId="35" borderId="185" xfId="0" applyNumberFormat="1" applyFont="1" applyFill="1" applyBorder="1" applyAlignment="1">
      <alignment horizontal="center" vertical="center" wrapText="1"/>
    </xf>
    <xf numFmtId="179" fontId="0" fillId="46" borderId="193" xfId="13" applyNumberFormat="1" applyFont="1" applyFill="1" applyBorder="1" applyAlignment="1">
      <alignment vertical="center"/>
    </xf>
    <xf numFmtId="179" fontId="0" fillId="46" borderId="208" xfId="13" applyNumberFormat="1" applyFont="1" applyFill="1" applyBorder="1" applyAlignment="1">
      <alignment vertical="center"/>
    </xf>
    <xf numFmtId="179" fontId="0" fillId="29" borderId="185" xfId="13" applyNumberFormat="1" applyFont="1" applyFill="1" applyBorder="1" applyAlignment="1">
      <alignment vertical="center"/>
    </xf>
    <xf numFmtId="169" fontId="16" fillId="50" borderId="193" xfId="13" applyNumberFormat="1" applyFill="1" applyBorder="1" applyAlignment="1">
      <alignment vertical="center"/>
    </xf>
    <xf numFmtId="179" fontId="0" fillId="29" borderId="209" xfId="13" applyNumberFormat="1" applyFont="1" applyFill="1" applyBorder="1" applyAlignment="1">
      <alignment vertical="center"/>
    </xf>
    <xf numFmtId="179" fontId="0" fillId="29" borderId="199" xfId="13" applyNumberFormat="1" applyFont="1" applyFill="1" applyBorder="1" applyAlignment="1">
      <alignment vertical="center"/>
    </xf>
    <xf numFmtId="179" fontId="0" fillId="29" borderId="183" xfId="13" applyNumberFormat="1" applyFont="1" applyFill="1" applyBorder="1" applyAlignment="1">
      <alignment vertical="center"/>
    </xf>
    <xf numFmtId="169" fontId="16" fillId="50" borderId="209" xfId="13" applyNumberFormat="1" applyFill="1" applyBorder="1" applyAlignment="1">
      <alignment vertical="center"/>
    </xf>
    <xf numFmtId="179" fontId="0" fillId="29" borderId="94" xfId="13" applyNumberFormat="1" applyFont="1" applyFill="1" applyBorder="1" applyAlignment="1">
      <alignment vertical="center"/>
    </xf>
    <xf numFmtId="169" fontId="15" fillId="15" borderId="192" xfId="0" applyNumberFormat="1" applyFont="1" applyFill="1" applyBorder="1" applyAlignment="1">
      <alignment horizontal="center" vertical="center" wrapText="1"/>
    </xf>
    <xf numFmtId="171" fontId="0" fillId="12" borderId="186" xfId="13" applyNumberFormat="1" applyFont="1" applyFill="1" applyBorder="1" applyAlignment="1" applyProtection="1">
      <alignment horizontal="center" vertical="center"/>
      <protection locked="0"/>
    </xf>
    <xf numFmtId="171" fontId="0" fillId="46" borderId="170" xfId="13" applyNumberFormat="1" applyFont="1" applyFill="1" applyBorder="1" applyAlignment="1">
      <alignment horizontal="center" vertical="center"/>
    </xf>
    <xf numFmtId="171" fontId="0" fillId="46" borderId="84" xfId="13" applyNumberFormat="1" applyFont="1" applyFill="1" applyBorder="1" applyAlignment="1">
      <alignment horizontal="center" vertical="center"/>
    </xf>
    <xf numFmtId="179" fontId="16" fillId="46" borderId="85" xfId="13" applyNumberFormat="1" applyFill="1" applyBorder="1" applyAlignment="1">
      <alignment vertical="center"/>
    </xf>
    <xf numFmtId="179" fontId="16" fillId="46" borderId="83" xfId="13" applyNumberFormat="1" applyFill="1" applyBorder="1" applyAlignment="1">
      <alignment vertical="center"/>
    </xf>
    <xf numFmtId="179" fontId="16" fillId="46" borderId="76" xfId="13" applyNumberFormat="1" applyFill="1" applyBorder="1" applyAlignment="1">
      <alignment vertical="center"/>
    </xf>
    <xf numFmtId="169" fontId="15" fillId="40" borderId="157" xfId="0" applyNumberFormat="1" applyFont="1" applyFill="1" applyBorder="1" applyAlignment="1">
      <alignment vertical="center"/>
    </xf>
    <xf numFmtId="169" fontId="15" fillId="40" borderId="207" xfId="13" applyNumberFormat="1" applyFont="1" applyFill="1" applyBorder="1" applyAlignment="1">
      <alignment vertical="center"/>
    </xf>
    <xf numFmtId="169" fontId="15" fillId="40" borderId="200" xfId="13" applyNumberFormat="1" applyFont="1" applyFill="1" applyBorder="1" applyAlignment="1">
      <alignment vertical="center"/>
    </xf>
    <xf numFmtId="169" fontId="15" fillId="40" borderId="201" xfId="13" applyNumberFormat="1" applyFont="1" applyFill="1" applyBorder="1" applyAlignment="1">
      <alignment vertical="center"/>
    </xf>
    <xf numFmtId="169" fontId="15" fillId="40" borderId="199" xfId="13" applyNumberFormat="1" applyFont="1" applyFill="1" applyBorder="1" applyAlignment="1">
      <alignment horizontal="right" vertical="center"/>
    </xf>
    <xf numFmtId="169" fontId="15" fillId="40" borderId="200" xfId="13" applyNumberFormat="1" applyFont="1" applyFill="1" applyBorder="1" applyAlignment="1">
      <alignment horizontal="right" vertical="center"/>
    </xf>
    <xf numFmtId="169" fontId="15" fillId="40" borderId="208" xfId="13" applyNumberFormat="1" applyFont="1" applyFill="1" applyBorder="1" applyAlignment="1">
      <alignment vertical="center"/>
    </xf>
    <xf numFmtId="169" fontId="15" fillId="40" borderId="198" xfId="13" applyNumberFormat="1" applyFont="1" applyFill="1" applyBorder="1" applyAlignment="1">
      <alignment horizontal="right" vertical="center"/>
    </xf>
    <xf numFmtId="0" fontId="15" fillId="21" borderId="168" xfId="0" applyFont="1" applyFill="1" applyBorder="1" applyAlignment="1">
      <alignment horizontal="left" vertical="center"/>
    </xf>
    <xf numFmtId="0" fontId="13" fillId="23" borderId="168" xfId="0" applyFont="1" applyFill="1" applyBorder="1" applyAlignment="1">
      <alignment horizontal="left" vertical="center"/>
    </xf>
    <xf numFmtId="0" fontId="13" fillId="20" borderId="113" xfId="0" applyFont="1" applyFill="1" applyBorder="1" applyAlignment="1">
      <alignment horizontal="left" vertical="center"/>
    </xf>
    <xf numFmtId="182" fontId="15" fillId="19" borderId="126" xfId="13" applyNumberFormat="1" applyFont="1" applyFill="1" applyBorder="1" applyAlignment="1">
      <alignment horizontal="center"/>
    </xf>
    <xf numFmtId="176" fontId="21" fillId="0" borderId="121" xfId="0" applyNumberFormat="1" applyFont="1" applyBorder="1" applyAlignment="1">
      <alignment horizontal="left" wrapText="1"/>
    </xf>
    <xf numFmtId="176" fontId="21" fillId="0" borderId="121" xfId="0" applyNumberFormat="1" applyFont="1" applyBorder="1" applyAlignment="1">
      <alignment horizontal="left"/>
    </xf>
    <xf numFmtId="177" fontId="21" fillId="29" borderId="80" xfId="12" applyNumberFormat="1" applyFont="1" applyFill="1" applyBorder="1" applyAlignment="1">
      <alignment vertical="center"/>
    </xf>
    <xf numFmtId="0" fontId="13" fillId="23" borderId="121" xfId="0" applyFont="1" applyFill="1" applyBorder="1" applyAlignment="1">
      <alignment horizontal="left" vertical="center"/>
    </xf>
    <xf numFmtId="169" fontId="13" fillId="41" borderId="168" xfId="13" applyNumberFormat="1" applyFont="1" applyFill="1" applyBorder="1" applyAlignment="1">
      <alignment vertical="center"/>
    </xf>
    <xf numFmtId="0" fontId="13" fillId="20" borderId="121" xfId="0" applyFont="1" applyFill="1" applyBorder="1" applyAlignment="1">
      <alignment horizontal="left" vertical="center"/>
    </xf>
    <xf numFmtId="182" fontId="15" fillId="19" borderId="168" xfId="13" applyNumberFormat="1" applyFont="1" applyFill="1" applyBorder="1" applyAlignment="1">
      <alignment horizontal="center"/>
    </xf>
    <xf numFmtId="0" fontId="13" fillId="20" borderId="168" xfId="0" applyFont="1" applyFill="1" applyBorder="1" applyAlignment="1">
      <alignment horizontal="left" vertical="center"/>
    </xf>
    <xf numFmtId="182" fontId="16" fillId="28" borderId="168" xfId="13" applyNumberFormat="1" applyFill="1" applyBorder="1"/>
    <xf numFmtId="0" fontId="15" fillId="17" borderId="168" xfId="0" applyFont="1" applyFill="1" applyBorder="1" applyAlignment="1">
      <alignment horizontal="center" vertical="center" wrapText="1"/>
    </xf>
    <xf numFmtId="175" fontId="15" fillId="17" borderId="168" xfId="12" applyNumberFormat="1" applyFont="1" applyFill="1" applyBorder="1" applyAlignment="1">
      <alignment horizontal="center" vertical="center" wrapText="1"/>
    </xf>
    <xf numFmtId="0" fontId="13" fillId="17" borderId="168" xfId="0" applyFont="1" applyFill="1" applyBorder="1" applyAlignment="1">
      <alignment horizontal="center" vertical="center"/>
    </xf>
    <xf numFmtId="169" fontId="13" fillId="23" borderId="168" xfId="13" applyNumberFormat="1" applyFont="1" applyFill="1" applyBorder="1" applyAlignment="1">
      <alignment horizontal="center" vertical="center"/>
    </xf>
    <xf numFmtId="169" fontId="13" fillId="24" borderId="168" xfId="13" applyNumberFormat="1" applyFont="1" applyFill="1" applyBorder="1" applyAlignment="1">
      <alignment vertical="center"/>
    </xf>
    <xf numFmtId="169" fontId="15" fillId="41" borderId="168" xfId="13" applyNumberFormat="1" applyFont="1" applyFill="1" applyBorder="1" applyAlignment="1">
      <alignment vertical="center"/>
    </xf>
    <xf numFmtId="169" fontId="13" fillId="23" borderId="142" xfId="13" applyNumberFormat="1" applyFont="1" applyFill="1" applyBorder="1" applyAlignment="1">
      <alignment horizontal="center" vertical="center"/>
    </xf>
    <xf numFmtId="169" fontId="13" fillId="20" borderId="168" xfId="13" applyNumberFormat="1" applyFont="1" applyFill="1" applyBorder="1" applyAlignment="1">
      <alignment horizontal="center" vertical="center"/>
    </xf>
    <xf numFmtId="169" fontId="13" fillId="22" borderId="168" xfId="13" applyNumberFormat="1" applyFont="1" applyFill="1" applyBorder="1" applyAlignment="1">
      <alignment vertical="center"/>
    </xf>
    <xf numFmtId="169" fontId="15" fillId="42" borderId="168" xfId="13" applyNumberFormat="1" applyFont="1" applyFill="1" applyBorder="1" applyAlignment="1">
      <alignment vertical="center"/>
    </xf>
    <xf numFmtId="169" fontId="0" fillId="46" borderId="168" xfId="13" applyNumberFormat="1" applyFont="1" applyFill="1" applyBorder="1" applyAlignment="1">
      <alignment vertical="center"/>
    </xf>
    <xf numFmtId="169" fontId="21" fillId="1" borderId="168" xfId="13" applyNumberFormat="1" applyFont="1" applyFill="1" applyBorder="1" applyAlignment="1">
      <alignment vertical="center"/>
    </xf>
    <xf numFmtId="177" fontId="21" fillId="1" borderId="168" xfId="12" applyNumberFormat="1" applyFont="1" applyFill="1" applyBorder="1" applyAlignment="1">
      <alignment vertical="center"/>
    </xf>
    <xf numFmtId="169" fontId="21" fillId="29" borderId="168" xfId="13" applyNumberFormat="1" applyFont="1" applyFill="1" applyBorder="1" applyAlignment="1">
      <alignment vertical="center"/>
    </xf>
    <xf numFmtId="169" fontId="13" fillId="28" borderId="142" xfId="13" applyNumberFormat="1" applyFont="1" applyFill="1" applyBorder="1" applyAlignment="1">
      <alignment vertical="center"/>
    </xf>
    <xf numFmtId="176" fontId="32" fillId="0" borderId="121" xfId="0" applyNumberFormat="1" applyFont="1" applyBorder="1" applyAlignment="1">
      <alignment horizontal="left"/>
    </xf>
    <xf numFmtId="169" fontId="0" fillId="29" borderId="168" xfId="13" applyNumberFormat="1" applyFont="1" applyFill="1" applyBorder="1" applyAlignment="1">
      <alignment vertical="center"/>
    </xf>
    <xf numFmtId="177" fontId="21" fillId="29" borderId="168" xfId="12" applyNumberFormat="1" applyFont="1" applyFill="1" applyBorder="1" applyAlignment="1">
      <alignment vertical="center"/>
    </xf>
    <xf numFmtId="169" fontId="13" fillId="20" borderId="168" xfId="13" applyNumberFormat="1" applyFont="1" applyFill="1" applyBorder="1" applyAlignment="1">
      <alignment vertical="center"/>
    </xf>
    <xf numFmtId="169" fontId="13" fillId="20" borderId="142" xfId="13" applyNumberFormat="1" applyFont="1" applyFill="1" applyBorder="1" applyAlignment="1">
      <alignment vertical="center"/>
    </xf>
    <xf numFmtId="176" fontId="21" fillId="0" borderId="157" xfId="0" applyNumberFormat="1" applyFont="1" applyBorder="1" applyAlignment="1">
      <alignment horizontal="left"/>
    </xf>
    <xf numFmtId="169" fontId="13" fillId="28" borderId="158" xfId="13" applyNumberFormat="1" applyFont="1" applyFill="1" applyBorder="1" applyAlignment="1">
      <alignment vertical="center"/>
    </xf>
    <xf numFmtId="0" fontId="15" fillId="32" borderId="188" xfId="0" applyFont="1" applyFill="1" applyBorder="1" applyAlignment="1">
      <alignment vertical="center"/>
    </xf>
    <xf numFmtId="168" fontId="15" fillId="32" borderId="57" xfId="13" applyNumberFormat="1" applyFont="1" applyFill="1" applyBorder="1" applyAlignment="1">
      <alignment vertical="center"/>
    </xf>
    <xf numFmtId="168" fontId="15" fillId="33" borderId="57" xfId="13" applyNumberFormat="1" applyFont="1" applyFill="1" applyBorder="1" applyAlignment="1">
      <alignment vertical="center"/>
    </xf>
    <xf numFmtId="179" fontId="0" fillId="12" borderId="209" xfId="13" applyNumberFormat="1" applyFont="1" applyFill="1" applyBorder="1" applyAlignment="1" applyProtection="1">
      <alignment vertical="center"/>
      <protection locked="0"/>
    </xf>
    <xf numFmtId="0" fontId="0" fillId="12" borderId="209" xfId="0" applyFill="1" applyBorder="1" applyAlignment="1" applyProtection="1">
      <alignment horizontal="left" vertical="center"/>
      <protection locked="0"/>
    </xf>
    <xf numFmtId="0" fontId="15" fillId="16" borderId="201" xfId="0" applyFont="1" applyFill="1" applyBorder="1" applyAlignment="1">
      <alignment horizontal="center" vertical="center" wrapText="1"/>
    </xf>
    <xf numFmtId="169" fontId="0" fillId="12" borderId="210" xfId="13" applyNumberFormat="1" applyFont="1" applyFill="1" applyBorder="1" applyAlignment="1" applyProtection="1">
      <alignment vertical="center"/>
      <protection locked="0"/>
    </xf>
    <xf numFmtId="179" fontId="0" fillId="12" borderId="193" xfId="13" applyNumberFormat="1" applyFont="1" applyFill="1" applyBorder="1" applyAlignment="1" applyProtection="1">
      <alignment vertical="center"/>
      <protection locked="0"/>
    </xf>
    <xf numFmtId="179" fontId="0" fillId="12" borderId="76" xfId="13" applyNumberFormat="1" applyFont="1" applyFill="1" applyBorder="1" applyAlignment="1" applyProtection="1">
      <alignment vertical="center"/>
      <protection locked="0"/>
    </xf>
    <xf numFmtId="178" fontId="0" fillId="29" borderId="102" xfId="0" applyNumberFormat="1" applyFill="1" applyBorder="1" applyAlignment="1">
      <alignment vertical="center"/>
    </xf>
    <xf numFmtId="178" fontId="0" fillId="29" borderId="103" xfId="0" applyNumberFormat="1" applyFill="1" applyBorder="1" applyAlignment="1">
      <alignment vertical="center"/>
    </xf>
    <xf numFmtId="178" fontId="0" fillId="29" borderId="104" xfId="0" applyNumberFormat="1" applyFill="1" applyBorder="1" applyAlignment="1">
      <alignment vertical="center"/>
    </xf>
    <xf numFmtId="169" fontId="0" fillId="29" borderId="186" xfId="13" applyNumberFormat="1" applyFont="1" applyFill="1" applyBorder="1" applyAlignment="1">
      <alignment vertical="center"/>
    </xf>
    <xf numFmtId="169" fontId="0" fillId="29" borderId="184" xfId="13" applyNumberFormat="1" applyFont="1" applyFill="1" applyBorder="1" applyAlignment="1">
      <alignment vertical="center"/>
    </xf>
    <xf numFmtId="169" fontId="0" fillId="29" borderId="210" xfId="13" applyNumberFormat="1" applyFont="1" applyFill="1" applyBorder="1" applyAlignment="1">
      <alignment vertical="center"/>
    </xf>
    <xf numFmtId="169" fontId="0" fillId="29" borderId="169" xfId="13" applyNumberFormat="1" applyFont="1" applyFill="1" applyBorder="1" applyAlignment="1">
      <alignment vertical="center"/>
    </xf>
    <xf numFmtId="169" fontId="0" fillId="29" borderId="170" xfId="13" applyNumberFormat="1" applyFont="1" applyFill="1" applyBorder="1" applyAlignment="1">
      <alignment vertical="center"/>
    </xf>
    <xf numFmtId="169" fontId="0" fillId="52" borderId="193" xfId="13" applyNumberFormat="1" applyFont="1" applyFill="1" applyBorder="1" applyAlignment="1">
      <alignment vertical="center"/>
    </xf>
    <xf numFmtId="169" fontId="0" fillId="29" borderId="76" xfId="13" applyNumberFormat="1" applyFont="1" applyFill="1" applyBorder="1" applyAlignment="1">
      <alignment vertical="center"/>
    </xf>
    <xf numFmtId="169" fontId="0" fillId="37" borderId="186" xfId="13" applyNumberFormat="1" applyFont="1" applyFill="1" applyBorder="1" applyAlignment="1">
      <alignment vertical="center"/>
    </xf>
    <xf numFmtId="169" fontId="0" fillId="37" borderId="184" xfId="13" applyNumberFormat="1" applyFont="1" applyFill="1" applyBorder="1" applyAlignment="1">
      <alignment vertical="center"/>
    </xf>
    <xf numFmtId="169" fontId="0" fillId="51" borderId="193" xfId="13" applyNumberFormat="1" applyFont="1" applyFill="1" applyBorder="1" applyAlignment="1">
      <alignment vertical="center"/>
    </xf>
    <xf numFmtId="171" fontId="0" fillId="0" borderId="210" xfId="0" applyNumberFormat="1" applyBorder="1" applyAlignment="1">
      <alignment horizontal="center" vertical="center"/>
    </xf>
    <xf numFmtId="171" fontId="0" fillId="46" borderId="210" xfId="13" applyNumberFormat="1" applyFont="1" applyFill="1" applyBorder="1" applyAlignment="1">
      <alignment horizontal="center" vertical="center"/>
    </xf>
    <xf numFmtId="0" fontId="0" fillId="43" borderId="0" xfId="0" applyFill="1"/>
    <xf numFmtId="0" fontId="15" fillId="43" borderId="0" xfId="0" applyFont="1" applyFill="1" applyAlignment="1">
      <alignment horizontal="center" vertical="center"/>
    </xf>
    <xf numFmtId="0" fontId="0" fillId="43" borderId="0" xfId="0" applyFill="1" applyAlignment="1">
      <alignment horizontal="center" vertical="center"/>
    </xf>
    <xf numFmtId="171" fontId="0" fillId="12" borderId="61" xfId="13" applyNumberFormat="1" applyFont="1" applyFill="1" applyBorder="1" applyAlignment="1" applyProtection="1">
      <alignment horizontal="center" vertical="center"/>
      <protection locked="0"/>
    </xf>
    <xf numFmtId="171" fontId="0" fillId="46" borderId="126" xfId="13" applyNumberFormat="1" applyFont="1" applyFill="1" applyBorder="1" applyAlignment="1">
      <alignment horizontal="center" vertical="center"/>
    </xf>
    <xf numFmtId="171" fontId="0" fillId="46" borderId="105" xfId="13" applyNumberFormat="1" applyFont="1" applyFill="1" applyBorder="1" applyAlignment="1">
      <alignment horizontal="center" vertical="center"/>
    </xf>
    <xf numFmtId="0" fontId="0" fillId="0" borderId="211" xfId="0" applyBorder="1" applyAlignment="1">
      <alignment horizontal="left" vertical="center"/>
    </xf>
    <xf numFmtId="180" fontId="0" fillId="12" borderId="149" xfId="13" applyNumberFormat="1" applyFont="1" applyFill="1" applyBorder="1" applyAlignment="1" applyProtection="1">
      <alignment horizontal="center" vertical="center"/>
      <protection locked="0"/>
    </xf>
    <xf numFmtId="179" fontId="0" fillId="46" borderId="209" xfId="13" applyNumberFormat="1" applyFont="1" applyFill="1" applyBorder="1" applyAlignment="1">
      <alignment vertical="center"/>
    </xf>
    <xf numFmtId="179" fontId="0" fillId="46" borderId="199" xfId="13" applyNumberFormat="1" applyFont="1" applyFill="1" applyBorder="1" applyAlignment="1">
      <alignment vertical="center"/>
    </xf>
    <xf numFmtId="0" fontId="0" fillId="46" borderId="102" xfId="0" applyFill="1" applyBorder="1" applyAlignment="1">
      <alignment horizontal="left" vertical="center"/>
    </xf>
    <xf numFmtId="0" fontId="0" fillId="46" borderId="103" xfId="0" applyFill="1" applyBorder="1" applyAlignment="1">
      <alignment horizontal="left" vertical="center"/>
    </xf>
    <xf numFmtId="0" fontId="0" fillId="46" borderId="104" xfId="0" applyFill="1" applyBorder="1" applyAlignment="1">
      <alignment horizontal="left" vertical="center"/>
    </xf>
    <xf numFmtId="180" fontId="0" fillId="12" borderId="168" xfId="13" applyNumberFormat="1" applyFont="1" applyFill="1" applyBorder="1" applyAlignment="1" applyProtection="1">
      <alignment horizontal="center" vertical="center"/>
      <protection locked="0"/>
    </xf>
    <xf numFmtId="180" fontId="0" fillId="12" borderId="169" xfId="13" applyNumberFormat="1" applyFont="1" applyFill="1" applyBorder="1" applyAlignment="1" applyProtection="1">
      <alignment horizontal="center" vertical="center"/>
      <protection locked="0"/>
    </xf>
    <xf numFmtId="180" fontId="0" fillId="12" borderId="193" xfId="13" applyNumberFormat="1" applyFont="1" applyFill="1" applyBorder="1" applyAlignment="1" applyProtection="1">
      <alignment horizontal="center" vertical="center"/>
      <protection locked="0"/>
    </xf>
    <xf numFmtId="180" fontId="15" fillId="29" borderId="103" xfId="0" applyNumberFormat="1" applyFont="1" applyFill="1" applyBorder="1" applyAlignment="1">
      <alignment vertical="center"/>
    </xf>
    <xf numFmtId="0" fontId="0" fillId="46" borderId="213" xfId="0" applyFill="1" applyBorder="1" applyAlignment="1">
      <alignment horizontal="left" vertical="center"/>
    </xf>
    <xf numFmtId="0" fontId="0" fillId="46" borderId="0" xfId="0" applyFill="1" applyAlignment="1">
      <alignment horizontal="left" vertical="center"/>
    </xf>
    <xf numFmtId="0" fontId="0" fillId="46" borderId="214" xfId="0" applyFill="1" applyBorder="1" applyAlignment="1">
      <alignment horizontal="left" vertical="center"/>
    </xf>
    <xf numFmtId="169" fontId="16" fillId="0" borderId="126" xfId="13" applyNumberFormat="1" applyBorder="1" applyAlignment="1">
      <alignment vertical="center"/>
    </xf>
    <xf numFmtId="169" fontId="16" fillId="0" borderId="212" xfId="13" applyNumberFormat="1" applyBorder="1" applyAlignment="1">
      <alignment vertical="center"/>
    </xf>
    <xf numFmtId="169" fontId="16" fillId="0" borderId="61" xfId="13" applyNumberFormat="1" applyBorder="1" applyAlignment="1">
      <alignment vertical="center"/>
    </xf>
    <xf numFmtId="169" fontId="16" fillId="0" borderId="105" xfId="13" applyNumberFormat="1" applyBorder="1" applyAlignment="1">
      <alignment vertical="center"/>
    </xf>
    <xf numFmtId="169" fontId="0" fillId="10" borderId="182" xfId="13" applyNumberFormat="1" applyFont="1" applyFill="1" applyBorder="1" applyAlignment="1">
      <alignment horizontal="right" vertical="center"/>
    </xf>
    <xf numFmtId="169" fontId="0" fillId="10" borderId="126" xfId="13" applyNumberFormat="1" applyFont="1" applyFill="1" applyBorder="1" applyAlignment="1">
      <alignment horizontal="right" vertical="center"/>
    </xf>
    <xf numFmtId="169" fontId="24" fillId="32" borderId="203" xfId="13" applyNumberFormat="1" applyFont="1" applyFill="1" applyBorder="1" applyAlignment="1">
      <alignment vertical="center" wrapText="1"/>
    </xf>
    <xf numFmtId="179" fontId="0" fillId="29" borderId="182" xfId="13" applyNumberFormat="1" applyFont="1" applyFill="1" applyBorder="1" applyAlignment="1">
      <alignment vertical="center"/>
    </xf>
    <xf numFmtId="179" fontId="0" fillId="29" borderId="126" xfId="13" applyNumberFormat="1" applyFont="1" applyFill="1" applyBorder="1" applyAlignment="1">
      <alignment vertical="center"/>
    </xf>
    <xf numFmtId="179" fontId="0" fillId="29" borderId="105" xfId="13" applyNumberFormat="1" applyFont="1" applyFill="1" applyBorder="1" applyAlignment="1">
      <alignment vertical="center"/>
    </xf>
    <xf numFmtId="169" fontId="15" fillId="35" borderId="45" xfId="0" applyNumberFormat="1" applyFont="1" applyFill="1" applyBorder="1" applyAlignment="1">
      <alignment horizontal="center" vertical="center" wrapText="1"/>
    </xf>
    <xf numFmtId="169" fontId="15" fillId="35" borderId="46" xfId="0" applyNumberFormat="1" applyFont="1" applyFill="1" applyBorder="1" applyAlignment="1">
      <alignment horizontal="center" vertical="center" wrapText="1"/>
    </xf>
    <xf numFmtId="169" fontId="15" fillId="35" borderId="47" xfId="0" applyNumberFormat="1" applyFont="1" applyFill="1" applyBorder="1" applyAlignment="1">
      <alignment horizontal="center" vertical="center" wrapText="1"/>
    </xf>
    <xf numFmtId="180" fontId="15" fillId="29" borderId="215" xfId="0" applyNumberFormat="1" applyFont="1" applyFill="1" applyBorder="1" applyAlignment="1">
      <alignment vertical="center"/>
    </xf>
    <xf numFmtId="169" fontId="0" fillId="37" borderId="61" xfId="13" applyNumberFormat="1" applyFont="1" applyFill="1" applyBorder="1" applyAlignment="1">
      <alignment vertical="center"/>
    </xf>
    <xf numFmtId="169" fontId="0" fillId="37" borderId="126" xfId="13" applyNumberFormat="1" applyFont="1" applyFill="1" applyBorder="1" applyAlignment="1">
      <alignment vertical="center"/>
    </xf>
    <xf numFmtId="169" fontId="0" fillId="37" borderId="212" xfId="13" applyNumberFormat="1" applyFont="1" applyFill="1" applyBorder="1" applyAlignment="1">
      <alignment vertical="center"/>
    </xf>
    <xf numFmtId="169" fontId="0" fillId="0" borderId="212" xfId="13" applyNumberFormat="1" applyFont="1" applyBorder="1" applyAlignment="1">
      <alignment vertical="center"/>
    </xf>
    <xf numFmtId="171" fontId="0" fillId="0" borderId="61" xfId="0" applyNumberFormat="1" applyBorder="1" applyAlignment="1">
      <alignment horizontal="center" vertical="center"/>
    </xf>
    <xf numFmtId="171" fontId="0" fillId="0" borderId="126" xfId="0" applyNumberFormat="1" applyBorder="1" applyAlignment="1">
      <alignment horizontal="center" vertical="center"/>
    </xf>
    <xf numFmtId="171" fontId="0" fillId="0" borderId="105" xfId="0" applyNumberFormat="1" applyBorder="1" applyAlignment="1">
      <alignment horizontal="center" vertical="center"/>
    </xf>
    <xf numFmtId="169" fontId="0" fillId="29" borderId="61" xfId="13" applyNumberFormat="1" applyFont="1" applyFill="1" applyBorder="1" applyAlignment="1">
      <alignment vertical="center"/>
    </xf>
    <xf numFmtId="169" fontId="0" fillId="29" borderId="126" xfId="13" applyNumberFormat="1" applyFont="1" applyFill="1" applyBorder="1" applyAlignment="1">
      <alignment vertical="center"/>
    </xf>
    <xf numFmtId="169" fontId="0" fillId="29" borderId="212" xfId="13" applyNumberFormat="1" applyFont="1" applyFill="1" applyBorder="1" applyAlignment="1">
      <alignment vertical="center"/>
    </xf>
    <xf numFmtId="169" fontId="0" fillId="29" borderId="185" xfId="13" applyNumberFormat="1" applyFont="1" applyFill="1" applyBorder="1" applyAlignment="1">
      <alignment vertical="center"/>
    </xf>
    <xf numFmtId="169" fontId="0" fillId="29" borderId="193" xfId="13" applyNumberFormat="1" applyFont="1" applyFill="1" applyBorder="1" applyAlignment="1">
      <alignment vertical="center"/>
    </xf>
    <xf numFmtId="169" fontId="0" fillId="0" borderId="183" xfId="13" applyNumberFormat="1" applyFont="1" applyBorder="1" applyAlignment="1">
      <alignment vertical="center"/>
    </xf>
    <xf numFmtId="169" fontId="0" fillId="0" borderId="209" xfId="13" applyNumberFormat="1" applyFont="1" applyBorder="1" applyAlignment="1">
      <alignment vertical="center"/>
    </xf>
    <xf numFmtId="169" fontId="0" fillId="0" borderId="94" xfId="13" applyNumberFormat="1" applyFont="1" applyBorder="1" applyAlignment="1">
      <alignment vertical="center"/>
    </xf>
    <xf numFmtId="169" fontId="0" fillId="37" borderId="210" xfId="13" applyNumberFormat="1" applyFont="1" applyFill="1" applyBorder="1" applyAlignment="1">
      <alignment vertical="center"/>
    </xf>
    <xf numFmtId="169" fontId="0" fillId="37" borderId="170" xfId="13" applyNumberFormat="1" applyFont="1" applyFill="1" applyBorder="1" applyAlignment="1">
      <alignment vertical="center"/>
    </xf>
    <xf numFmtId="169" fontId="0" fillId="37" borderId="84" xfId="13" applyNumberFormat="1" applyFont="1" applyFill="1" applyBorder="1" applyAlignment="1">
      <alignment vertical="center"/>
    </xf>
    <xf numFmtId="169" fontId="0" fillId="29" borderId="183" xfId="13" applyNumberFormat="1" applyFont="1" applyFill="1" applyBorder="1" applyAlignment="1">
      <alignment vertical="center"/>
    </xf>
    <xf numFmtId="169" fontId="0" fillId="29" borderId="209" xfId="13" applyNumberFormat="1" applyFont="1" applyFill="1" applyBorder="1" applyAlignment="1">
      <alignment vertical="center"/>
    </xf>
    <xf numFmtId="169" fontId="0" fillId="29" borderId="94" xfId="13" applyNumberFormat="1" applyFont="1" applyFill="1" applyBorder="1" applyAlignment="1">
      <alignment vertical="center"/>
    </xf>
    <xf numFmtId="168" fontId="0" fillId="0" borderId="211" xfId="13" applyNumberFormat="1" applyFont="1" applyBorder="1" applyAlignment="1">
      <alignment vertical="center"/>
    </xf>
    <xf numFmtId="168" fontId="0" fillId="0" borderId="102" xfId="13" applyNumberFormat="1" applyFont="1" applyBorder="1" applyAlignment="1">
      <alignment vertical="center"/>
    </xf>
    <xf numFmtId="168" fontId="0" fillId="0" borderId="103" xfId="13" applyNumberFormat="1" applyFont="1" applyBorder="1" applyAlignment="1">
      <alignment vertical="center"/>
    </xf>
    <xf numFmtId="168" fontId="0" fillId="0" borderId="104" xfId="13" applyNumberFormat="1" applyFont="1" applyBorder="1" applyAlignment="1">
      <alignment vertical="center"/>
    </xf>
    <xf numFmtId="181" fontId="16" fillId="37" borderId="168" xfId="16" applyNumberFormat="1" applyFill="1" applyBorder="1" applyAlignment="1">
      <alignment horizontal="center" vertical="center"/>
    </xf>
    <xf numFmtId="181" fontId="16" fillId="37" borderId="184" xfId="16" applyNumberFormat="1" applyFill="1" applyBorder="1" applyAlignment="1">
      <alignment horizontal="center" vertical="center"/>
    </xf>
    <xf numFmtId="181" fontId="16" fillId="37" borderId="183" xfId="16" applyNumberFormat="1" applyFill="1" applyBorder="1" applyAlignment="1">
      <alignment horizontal="center" vertical="center"/>
    </xf>
    <xf numFmtId="181" fontId="16" fillId="37" borderId="209" xfId="16" applyNumberFormat="1" applyFill="1" applyBorder="1" applyAlignment="1">
      <alignment horizontal="center" vertical="center"/>
    </xf>
    <xf numFmtId="181" fontId="16" fillId="37" borderId="94" xfId="16" applyNumberFormat="1" applyFill="1" applyBorder="1" applyAlignment="1">
      <alignment horizontal="center" vertical="center"/>
    </xf>
    <xf numFmtId="169" fontId="0" fillId="12" borderId="185" xfId="13" applyNumberFormat="1" applyFont="1" applyFill="1" applyBorder="1" applyAlignment="1" applyProtection="1">
      <alignment vertical="center"/>
      <protection locked="0"/>
    </xf>
    <xf numFmtId="169" fontId="0" fillId="12" borderId="193" xfId="13" applyNumberFormat="1" applyFont="1" applyFill="1" applyBorder="1" applyAlignment="1" applyProtection="1">
      <alignment vertical="center"/>
      <protection locked="0"/>
    </xf>
    <xf numFmtId="169" fontId="0" fillId="12" borderId="76" xfId="13" applyNumberFormat="1" applyFont="1" applyFill="1" applyBorder="1" applyAlignment="1" applyProtection="1">
      <alignment vertical="center"/>
      <protection locked="0"/>
    </xf>
    <xf numFmtId="169" fontId="0" fillId="29" borderId="102" xfId="13" applyNumberFormat="1" applyFont="1" applyFill="1" applyBorder="1" applyAlignment="1">
      <alignment vertical="center"/>
    </xf>
    <xf numFmtId="169" fontId="0" fillId="29" borderId="103" xfId="13" applyNumberFormat="1" applyFont="1" applyFill="1" applyBorder="1" applyAlignment="1">
      <alignment vertical="center"/>
    </xf>
    <xf numFmtId="169" fontId="0" fillId="29" borderId="104" xfId="13" applyNumberFormat="1" applyFont="1" applyFill="1" applyBorder="1" applyAlignment="1">
      <alignment vertical="center"/>
    </xf>
    <xf numFmtId="174" fontId="0" fillId="0" borderId="193" xfId="12" applyNumberFormat="1" applyFont="1" applyBorder="1" applyAlignment="1">
      <alignment vertical="center"/>
    </xf>
    <xf numFmtId="169" fontId="16" fillId="0" borderId="210" xfId="13" applyNumberFormat="1" applyBorder="1" applyAlignment="1">
      <alignment vertical="center"/>
    </xf>
    <xf numFmtId="169" fontId="0" fillId="49" borderId="80" xfId="13" applyNumberFormat="1" applyFont="1" applyFill="1" applyBorder="1" applyAlignment="1">
      <alignment vertical="center"/>
    </xf>
    <xf numFmtId="169" fontId="0" fillId="49" borderId="168" xfId="13" applyNumberFormat="1" applyFont="1" applyFill="1" applyBorder="1" applyAlignment="1">
      <alignment vertical="center"/>
    </xf>
    <xf numFmtId="0" fontId="42" fillId="0" borderId="0" xfId="0" applyFont="1" applyAlignment="1" applyProtection="1">
      <alignment horizontal="center" vertical="center" wrapText="1"/>
      <protection locked="0"/>
    </xf>
    <xf numFmtId="0" fontId="22" fillId="0" borderId="0" xfId="0" applyFont="1" applyAlignment="1" applyProtection="1">
      <alignment horizontal="center" vertical="center"/>
      <protection locked="0"/>
    </xf>
    <xf numFmtId="0" fontId="22" fillId="0" borderId="0" xfId="0" applyFont="1" applyAlignment="1" applyProtection="1">
      <alignment vertical="center" wrapText="1"/>
      <protection locked="0"/>
    </xf>
    <xf numFmtId="0" fontId="15" fillId="0" borderId="168" xfId="0" applyFont="1" applyBorder="1" applyProtection="1">
      <protection locked="0"/>
    </xf>
    <xf numFmtId="0" fontId="0" fillId="0" borderId="168" xfId="0" applyBorder="1" applyAlignment="1" applyProtection="1">
      <alignment wrapText="1"/>
      <protection locked="0"/>
    </xf>
    <xf numFmtId="0" fontId="15" fillId="0" borderId="168" xfId="0" applyFont="1" applyBorder="1" applyAlignment="1" applyProtection="1">
      <alignment wrapText="1"/>
      <protection locked="0"/>
    </xf>
    <xf numFmtId="0" fontId="15" fillId="0" borderId="168" xfId="0" applyFont="1" applyBorder="1" applyAlignment="1" applyProtection="1">
      <alignment vertical="center" wrapText="1"/>
      <protection locked="0"/>
    </xf>
    <xf numFmtId="0" fontId="0" fillId="0" borderId="168" xfId="0" applyBorder="1" applyAlignment="1" applyProtection="1">
      <alignment vertical="center" wrapText="1"/>
      <protection locked="0"/>
    </xf>
    <xf numFmtId="0" fontId="0" fillId="0" borderId="168" xfId="0" applyBorder="1" applyAlignment="1" applyProtection="1">
      <alignment horizontal="center" vertical="center" wrapText="1"/>
      <protection locked="0"/>
    </xf>
    <xf numFmtId="0" fontId="0" fillId="0" borderId="168" xfId="0" applyBorder="1" applyAlignment="1" applyProtection="1">
      <alignment horizontal="left" wrapText="1"/>
      <protection locked="0"/>
    </xf>
    <xf numFmtId="0" fontId="15" fillId="44" borderId="0" xfId="27" applyFont="1" applyFill="1" applyAlignment="1">
      <alignment vertical="center"/>
    </xf>
    <xf numFmtId="0" fontId="15" fillId="44" borderId="0" xfId="27" applyFont="1" applyFill="1" applyAlignment="1">
      <alignment horizontal="center" vertical="center"/>
    </xf>
    <xf numFmtId="0" fontId="16" fillId="0" borderId="0" xfId="27"/>
    <xf numFmtId="0" fontId="15" fillId="44" borderId="0" xfId="40" applyFont="1" applyFill="1" applyAlignment="1">
      <alignment horizontal="center" vertical="center"/>
    </xf>
    <xf numFmtId="0" fontId="15" fillId="44" borderId="0" xfId="40" applyFont="1" applyFill="1" applyAlignment="1">
      <alignment vertical="center"/>
    </xf>
    <xf numFmtId="9" fontId="18" fillId="44" borderId="0" xfId="30" applyFont="1" applyFill="1" applyBorder="1" applyAlignment="1" applyProtection="1">
      <alignment vertical="center"/>
    </xf>
    <xf numFmtId="0" fontId="15" fillId="44" borderId="53" xfId="27" applyFont="1" applyFill="1" applyBorder="1" applyAlignment="1">
      <alignment horizontal="right" vertical="center"/>
    </xf>
    <xf numFmtId="0" fontId="25" fillId="44" borderId="52" xfId="27" applyFont="1" applyFill="1" applyBorder="1" applyAlignment="1">
      <alignment horizontal="center" vertical="center"/>
    </xf>
    <xf numFmtId="0" fontId="25" fillId="44" borderId="0" xfId="27" applyFont="1" applyFill="1" applyAlignment="1">
      <alignment horizontal="center" vertical="center"/>
    </xf>
    <xf numFmtId="2" fontId="15" fillId="44" borderId="0" xfId="40" applyNumberFormat="1" applyFont="1" applyFill="1" applyAlignment="1">
      <alignment horizontal="center" vertical="center"/>
    </xf>
    <xf numFmtId="2" fontId="15" fillId="44" borderId="0" xfId="40" applyNumberFormat="1" applyFont="1" applyFill="1" applyAlignment="1">
      <alignment vertical="center"/>
    </xf>
    <xf numFmtId="0" fontId="15" fillId="44" borderId="0" xfId="27" applyFont="1" applyFill="1" applyAlignment="1">
      <alignment horizontal="right" vertical="center"/>
    </xf>
    <xf numFmtId="9" fontId="0" fillId="44" borderId="0" xfId="30" applyFont="1" applyFill="1" applyProtection="1"/>
    <xf numFmtId="0" fontId="16" fillId="44" borderId="0" xfId="27" applyFill="1"/>
    <xf numFmtId="0" fontId="16" fillId="44" borderId="0" xfId="27" applyFill="1" applyAlignment="1">
      <alignment horizontal="left" vertical="center"/>
    </xf>
    <xf numFmtId="178" fontId="15" fillId="44" borderId="0" xfId="27" applyNumberFormat="1" applyFont="1" applyFill="1" applyAlignment="1">
      <alignment horizontal="right" vertical="center"/>
    </xf>
    <xf numFmtId="0" fontId="16" fillId="44" borderId="151" xfId="27" applyFill="1" applyBorder="1"/>
    <xf numFmtId="0" fontId="16" fillId="44" borderId="171" xfId="27" applyFill="1" applyBorder="1"/>
    <xf numFmtId="0" fontId="16" fillId="44" borderId="172" xfId="27" applyFill="1" applyBorder="1"/>
    <xf numFmtId="0" fontId="16" fillId="44" borderId="38" xfId="27" applyFill="1" applyBorder="1"/>
    <xf numFmtId="0" fontId="16" fillId="44" borderId="55" xfId="27" applyFill="1" applyBorder="1"/>
    <xf numFmtId="0" fontId="27" fillId="44" borderId="0" xfId="27" applyFont="1" applyFill="1" applyAlignment="1">
      <alignment horizontal="left" vertical="center" indent="2"/>
    </xf>
    <xf numFmtId="0" fontId="16" fillId="11" borderId="0" xfId="27" applyFill="1"/>
    <xf numFmtId="0" fontId="27" fillId="44" borderId="0" xfId="27" applyFont="1" applyFill="1" applyAlignment="1">
      <alignment vertical="center"/>
    </xf>
    <xf numFmtId="0" fontId="27" fillId="44" borderId="38" xfId="27" applyFont="1" applyFill="1" applyBorder="1" applyAlignment="1">
      <alignment vertical="center"/>
    </xf>
    <xf numFmtId="0" fontId="16" fillId="11" borderId="55" xfId="27" applyFill="1" applyBorder="1"/>
    <xf numFmtId="0" fontId="16" fillId="11" borderId="38" xfId="27" applyFill="1" applyBorder="1"/>
    <xf numFmtId="178" fontId="15" fillId="11" borderId="0" xfId="27" applyNumberFormat="1" applyFont="1" applyFill="1" applyAlignment="1">
      <alignment horizontal="right" vertical="center"/>
    </xf>
    <xf numFmtId="0" fontId="15" fillId="16" borderId="43" xfId="27" applyFont="1" applyFill="1" applyBorder="1" applyAlignment="1">
      <alignment horizontal="center" vertical="center" wrapText="1"/>
    </xf>
    <xf numFmtId="0" fontId="15" fillId="16" borderId="22" xfId="27" applyFont="1" applyFill="1" applyBorder="1" applyAlignment="1">
      <alignment horizontal="center" vertical="center" wrapText="1"/>
    </xf>
    <xf numFmtId="0" fontId="15" fillId="16" borderId="220" xfId="27" applyFont="1" applyFill="1" applyBorder="1" applyAlignment="1">
      <alignment horizontal="center" vertical="center" wrapText="1"/>
    </xf>
    <xf numFmtId="0" fontId="12" fillId="14" borderId="45" xfId="27" applyFont="1" applyFill="1" applyBorder="1" applyAlignment="1">
      <alignment horizontal="center" vertical="center"/>
    </xf>
    <xf numFmtId="0" fontId="12" fillId="14" borderId="221" xfId="27" applyFont="1" applyFill="1" applyBorder="1" applyAlignment="1">
      <alignment horizontal="center" vertical="center"/>
    </xf>
    <xf numFmtId="0" fontId="12" fillId="14" borderId="47" xfId="27" applyFont="1" applyFill="1" applyBorder="1" applyAlignment="1">
      <alignment horizontal="center" vertical="center"/>
    </xf>
    <xf numFmtId="0" fontId="12" fillId="47" borderId="222" xfId="27" applyFont="1" applyFill="1" applyBorder="1" applyAlignment="1">
      <alignment horizontal="center" vertical="center"/>
    </xf>
    <xf numFmtId="0" fontId="12" fillId="47" borderId="47" xfId="27" applyFont="1" applyFill="1" applyBorder="1" applyAlignment="1">
      <alignment horizontal="center" vertical="center"/>
    </xf>
    <xf numFmtId="0" fontId="16" fillId="11" borderId="0" xfId="27" applyFill="1" applyAlignment="1">
      <alignment horizontal="center"/>
    </xf>
    <xf numFmtId="0" fontId="12" fillId="14" borderId="85" xfId="27" applyFont="1" applyFill="1" applyBorder="1" applyAlignment="1">
      <alignment horizontal="center" vertical="center"/>
    </xf>
    <xf numFmtId="0" fontId="12" fillId="14" borderId="76" xfId="27" applyFont="1" applyFill="1" applyBorder="1" applyAlignment="1">
      <alignment horizontal="center" vertical="center"/>
    </xf>
    <xf numFmtId="0" fontId="12" fillId="48" borderId="85" xfId="27" applyFont="1" applyFill="1" applyBorder="1" applyAlignment="1">
      <alignment horizontal="center" vertical="center"/>
    </xf>
    <xf numFmtId="0" fontId="12" fillId="48" borderId="84" xfId="27" applyFont="1" applyFill="1" applyBorder="1" applyAlignment="1">
      <alignment horizontal="center" vertical="center"/>
    </xf>
    <xf numFmtId="0" fontId="12" fillId="47" borderId="94" xfId="27" applyFont="1" applyFill="1" applyBorder="1" applyAlignment="1">
      <alignment horizontal="center" vertical="center"/>
    </xf>
    <xf numFmtId="0" fontId="12" fillId="47" borderId="84" xfId="27" applyFont="1" applyFill="1" applyBorder="1" applyAlignment="1">
      <alignment horizontal="center" vertical="center"/>
    </xf>
    <xf numFmtId="0" fontId="12" fillId="14" borderId="220" xfId="27" applyFont="1" applyFill="1" applyBorder="1" applyAlignment="1">
      <alignment horizontal="center" vertical="center"/>
    </xf>
    <xf numFmtId="0" fontId="12" fillId="48" borderId="220" xfId="27" applyFont="1" applyFill="1" applyBorder="1" applyAlignment="1">
      <alignment horizontal="center" vertical="center"/>
    </xf>
    <xf numFmtId="0" fontId="12" fillId="47" borderId="220" xfId="27" applyFont="1" applyFill="1" applyBorder="1" applyAlignment="1">
      <alignment horizontal="center" vertical="center"/>
    </xf>
    <xf numFmtId="0" fontId="16" fillId="12" borderId="184" xfId="27" applyFill="1" applyBorder="1" applyAlignment="1" applyProtection="1">
      <alignment horizontal="left" vertical="center"/>
      <protection locked="0"/>
    </xf>
    <xf numFmtId="0" fontId="16" fillId="12" borderId="184" xfId="27" applyFill="1" applyBorder="1" applyProtection="1">
      <protection locked="0"/>
    </xf>
    <xf numFmtId="179" fontId="0" fillId="12" borderId="184" xfId="38" applyNumberFormat="1" applyFont="1" applyFill="1" applyBorder="1" applyAlignment="1" applyProtection="1">
      <alignment vertical="center"/>
      <protection locked="0"/>
    </xf>
    <xf numFmtId="178" fontId="16" fillId="29" borderId="87" xfId="27" applyNumberFormat="1" applyFill="1" applyBorder="1" applyAlignment="1">
      <alignment horizontal="right" vertical="center"/>
    </xf>
    <xf numFmtId="178" fontId="16" fillId="0" borderId="102" xfId="27" applyNumberFormat="1" applyBorder="1" applyAlignment="1">
      <alignment horizontal="right" vertical="center"/>
    </xf>
    <xf numFmtId="9" fontId="16" fillId="12" borderId="223" xfId="27" applyNumberFormat="1" applyFill="1" applyBorder="1" applyAlignment="1" applyProtection="1">
      <alignment horizontal="center" vertical="center"/>
      <protection locked="0"/>
    </xf>
    <xf numFmtId="178" fontId="16" fillId="0" borderId="19" xfId="27" applyNumberFormat="1" applyBorder="1" applyAlignment="1">
      <alignment horizontal="right" vertical="center"/>
    </xf>
    <xf numFmtId="178" fontId="16" fillId="0" borderId="224" xfId="27" applyNumberFormat="1" applyBorder="1" applyAlignment="1">
      <alignment horizontal="right" vertical="center"/>
    </xf>
    <xf numFmtId="9" fontId="0" fillId="12" borderId="17" xfId="30" applyFont="1" applyFill="1" applyBorder="1" applyAlignment="1" applyProtection="1">
      <alignment horizontal="center" vertical="center"/>
      <protection locked="0"/>
    </xf>
    <xf numFmtId="9" fontId="16" fillId="26" borderId="102" xfId="27" applyNumberFormat="1" applyFill="1" applyBorder="1" applyAlignment="1">
      <alignment horizontal="center" vertical="center"/>
    </xf>
    <xf numFmtId="9" fontId="32" fillId="0" borderId="62" xfId="30" applyFont="1" applyFill="1" applyBorder="1" applyAlignment="1" applyProtection="1">
      <alignment horizontal="center" vertical="center"/>
    </xf>
    <xf numFmtId="178" fontId="16" fillId="27" borderId="63" xfId="27" applyNumberFormat="1" applyFill="1" applyBorder="1" applyAlignment="1">
      <alignment horizontal="right" vertical="center"/>
    </xf>
    <xf numFmtId="178" fontId="16" fillId="27" borderId="98" xfId="27" applyNumberFormat="1" applyFill="1" applyBorder="1" applyAlignment="1">
      <alignment horizontal="right" vertical="center"/>
    </xf>
    <xf numFmtId="9" fontId="32" fillId="0" borderId="64" xfId="30" applyFont="1" applyFill="1" applyBorder="1" applyAlignment="1" applyProtection="1">
      <alignment horizontal="center" vertical="center"/>
    </xf>
    <xf numFmtId="9" fontId="16" fillId="44" borderId="45" xfId="27" applyNumberFormat="1" applyFill="1" applyBorder="1" applyAlignment="1">
      <alignment horizontal="center" vertical="center"/>
    </xf>
    <xf numFmtId="178" fontId="16" fillId="26" borderId="46" xfId="27" applyNumberFormat="1" applyFill="1" applyBorder="1" applyAlignment="1">
      <alignment horizontal="right" vertical="center"/>
    </xf>
    <xf numFmtId="9" fontId="16" fillId="44" borderId="46" xfId="27" applyNumberFormat="1" applyFill="1" applyBorder="1" applyAlignment="1">
      <alignment horizontal="center" vertical="center"/>
    </xf>
    <xf numFmtId="9" fontId="0" fillId="44" borderId="46" xfId="30" applyFont="1" applyFill="1" applyBorder="1" applyAlignment="1" applyProtection="1">
      <alignment horizontal="center" vertical="center"/>
    </xf>
    <xf numFmtId="178" fontId="16" fillId="26" borderId="47" xfId="27" applyNumberFormat="1" applyFill="1" applyBorder="1" applyAlignment="1">
      <alignment horizontal="right" vertical="center"/>
    </xf>
    <xf numFmtId="0" fontId="16" fillId="11" borderId="152" xfId="27" applyFill="1" applyBorder="1"/>
    <xf numFmtId="0" fontId="16" fillId="11" borderId="97" xfId="27" applyFill="1" applyBorder="1"/>
    <xf numFmtId="0" fontId="16" fillId="11" borderId="51" xfId="27" applyFill="1" applyBorder="1"/>
    <xf numFmtId="169" fontId="13" fillId="20" borderId="220" xfId="38" applyNumberFormat="1" applyFont="1" applyFill="1" applyBorder="1" applyAlignment="1" applyProtection="1">
      <alignment horizontal="center" vertical="center"/>
      <protection locked="0"/>
    </xf>
    <xf numFmtId="0" fontId="16" fillId="12" borderId="94" xfId="27" applyFill="1" applyBorder="1" applyAlignment="1" applyProtection="1">
      <alignment horizontal="left" vertical="center"/>
      <protection locked="0"/>
    </xf>
    <xf numFmtId="0" fontId="16" fillId="12" borderId="83" xfId="27" applyFill="1" applyBorder="1" applyAlignment="1" applyProtection="1">
      <alignment horizontal="left" vertical="center"/>
      <protection locked="0"/>
    </xf>
    <xf numFmtId="0" fontId="16" fillId="12" borderId="83" xfId="27" applyFill="1" applyBorder="1" applyProtection="1">
      <protection locked="0"/>
    </xf>
    <xf numFmtId="0" fontId="16" fillId="12" borderId="76" xfId="27" applyFill="1" applyBorder="1" applyProtection="1">
      <protection locked="0"/>
    </xf>
    <xf numFmtId="179" fontId="0" fillId="12" borderId="83" xfId="38" applyNumberFormat="1" applyFont="1" applyFill="1" applyBorder="1" applyAlignment="1" applyProtection="1">
      <alignment vertical="center"/>
      <protection locked="0"/>
    </xf>
    <xf numFmtId="179" fontId="0" fillId="12" borderId="76" xfId="38" applyNumberFormat="1" applyFont="1" applyFill="1" applyBorder="1" applyAlignment="1" applyProtection="1">
      <alignment vertical="center"/>
      <protection locked="0"/>
    </xf>
    <xf numFmtId="178" fontId="16" fillId="29" borderId="88" xfId="27" applyNumberFormat="1" applyFill="1" applyBorder="1" applyAlignment="1">
      <alignment horizontal="right" vertical="center"/>
    </xf>
    <xf numFmtId="178" fontId="16" fillId="0" borderId="104" xfId="27" applyNumberFormat="1" applyBorder="1" applyAlignment="1">
      <alignment horizontal="right" vertical="center"/>
    </xf>
    <xf numFmtId="9" fontId="16" fillId="12" borderId="85" xfId="27" applyNumberFormat="1" applyFill="1" applyBorder="1" applyAlignment="1" applyProtection="1">
      <alignment horizontal="center" vertical="center"/>
      <protection locked="0"/>
    </xf>
    <xf numFmtId="178" fontId="16" fillId="0" borderId="76" xfId="27" applyNumberFormat="1" applyBorder="1" applyAlignment="1">
      <alignment horizontal="right" vertical="center"/>
    </xf>
    <xf numFmtId="178" fontId="16" fillId="0" borderId="84" xfId="27" applyNumberFormat="1" applyBorder="1" applyAlignment="1">
      <alignment horizontal="right" vertical="center"/>
    </xf>
    <xf numFmtId="9" fontId="0" fillId="12" borderId="94" xfId="30" applyFont="1" applyFill="1" applyBorder="1" applyAlignment="1" applyProtection="1">
      <alignment horizontal="center" vertical="center"/>
      <protection locked="0"/>
    </xf>
    <xf numFmtId="9" fontId="16" fillId="26" borderId="104" xfId="27" applyNumberFormat="1" applyFill="1" applyBorder="1" applyAlignment="1">
      <alignment horizontal="center" vertical="center"/>
    </xf>
    <xf numFmtId="9" fontId="16" fillId="12" borderId="186" xfId="27" applyNumberFormat="1" applyFill="1" applyBorder="1" applyAlignment="1" applyProtection="1">
      <alignment horizontal="center" vertical="center"/>
      <protection locked="0"/>
    </xf>
    <xf numFmtId="178" fontId="16" fillId="0" borderId="210" xfId="27" applyNumberFormat="1" applyBorder="1" applyAlignment="1">
      <alignment horizontal="right" vertical="center"/>
    </xf>
    <xf numFmtId="0" fontId="16" fillId="12" borderId="192" xfId="27" applyFill="1" applyBorder="1" applyAlignment="1" applyProtection="1">
      <alignment horizontal="left" vertical="center"/>
      <protection locked="0"/>
    </xf>
    <xf numFmtId="0" fontId="16" fillId="12" borderId="192" xfId="27" applyFill="1" applyBorder="1" applyProtection="1">
      <protection locked="0"/>
    </xf>
    <xf numFmtId="178" fontId="16" fillId="29" borderId="151" xfId="27" applyNumberFormat="1" applyFill="1" applyBorder="1" applyAlignment="1">
      <alignment horizontal="right" vertical="center"/>
    </xf>
    <xf numFmtId="169" fontId="13" fillId="23" borderId="224" xfId="38" applyNumberFormat="1" applyFont="1" applyFill="1" applyBorder="1" applyAlignment="1">
      <alignment horizontal="center" vertical="center"/>
    </xf>
    <xf numFmtId="178" fontId="16" fillId="29" borderId="225" xfId="27" applyNumberFormat="1" applyFill="1" applyBorder="1" applyAlignment="1">
      <alignment horizontal="right" vertical="center"/>
    </xf>
    <xf numFmtId="178" fontId="16" fillId="0" borderId="226" xfId="27" applyNumberFormat="1" applyBorder="1" applyAlignment="1">
      <alignment horizontal="right" vertical="center"/>
    </xf>
    <xf numFmtId="9" fontId="16" fillId="12" borderId="227" xfId="27" applyNumberFormat="1" applyFill="1" applyBorder="1" applyAlignment="1" applyProtection="1">
      <alignment horizontal="center" vertical="center"/>
      <protection locked="0"/>
    </xf>
    <xf numFmtId="178" fontId="16" fillId="0" borderId="228" xfId="27" applyNumberFormat="1" applyBorder="1" applyAlignment="1">
      <alignment horizontal="right" vertical="center"/>
    </xf>
    <xf numFmtId="178" fontId="16" fillId="0" borderId="229" xfId="27" applyNumberFormat="1" applyBorder="1" applyAlignment="1">
      <alignment horizontal="right" vertical="center"/>
    </xf>
    <xf numFmtId="9" fontId="0" fillId="12" borderId="230" xfId="30" applyFont="1" applyFill="1" applyBorder="1" applyAlignment="1" applyProtection="1">
      <alignment horizontal="center" vertical="center"/>
      <protection locked="0"/>
    </xf>
    <xf numFmtId="9" fontId="16" fillId="26" borderId="226" xfId="27" applyNumberFormat="1" applyFill="1" applyBorder="1" applyAlignment="1">
      <alignment horizontal="center" vertical="center"/>
    </xf>
    <xf numFmtId="0" fontId="15" fillId="20" borderId="226" xfId="27" applyFont="1" applyFill="1" applyBorder="1" applyAlignment="1">
      <alignment horizontal="center" vertical="center" wrapText="1"/>
    </xf>
    <xf numFmtId="0" fontId="13" fillId="20" borderId="230" xfId="27" applyFont="1" applyFill="1" applyBorder="1" applyAlignment="1">
      <alignment horizontal="left" vertical="center"/>
    </xf>
    <xf numFmtId="169" fontId="13" fillId="20" borderId="229" xfId="38" applyNumberFormat="1" applyFont="1" applyFill="1" applyBorder="1" applyAlignment="1">
      <alignment horizontal="center" vertical="center"/>
    </xf>
    <xf numFmtId="0" fontId="16" fillId="12" borderId="32" xfId="27" applyFill="1" applyBorder="1" applyAlignment="1" applyProtection="1">
      <alignment horizontal="left" vertical="center"/>
      <protection locked="0"/>
    </xf>
    <xf numFmtId="0" fontId="16" fillId="12" borderId="22" xfId="27" applyFill="1" applyBorder="1" applyAlignment="1" applyProtection="1">
      <alignment horizontal="left" vertical="center"/>
      <protection locked="0"/>
    </xf>
    <xf numFmtId="0" fontId="16" fillId="12" borderId="22" xfId="27" applyFill="1" applyBorder="1" applyProtection="1">
      <protection locked="0"/>
    </xf>
    <xf numFmtId="0" fontId="16" fillId="12" borderId="43" xfId="27" applyFill="1" applyBorder="1" applyProtection="1">
      <protection locked="0"/>
    </xf>
    <xf numFmtId="179" fontId="0" fillId="12" borderId="231" xfId="38" applyNumberFormat="1" applyFont="1" applyFill="1" applyBorder="1" applyAlignment="1" applyProtection="1">
      <alignment vertical="center"/>
      <protection locked="0"/>
    </xf>
    <xf numFmtId="179" fontId="0" fillId="12" borderId="228" xfId="38" applyNumberFormat="1" applyFont="1" applyFill="1" applyBorder="1" applyAlignment="1" applyProtection="1">
      <alignment vertical="center"/>
      <protection locked="0"/>
    </xf>
    <xf numFmtId="1" fontId="16" fillId="0" borderId="226" xfId="27" applyNumberFormat="1" applyBorder="1" applyAlignment="1">
      <alignment horizontal="center" vertical="center" wrapText="1"/>
    </xf>
    <xf numFmtId="176" fontId="21" fillId="0" borderId="230" xfId="27" applyNumberFormat="1" applyFont="1" applyBorder="1" applyAlignment="1">
      <alignment horizontal="left"/>
    </xf>
    <xf numFmtId="169" fontId="0" fillId="12" borderId="231" xfId="38" applyNumberFormat="1" applyFont="1" applyFill="1" applyBorder="1" applyAlignment="1" applyProtection="1">
      <alignment vertical="center"/>
      <protection locked="0"/>
    </xf>
    <xf numFmtId="169" fontId="0" fillId="12" borderId="229" xfId="38" applyNumberFormat="1" applyFont="1" applyFill="1" applyBorder="1" applyAlignment="1" applyProtection="1">
      <alignment vertical="center"/>
      <protection locked="0"/>
    </xf>
    <xf numFmtId="169" fontId="13" fillId="20" borderId="224" xfId="38" applyNumberFormat="1" applyFont="1" applyFill="1" applyBorder="1" applyAlignment="1">
      <alignment horizontal="center" vertical="center"/>
    </xf>
    <xf numFmtId="9" fontId="16" fillId="12" borderId="232" xfId="27" applyNumberFormat="1" applyFill="1" applyBorder="1" applyAlignment="1" applyProtection="1">
      <alignment horizontal="center" vertical="center"/>
      <protection locked="0"/>
    </xf>
    <xf numFmtId="178" fontId="16" fillId="0" borderId="43" xfId="27" applyNumberFormat="1" applyBorder="1" applyAlignment="1">
      <alignment horizontal="right" vertical="center"/>
    </xf>
    <xf numFmtId="178" fontId="16" fillId="0" borderId="220" xfId="27" applyNumberFormat="1" applyBorder="1" applyAlignment="1">
      <alignment horizontal="right" vertical="center"/>
    </xf>
    <xf numFmtId="9" fontId="0" fillId="12" borderId="32" xfId="30" applyFont="1" applyFill="1" applyBorder="1" applyAlignment="1" applyProtection="1">
      <alignment horizontal="center" vertical="center"/>
      <protection locked="0"/>
    </xf>
    <xf numFmtId="179" fontId="16" fillId="11" borderId="0" xfId="27" applyNumberFormat="1" applyFill="1"/>
    <xf numFmtId="178" fontId="25" fillId="26" borderId="42" xfId="27" applyNumberFormat="1" applyFont="1" applyFill="1" applyBorder="1" applyAlignment="1">
      <alignment horizontal="right" vertical="center"/>
    </xf>
    <xf numFmtId="9" fontId="17" fillId="19" borderId="45" xfId="30" applyFont="1" applyFill="1" applyBorder="1" applyAlignment="1">
      <alignment horizontal="center" vertical="center"/>
    </xf>
    <xf numFmtId="178" fontId="25" fillId="26" borderId="47" xfId="27" applyNumberFormat="1" applyFont="1" applyFill="1" applyBorder="1" applyAlignment="1">
      <alignment horizontal="right" vertical="center"/>
    </xf>
    <xf numFmtId="170" fontId="17" fillId="19" borderId="45" xfId="30" applyNumberFormat="1" applyFont="1" applyFill="1" applyBorder="1" applyAlignment="1">
      <alignment horizontal="center" vertical="center"/>
    </xf>
    <xf numFmtId="9" fontId="17" fillId="19" borderId="6" xfId="30" applyFont="1" applyFill="1" applyBorder="1" applyAlignment="1">
      <alignment horizontal="center" vertical="center"/>
    </xf>
    <xf numFmtId="0" fontId="43" fillId="12" borderId="186" xfId="27" applyFont="1" applyFill="1" applyBorder="1" applyAlignment="1" applyProtection="1">
      <alignment horizontal="left" vertical="center"/>
      <protection locked="0"/>
    </xf>
    <xf numFmtId="0" fontId="43" fillId="12" borderId="184" xfId="27" applyFont="1" applyFill="1" applyBorder="1" applyAlignment="1" applyProtection="1">
      <alignment horizontal="left" vertical="center"/>
      <protection locked="0"/>
    </xf>
    <xf numFmtId="178" fontId="16" fillId="29" borderId="150" xfId="40" applyNumberFormat="1" applyFill="1" applyBorder="1" applyAlignment="1">
      <alignment horizontal="right" vertical="center"/>
    </xf>
    <xf numFmtId="0" fontId="16" fillId="12" borderId="227" xfId="27" applyFill="1" applyBorder="1" applyAlignment="1" applyProtection="1">
      <alignment horizontal="left" vertical="center"/>
      <protection locked="0"/>
    </xf>
    <xf numFmtId="0" fontId="16" fillId="12" borderId="231" xfId="27" applyFill="1" applyBorder="1" applyAlignment="1" applyProtection="1">
      <alignment horizontal="left" vertical="center"/>
      <protection locked="0"/>
    </xf>
    <xf numFmtId="0" fontId="16" fillId="12" borderId="231" xfId="27" applyFill="1" applyBorder="1" applyProtection="1">
      <protection locked="0"/>
    </xf>
    <xf numFmtId="0" fontId="16" fillId="12" borderId="19" xfId="27" applyFill="1" applyBorder="1" applyProtection="1">
      <protection locked="0"/>
    </xf>
    <xf numFmtId="179" fontId="0" fillId="12" borderId="229" xfId="38" applyNumberFormat="1" applyFont="1" applyFill="1" applyBorder="1" applyAlignment="1" applyProtection="1">
      <alignment vertical="center"/>
      <protection locked="0"/>
    </xf>
    <xf numFmtId="178" fontId="16" fillId="29" borderId="226" xfId="40" applyNumberFormat="1" applyFill="1" applyBorder="1" applyAlignment="1">
      <alignment horizontal="right" vertical="center"/>
    </xf>
    <xf numFmtId="178" fontId="16" fillId="0" borderId="226" xfId="40" applyNumberFormat="1" applyBorder="1" applyAlignment="1">
      <alignment horizontal="right" vertical="center"/>
    </xf>
    <xf numFmtId="0" fontId="16" fillId="12" borderId="223" xfId="27" applyFill="1" applyBorder="1" applyAlignment="1" applyProtection="1">
      <alignment horizontal="left" vertical="center"/>
      <protection locked="0"/>
    </xf>
    <xf numFmtId="0" fontId="16" fillId="12" borderId="233" xfId="27" applyFill="1" applyBorder="1" applyAlignment="1" applyProtection="1">
      <alignment horizontal="left" vertical="center"/>
      <protection locked="0"/>
    </xf>
    <xf numFmtId="0" fontId="16" fillId="12" borderId="233" xfId="27" applyFill="1" applyBorder="1" applyProtection="1">
      <protection locked="0"/>
    </xf>
    <xf numFmtId="0" fontId="16" fillId="12" borderId="228" xfId="27" applyFill="1" applyBorder="1" applyProtection="1">
      <protection locked="0"/>
    </xf>
    <xf numFmtId="0" fontId="16" fillId="12" borderId="85" xfId="27" applyFill="1" applyBorder="1" applyAlignment="1" applyProtection="1">
      <alignment horizontal="left" vertical="center"/>
      <protection locked="0"/>
    </xf>
    <xf numFmtId="179" fontId="0" fillId="12" borderId="84" xfId="38" applyNumberFormat="1" applyFont="1" applyFill="1" applyBorder="1" applyAlignment="1" applyProtection="1">
      <alignment vertical="center"/>
      <protection locked="0"/>
    </xf>
    <xf numFmtId="178" fontId="16" fillId="29" borderId="104" xfId="40" applyNumberFormat="1" applyFill="1" applyBorder="1" applyAlignment="1">
      <alignment horizontal="right" vertical="center"/>
    </xf>
    <xf numFmtId="178" fontId="16" fillId="0" borderId="104" xfId="40" applyNumberFormat="1" applyBorder="1" applyAlignment="1">
      <alignment horizontal="right" vertical="center"/>
    </xf>
    <xf numFmtId="0" fontId="16" fillId="11" borderId="0" xfId="27" applyFill="1" applyAlignment="1">
      <alignment horizontal="center" vertical="center"/>
    </xf>
    <xf numFmtId="0" fontId="16" fillId="11" borderId="0" xfId="27" applyFill="1" applyAlignment="1">
      <alignment horizontal="left" vertical="center"/>
    </xf>
    <xf numFmtId="178" fontId="16" fillId="11" borderId="0" xfId="27" applyNumberFormat="1" applyFill="1"/>
    <xf numFmtId="178" fontId="25" fillId="26" borderId="56" xfId="27" applyNumberFormat="1" applyFont="1" applyFill="1" applyBorder="1" applyAlignment="1">
      <alignment horizontal="right" vertical="center"/>
    </xf>
    <xf numFmtId="9" fontId="17" fillId="19" borderId="6" xfId="30" applyFont="1" applyFill="1" applyBorder="1" applyAlignment="1" applyProtection="1">
      <alignment horizontal="center" vertical="center"/>
    </xf>
    <xf numFmtId="0" fontId="15" fillId="31" borderId="104" xfId="27" applyFont="1" applyFill="1" applyBorder="1" applyAlignment="1">
      <alignment horizontal="center" vertical="center" wrapText="1"/>
    </xf>
    <xf numFmtId="0" fontId="15" fillId="32" borderId="94" xfId="27" applyFont="1" applyFill="1" applyBorder="1" applyAlignment="1">
      <alignment horizontal="left" vertical="center"/>
    </xf>
    <xf numFmtId="169" fontId="15" fillId="31" borderId="98" xfId="27" applyNumberFormat="1" applyFont="1" applyFill="1" applyBorder="1" applyAlignment="1">
      <alignment horizontal="center" vertical="center" wrapText="1"/>
    </xf>
    <xf numFmtId="183" fontId="16" fillId="11" borderId="0" xfId="27" applyNumberFormat="1" applyFill="1"/>
    <xf numFmtId="182" fontId="16" fillId="0" borderId="0" xfId="38" applyNumberFormat="1"/>
    <xf numFmtId="182" fontId="16" fillId="11" borderId="0" xfId="27" applyNumberFormat="1" applyFill="1"/>
    <xf numFmtId="0" fontId="25" fillId="12" borderId="190" xfId="27" applyFont="1" applyFill="1" applyBorder="1" applyAlignment="1" applyProtection="1">
      <alignment horizontal="center" vertical="center"/>
      <protection locked="0"/>
    </xf>
    <xf numFmtId="178" fontId="16" fillId="26" borderId="231" xfId="27" applyNumberFormat="1" applyFill="1" applyBorder="1" applyAlignment="1">
      <alignment horizontal="center" vertical="center"/>
    </xf>
    <xf numFmtId="171" fontId="15" fillId="19" borderId="231" xfId="30" applyNumberFormat="1" applyFont="1" applyFill="1" applyBorder="1" applyAlignment="1" applyProtection="1">
      <alignment horizontal="center" vertical="center"/>
    </xf>
    <xf numFmtId="0" fontId="12" fillId="14" borderId="232" xfId="27" applyFont="1" applyFill="1" applyBorder="1" applyAlignment="1">
      <alignment horizontal="center" vertical="center"/>
    </xf>
    <xf numFmtId="0" fontId="12" fillId="48" borderId="232" xfId="27" applyFont="1" applyFill="1" applyBorder="1" applyAlignment="1">
      <alignment horizontal="center" vertical="center"/>
    </xf>
    <xf numFmtId="0" fontId="12" fillId="47" borderId="232" xfId="27" applyFont="1" applyFill="1" applyBorder="1" applyAlignment="1">
      <alignment horizontal="center" vertical="center"/>
    </xf>
    <xf numFmtId="0" fontId="16" fillId="12" borderId="183" xfId="27" applyFill="1" applyBorder="1" applyAlignment="1" applyProtection="1">
      <alignment horizontal="left" vertical="center"/>
      <protection locked="0"/>
    </xf>
    <xf numFmtId="0" fontId="16" fillId="12" borderId="235" xfId="27" applyFill="1" applyBorder="1" applyProtection="1">
      <protection locked="0"/>
    </xf>
    <xf numFmtId="179" fontId="0" fillId="12" borderId="185" xfId="38" applyNumberFormat="1" applyFont="1" applyFill="1" applyBorder="1" applyAlignment="1" applyProtection="1">
      <alignment vertical="center"/>
      <protection locked="0"/>
    </xf>
    <xf numFmtId="0" fontId="15" fillId="21" borderId="226" xfId="27" applyFont="1" applyFill="1" applyBorder="1" applyAlignment="1">
      <alignment horizontal="center" vertical="center"/>
    </xf>
    <xf numFmtId="0" fontId="13" fillId="23" borderId="230" xfId="27" applyFont="1" applyFill="1" applyBorder="1" applyAlignment="1">
      <alignment horizontal="left" vertical="center"/>
    </xf>
    <xf numFmtId="169" fontId="13" fillId="23" borderId="229" xfId="38" applyNumberFormat="1" applyFont="1" applyFill="1" applyBorder="1" applyAlignment="1">
      <alignment horizontal="center" vertical="center"/>
    </xf>
    <xf numFmtId="0" fontId="16" fillId="12" borderId="230" xfId="27" applyFill="1" applyBorder="1" applyAlignment="1" applyProtection="1">
      <alignment horizontal="left" vertical="center"/>
      <protection locked="0"/>
    </xf>
    <xf numFmtId="178" fontId="16" fillId="29" borderId="237" xfId="27" applyNumberFormat="1" applyFill="1" applyBorder="1" applyAlignment="1">
      <alignment horizontal="right" vertical="center"/>
    </xf>
    <xf numFmtId="0" fontId="16" fillId="12" borderId="185" xfId="27" applyFill="1" applyBorder="1" applyProtection="1">
      <protection locked="0"/>
    </xf>
    <xf numFmtId="178" fontId="16" fillId="0" borderId="185" xfId="27" applyNumberFormat="1" applyBorder="1" applyAlignment="1">
      <alignment horizontal="right" vertical="center"/>
    </xf>
    <xf numFmtId="9" fontId="0" fillId="12" borderId="183" xfId="30" applyFont="1" applyFill="1" applyBorder="1" applyAlignment="1" applyProtection="1">
      <alignment horizontal="center" vertical="center"/>
      <protection locked="0"/>
    </xf>
    <xf numFmtId="0" fontId="16" fillId="12" borderId="234" xfId="27" applyFill="1" applyBorder="1" applyAlignment="1" applyProtection="1">
      <alignment horizontal="left" vertical="center"/>
      <protection locked="0"/>
    </xf>
    <xf numFmtId="179" fontId="1" fillId="12" borderId="184" xfId="38" applyNumberFormat="1" applyFont="1" applyFill="1" applyBorder="1" applyAlignment="1" applyProtection="1">
      <alignment vertical="center"/>
      <protection locked="0"/>
    </xf>
    <xf numFmtId="0" fontId="23" fillId="0" borderId="0" xfId="20" applyAlignment="1" applyProtection="1">
      <alignment horizontal="center"/>
    </xf>
    <xf numFmtId="0" fontId="23" fillId="0" borderId="0" xfId="20"/>
    <xf numFmtId="0" fontId="0" fillId="0" borderId="0" xfId="0"/>
    <xf numFmtId="0" fontId="23" fillId="0" borderId="0" xfId="20" applyBorder="1" applyAlignment="1" applyProtection="1">
      <alignment horizontal="left" vertical="center"/>
    </xf>
    <xf numFmtId="0" fontId="23" fillId="0" borderId="0" xfId="20" applyBorder="1" applyAlignment="1" applyProtection="1">
      <alignment horizontal="left" vertical="center" wrapText="1"/>
    </xf>
    <xf numFmtId="0" fontId="23" fillId="0" borderId="0" xfId="20" applyBorder="1" applyAlignment="1" applyProtection="1">
      <alignment horizontal="left" vertical="center" indent="2"/>
    </xf>
    <xf numFmtId="169" fontId="0" fillId="9" borderId="215" xfId="13" applyNumberFormat="1" applyFont="1" applyFill="1" applyBorder="1" applyAlignment="1">
      <alignment horizontal="right" vertical="center"/>
    </xf>
    <xf numFmtId="169" fontId="0" fillId="9" borderId="103" xfId="13" applyNumberFormat="1" applyFont="1" applyFill="1" applyBorder="1" applyAlignment="1">
      <alignment horizontal="right" vertical="center"/>
    </xf>
    <xf numFmtId="0" fontId="0" fillId="0" borderId="130" xfId="0" applyBorder="1" applyAlignment="1">
      <alignment horizontal="center" vertical="center" wrapText="1"/>
    </xf>
    <xf numFmtId="0" fontId="0" fillId="0" borderId="53" xfId="0" applyBorder="1" applyAlignment="1">
      <alignment horizontal="center" vertical="center" wrapText="1"/>
    </xf>
    <xf numFmtId="0" fontId="0" fillId="0" borderId="125" xfId="0" applyBorder="1" applyAlignment="1">
      <alignment horizontal="center" vertical="center" wrapText="1"/>
    </xf>
    <xf numFmtId="169" fontId="0" fillId="9" borderId="102" xfId="13" applyNumberFormat="1" applyFont="1" applyFill="1" applyBorder="1" applyAlignment="1">
      <alignment horizontal="right" vertical="center"/>
    </xf>
    <xf numFmtId="169" fontId="24" fillId="32" borderId="65" xfId="0" applyNumberFormat="1" applyFont="1" applyFill="1" applyBorder="1" applyAlignment="1">
      <alignment horizontal="right" vertical="center"/>
    </xf>
    <xf numFmtId="169" fontId="24" fillId="32" borderId="120" xfId="0" applyNumberFormat="1" applyFont="1" applyFill="1" applyBorder="1" applyAlignment="1">
      <alignment horizontal="right" vertical="center"/>
    </xf>
    <xf numFmtId="0" fontId="25" fillId="44" borderId="133" xfId="0" applyFont="1" applyFill="1" applyBorder="1" applyAlignment="1">
      <alignment horizontal="center" vertical="center" wrapText="1"/>
    </xf>
    <xf numFmtId="0" fontId="25" fillId="44" borderId="89" xfId="0" applyFont="1" applyFill="1" applyBorder="1" applyAlignment="1">
      <alignment horizontal="center" vertical="center" wrapText="1"/>
    </xf>
    <xf numFmtId="0" fontId="25" fillId="44" borderId="42" xfId="0" applyFont="1" applyFill="1" applyBorder="1" applyAlignment="1">
      <alignment horizontal="center" vertical="center" wrapText="1"/>
    </xf>
    <xf numFmtId="169" fontId="24" fillId="32" borderId="120" xfId="0" applyNumberFormat="1" applyFont="1" applyFill="1" applyBorder="1" applyAlignment="1">
      <alignment horizontal="center" vertical="center"/>
    </xf>
    <xf numFmtId="0" fontId="15" fillId="15" borderId="128" xfId="0" applyFont="1" applyFill="1" applyBorder="1" applyAlignment="1">
      <alignment horizontal="center" vertical="center" wrapText="1"/>
    </xf>
    <xf numFmtId="0" fontId="15" fillId="15" borderId="129" xfId="0" applyFont="1" applyFill="1" applyBorder="1" applyAlignment="1">
      <alignment horizontal="center" vertical="center" wrapText="1"/>
    </xf>
    <xf numFmtId="169" fontId="24" fillId="32" borderId="65" xfId="0" applyNumberFormat="1" applyFont="1" applyFill="1" applyBorder="1" applyAlignment="1">
      <alignment horizontal="center" vertical="center"/>
    </xf>
    <xf numFmtId="0" fontId="25" fillId="0" borderId="133" xfId="0" applyFont="1" applyBorder="1" applyAlignment="1">
      <alignment horizontal="center" vertical="center" wrapText="1"/>
    </xf>
    <xf numFmtId="0" fontId="25" fillId="0" borderId="89" xfId="0" applyFont="1" applyBorder="1" applyAlignment="1">
      <alignment horizontal="center" vertical="center" wrapText="1"/>
    </xf>
    <xf numFmtId="0" fontId="25" fillId="0" borderId="42" xfId="0" applyFont="1" applyBorder="1" applyAlignment="1">
      <alignment horizontal="center" vertical="center" wrapText="1"/>
    </xf>
    <xf numFmtId="0" fontId="15" fillId="0" borderId="2" xfId="0" applyFont="1" applyBorder="1" applyAlignment="1">
      <alignment horizontal="right" vertical="center"/>
    </xf>
    <xf numFmtId="0" fontId="25" fillId="12" borderId="3" xfId="0" applyFont="1" applyFill="1" applyBorder="1" applyAlignment="1" applyProtection="1">
      <alignment horizontal="center" vertical="center"/>
      <protection locked="0"/>
    </xf>
    <xf numFmtId="0" fontId="25" fillId="12" borderId="40" xfId="0" applyFont="1" applyFill="1" applyBorder="1" applyAlignment="1" applyProtection="1">
      <alignment horizontal="center" vertical="center"/>
      <protection locked="0"/>
    </xf>
    <xf numFmtId="0" fontId="25" fillId="12" borderId="4" xfId="0" applyFont="1" applyFill="1" applyBorder="1" applyAlignment="1" applyProtection="1">
      <alignment horizontal="center" vertical="center"/>
      <protection locked="0"/>
    </xf>
    <xf numFmtId="169" fontId="15" fillId="15" borderId="134" xfId="0" applyNumberFormat="1" applyFont="1" applyFill="1" applyBorder="1" applyAlignment="1">
      <alignment horizontal="center" vertical="center"/>
    </xf>
    <xf numFmtId="169" fontId="15" fillId="15" borderId="119" xfId="0" applyNumberFormat="1" applyFont="1" applyFill="1" applyBorder="1" applyAlignment="1">
      <alignment horizontal="center" vertical="center"/>
    </xf>
    <xf numFmtId="169" fontId="25" fillId="39" borderId="66" xfId="0" applyNumberFormat="1" applyFont="1" applyFill="1" applyBorder="1" applyAlignment="1">
      <alignment horizontal="center" vertical="center" wrapText="1"/>
    </xf>
    <xf numFmtId="169" fontId="25" fillId="39" borderId="68" xfId="0" applyNumberFormat="1" applyFont="1" applyFill="1" applyBorder="1" applyAlignment="1">
      <alignment horizontal="center" vertical="center" wrapText="1"/>
    </xf>
    <xf numFmtId="169" fontId="25" fillId="39" borderId="71" xfId="0" applyNumberFormat="1" applyFont="1" applyFill="1" applyBorder="1" applyAlignment="1">
      <alignment horizontal="center" vertical="center" wrapText="1"/>
    </xf>
    <xf numFmtId="169" fontId="26" fillId="34" borderId="66" xfId="0" applyNumberFormat="1" applyFont="1" applyFill="1" applyBorder="1" applyAlignment="1">
      <alignment horizontal="center" vertical="center" wrapText="1"/>
    </xf>
    <xf numFmtId="169" fontId="26" fillId="34" borderId="68" xfId="0" applyNumberFormat="1" applyFont="1" applyFill="1" applyBorder="1" applyAlignment="1">
      <alignment horizontal="center" vertical="center" wrapText="1"/>
    </xf>
    <xf numFmtId="169" fontId="26" fillId="34" borderId="71" xfId="0" applyNumberFormat="1" applyFont="1" applyFill="1" applyBorder="1" applyAlignment="1">
      <alignment horizontal="center" vertical="center" wrapText="1"/>
    </xf>
    <xf numFmtId="169" fontId="29" fillId="45" borderId="136" xfId="0" applyNumberFormat="1" applyFont="1" applyFill="1" applyBorder="1" applyAlignment="1">
      <alignment horizontal="center" vertical="center" wrapText="1"/>
    </xf>
    <xf numFmtId="169" fontId="29" fillId="45" borderId="52" xfId="0" applyNumberFormat="1" applyFont="1" applyFill="1" applyBorder="1" applyAlignment="1">
      <alignment horizontal="center" vertical="center" wrapText="1"/>
    </xf>
    <xf numFmtId="169" fontId="20" fillId="34" borderId="54" xfId="0" applyNumberFormat="1" applyFont="1" applyFill="1" applyBorder="1" applyAlignment="1">
      <alignment horizontal="center" vertical="center" wrapText="1"/>
    </xf>
    <xf numFmtId="169" fontId="20" fillId="34" borderId="53" xfId="0" applyNumberFormat="1" applyFont="1" applyFill="1" applyBorder="1" applyAlignment="1">
      <alignment horizontal="center" vertical="center" wrapText="1"/>
    </xf>
    <xf numFmtId="169" fontId="20" fillId="34" borderId="23" xfId="0" applyNumberFormat="1" applyFont="1" applyFill="1" applyBorder="1" applyAlignment="1">
      <alignment horizontal="center" vertical="center" wrapText="1"/>
    </xf>
    <xf numFmtId="169" fontId="20" fillId="34" borderId="50" xfId="0" applyNumberFormat="1" applyFont="1" applyFill="1" applyBorder="1" applyAlignment="1">
      <alignment horizontal="center" vertical="center" wrapText="1"/>
    </xf>
    <xf numFmtId="169" fontId="20" fillId="34" borderId="93" xfId="0" applyNumberFormat="1" applyFont="1" applyFill="1" applyBorder="1" applyAlignment="1">
      <alignment horizontal="center" vertical="center" wrapText="1"/>
    </xf>
    <xf numFmtId="169" fontId="20" fillId="34" borderId="89" xfId="0" applyNumberFormat="1" applyFont="1" applyFill="1" applyBorder="1" applyAlignment="1">
      <alignment horizontal="center" vertical="center" wrapText="1"/>
    </xf>
    <xf numFmtId="0" fontId="27" fillId="0" borderId="0" xfId="0" applyFont="1" applyAlignment="1">
      <alignment horizontal="left" vertical="center" indent="2"/>
    </xf>
    <xf numFmtId="0" fontId="15" fillId="15" borderId="131" xfId="0" applyFont="1" applyFill="1" applyBorder="1" applyAlignment="1">
      <alignment horizontal="center" vertical="center" wrapText="1"/>
    </xf>
    <xf numFmtId="0" fontId="15" fillId="15" borderId="132" xfId="0" applyFont="1" applyFill="1" applyBorder="1" applyAlignment="1">
      <alignment horizontal="center" vertical="center" wrapText="1"/>
    </xf>
    <xf numFmtId="0" fontId="24" fillId="44" borderId="151" xfId="0" applyFont="1" applyFill="1" applyBorder="1" applyAlignment="1">
      <alignment horizontal="center" vertical="center" wrapText="1"/>
    </xf>
    <xf numFmtId="0" fontId="24" fillId="44" borderId="92" xfId="0" applyFont="1" applyFill="1" applyBorder="1" applyAlignment="1">
      <alignment horizontal="center" vertical="center" wrapText="1"/>
    </xf>
    <xf numFmtId="0" fontId="24" fillId="44" borderId="152" xfId="0" applyFont="1" applyFill="1" applyBorder="1" applyAlignment="1">
      <alignment horizontal="center" vertical="center" wrapText="1"/>
    </xf>
    <xf numFmtId="0" fontId="24" fillId="0" borderId="87" xfId="0" applyFont="1" applyBorder="1" applyAlignment="1">
      <alignment horizontal="center" vertical="center" wrapText="1"/>
    </xf>
    <xf numFmtId="0" fontId="24" fillId="0" borderId="92"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88" xfId="0" applyFont="1" applyBorder="1" applyAlignment="1">
      <alignment horizontal="center" vertical="center" wrapText="1"/>
    </xf>
    <xf numFmtId="0" fontId="25" fillId="13" borderId="100" xfId="0" applyFont="1" applyFill="1" applyBorder="1" applyAlignment="1" applyProtection="1">
      <alignment horizontal="center" vertical="center"/>
      <protection locked="0"/>
    </xf>
    <xf numFmtId="0" fontId="25" fillId="13" borderId="101" xfId="0" applyFont="1" applyFill="1" applyBorder="1" applyAlignment="1" applyProtection="1">
      <alignment horizontal="center" vertical="center"/>
      <protection locked="0"/>
    </xf>
    <xf numFmtId="169" fontId="26" fillId="34" borderId="204" xfId="0" applyNumberFormat="1" applyFont="1" applyFill="1" applyBorder="1" applyAlignment="1">
      <alignment horizontal="center" vertical="center" wrapText="1"/>
    </xf>
    <xf numFmtId="169" fontId="26" fillId="34" borderId="205" xfId="0" applyNumberFormat="1" applyFont="1" applyFill="1" applyBorder="1" applyAlignment="1">
      <alignment horizontal="center" vertical="center" wrapText="1"/>
    </xf>
    <xf numFmtId="169" fontId="26" fillId="34" borderId="172" xfId="0" applyNumberFormat="1" applyFont="1" applyFill="1" applyBorder="1" applyAlignment="1">
      <alignment horizontal="center" vertical="center" wrapText="1"/>
    </xf>
    <xf numFmtId="0" fontId="25" fillId="16" borderId="34" xfId="0" applyFont="1" applyFill="1" applyBorder="1" applyAlignment="1">
      <alignment horizontal="center" vertical="center" wrapText="1"/>
    </xf>
    <xf numFmtId="0" fontId="25" fillId="16" borderId="43" xfId="0" applyFont="1" applyFill="1" applyBorder="1" applyAlignment="1">
      <alignment horizontal="center" vertical="center" wrapText="1"/>
    </xf>
    <xf numFmtId="169" fontId="26" fillId="34" borderId="164" xfId="0" applyNumberFormat="1" applyFont="1" applyFill="1" applyBorder="1" applyAlignment="1">
      <alignment horizontal="center" vertical="center" wrapText="1"/>
    </xf>
    <xf numFmtId="169" fontId="26" fillId="34" borderId="165" xfId="0" applyNumberFormat="1" applyFont="1" applyFill="1" applyBorder="1" applyAlignment="1">
      <alignment horizontal="center" vertical="center" wrapText="1"/>
    </xf>
    <xf numFmtId="169" fontId="26" fillId="34" borderId="136" xfId="0" applyNumberFormat="1" applyFont="1" applyFill="1" applyBorder="1" applyAlignment="1">
      <alignment horizontal="center" vertical="center" wrapText="1"/>
    </xf>
    <xf numFmtId="0" fontId="27" fillId="11" borderId="0" xfId="0" applyFont="1" applyFill="1" applyAlignment="1">
      <alignment horizontal="left" vertical="center" indent="2"/>
    </xf>
    <xf numFmtId="0" fontId="25" fillId="15" borderId="25" xfId="0" applyFont="1" applyFill="1" applyBorder="1" applyAlignment="1">
      <alignment horizontal="center" vertical="center" wrapText="1"/>
    </xf>
    <xf numFmtId="0" fontId="25" fillId="15" borderId="41" xfId="0" applyFont="1" applyFill="1" applyBorder="1" applyAlignment="1">
      <alignment horizontal="center" vertical="center" wrapText="1"/>
    </xf>
    <xf numFmtId="0" fontId="25" fillId="16" borderId="173" xfId="0" applyFont="1" applyFill="1" applyBorder="1" applyAlignment="1">
      <alignment horizontal="center" vertical="center" wrapText="1"/>
    </xf>
    <xf numFmtId="0" fontId="25" fillId="16" borderId="18" xfId="0" applyFont="1" applyFill="1" applyBorder="1" applyAlignment="1">
      <alignment horizontal="center" vertical="center" wrapText="1"/>
    </xf>
    <xf numFmtId="0" fontId="25" fillId="15" borderId="102" xfId="0" applyFont="1" applyFill="1" applyBorder="1" applyAlignment="1">
      <alignment horizontal="center" vertical="center" wrapText="1"/>
    </xf>
    <xf numFmtId="0" fontId="25" fillId="15" borderId="91" xfId="0" applyFont="1" applyFill="1" applyBorder="1" applyAlignment="1">
      <alignment horizontal="center" vertical="center" wrapText="1"/>
    </xf>
    <xf numFmtId="0" fontId="24" fillId="46" borderId="102" xfId="0" applyFont="1" applyFill="1" applyBorder="1" applyAlignment="1">
      <alignment horizontal="center" vertical="center" wrapText="1"/>
    </xf>
    <xf numFmtId="0" fontId="24" fillId="46" borderId="89" xfId="0" applyFont="1" applyFill="1" applyBorder="1" applyAlignment="1">
      <alignment horizontal="center" vertical="center" wrapText="1"/>
    </xf>
    <xf numFmtId="0" fontId="24" fillId="46" borderId="104" xfId="0" applyFont="1" applyFill="1" applyBorder="1" applyAlignment="1">
      <alignment horizontal="center" vertical="center" wrapText="1"/>
    </xf>
    <xf numFmtId="169" fontId="26" fillId="34" borderId="130" xfId="0" applyNumberFormat="1" applyFont="1" applyFill="1" applyBorder="1" applyAlignment="1">
      <alignment horizontal="center" vertical="center" wrapText="1"/>
    </xf>
    <xf numFmtId="169" fontId="26" fillId="34" borderId="137" xfId="0" applyNumberFormat="1" applyFont="1" applyFill="1" applyBorder="1" applyAlignment="1">
      <alignment horizontal="center" vertical="center" wrapText="1"/>
    </xf>
    <xf numFmtId="169" fontId="26" fillId="34" borderId="167" xfId="0" applyNumberFormat="1" applyFont="1" applyFill="1" applyBorder="1" applyAlignment="1">
      <alignment horizontal="center" vertical="center" wrapText="1"/>
    </xf>
    <xf numFmtId="169" fontId="15" fillId="15" borderId="151" xfId="0" applyNumberFormat="1" applyFont="1" applyFill="1" applyBorder="1" applyAlignment="1">
      <alignment horizontal="center" vertical="center" wrapText="1"/>
    </xf>
    <xf numFmtId="169" fontId="15" fillId="15" borderId="171" xfId="0" applyNumberFormat="1" applyFont="1" applyFill="1" applyBorder="1" applyAlignment="1">
      <alignment horizontal="center" vertical="center" wrapText="1"/>
    </xf>
    <xf numFmtId="169" fontId="15" fillId="15" borderId="172" xfId="0" applyNumberFormat="1" applyFont="1" applyFill="1" applyBorder="1" applyAlignment="1">
      <alignment horizontal="center" vertical="center" wrapText="1"/>
    </xf>
    <xf numFmtId="0" fontId="24" fillId="46" borderId="87" xfId="0" applyFont="1" applyFill="1" applyBorder="1" applyAlignment="1">
      <alignment horizontal="center" vertical="center" wrapText="1"/>
    </xf>
    <xf numFmtId="0" fontId="24" fillId="46" borderId="92" xfId="0" applyFont="1" applyFill="1" applyBorder="1" applyAlignment="1">
      <alignment horizontal="center" vertical="center" wrapText="1"/>
    </xf>
    <xf numFmtId="0" fontId="24" fillId="46" borderId="88" xfId="0" applyFont="1" applyFill="1" applyBorder="1" applyAlignment="1">
      <alignment horizontal="center" vertical="center" wrapText="1"/>
    </xf>
    <xf numFmtId="0" fontId="15" fillId="0" borderId="0" xfId="0" applyFont="1" applyAlignment="1">
      <alignment horizontal="right" vertical="center"/>
    </xf>
    <xf numFmtId="0" fontId="44" fillId="53" borderId="163" xfId="0" applyFont="1" applyFill="1" applyBorder="1" applyAlignment="1">
      <alignment horizontal="center" vertical="center" wrapText="1"/>
    </xf>
    <xf numFmtId="0" fontId="44" fillId="53" borderId="182" xfId="0" applyFont="1" applyFill="1" applyBorder="1" applyAlignment="1">
      <alignment horizontal="center" vertical="center" wrapText="1"/>
    </xf>
    <xf numFmtId="0" fontId="45" fillId="37" borderId="148" xfId="0" applyFont="1" applyFill="1" applyBorder="1" applyAlignment="1">
      <alignment horizontal="center" vertical="center"/>
    </xf>
    <xf numFmtId="0" fontId="45" fillId="37" borderId="126" xfId="0" applyFont="1" applyFill="1" applyBorder="1" applyAlignment="1">
      <alignment horizontal="center" vertical="center"/>
    </xf>
    <xf numFmtId="175" fontId="26" fillId="30" borderId="18" xfId="12" applyNumberFormat="1" applyFont="1" applyFill="1" applyBorder="1" applyAlignment="1">
      <alignment horizontal="right" vertical="center" wrapText="1"/>
    </xf>
    <xf numFmtId="175" fontId="26" fillId="30" borderId="24" xfId="12" applyNumberFormat="1" applyFont="1" applyFill="1" applyBorder="1" applyAlignment="1">
      <alignment horizontal="right" vertical="center" wrapText="1"/>
    </xf>
    <xf numFmtId="167" fontId="15" fillId="18" borderId="158" xfId="13" applyFont="1" applyFill="1" applyBorder="1" applyAlignment="1">
      <alignment horizontal="center" vertical="center" wrapText="1"/>
    </xf>
    <xf numFmtId="167" fontId="15" fillId="18" borderId="53" xfId="13" applyFont="1" applyFill="1" applyBorder="1" applyAlignment="1">
      <alignment horizontal="center" vertical="center" wrapText="1"/>
    </xf>
    <xf numFmtId="0" fontId="13" fillId="17" borderId="16" xfId="0" applyFont="1" applyFill="1" applyBorder="1" applyAlignment="1">
      <alignment horizontal="left" vertical="center"/>
    </xf>
    <xf numFmtId="0" fontId="13" fillId="17" borderId="14" xfId="0" applyFont="1" applyFill="1" applyBorder="1" applyAlignment="1">
      <alignment horizontal="left" vertical="center"/>
    </xf>
    <xf numFmtId="0" fontId="25" fillId="0" borderId="168" xfId="0" applyFont="1" applyBorder="1" applyAlignment="1">
      <alignment horizontal="center" vertical="center" wrapText="1"/>
    </xf>
    <xf numFmtId="0" fontId="13" fillId="16" borderId="50" xfId="0" applyFont="1" applyFill="1" applyBorder="1" applyAlignment="1">
      <alignment horizontal="center" vertical="center"/>
    </xf>
    <xf numFmtId="0" fontId="13" fillId="16" borderId="5" xfId="0" applyFont="1" applyFill="1" applyBorder="1" applyAlignment="1">
      <alignment horizontal="center" vertical="center"/>
    </xf>
    <xf numFmtId="0" fontId="15" fillId="17" borderId="154" xfId="0" applyFont="1" applyFill="1" applyBorder="1" applyAlignment="1">
      <alignment horizontal="center" vertical="center"/>
    </xf>
    <xf numFmtId="0" fontId="15" fillId="17" borderId="187" xfId="0" applyFont="1" applyFill="1" applyBorder="1" applyAlignment="1">
      <alignment horizontal="center" vertical="center"/>
    </xf>
    <xf numFmtId="0" fontId="13" fillId="15" borderId="157" xfId="0" applyFont="1" applyFill="1" applyBorder="1" applyAlignment="1">
      <alignment horizontal="center" vertical="center"/>
    </xf>
    <xf numFmtId="0" fontId="13" fillId="15" borderId="113" xfId="0" applyFont="1" applyFill="1" applyBorder="1" applyAlignment="1">
      <alignment horizontal="center" vertical="center"/>
    </xf>
    <xf numFmtId="0" fontId="13" fillId="16" borderId="168" xfId="0" applyFont="1" applyFill="1" applyBorder="1" applyAlignment="1">
      <alignment horizontal="center" vertical="center" wrapText="1"/>
    </xf>
    <xf numFmtId="0" fontId="13" fillId="17" borderId="168" xfId="0" applyFont="1" applyFill="1" applyBorder="1" applyAlignment="1">
      <alignment horizontal="center" vertical="center"/>
    </xf>
    <xf numFmtId="0" fontId="25" fillId="12" borderId="29" xfId="0" applyFont="1" applyFill="1" applyBorder="1" applyAlignment="1">
      <alignment horizontal="center" vertical="center"/>
    </xf>
    <xf numFmtId="0" fontId="25" fillId="12" borderId="20" xfId="0" applyFont="1" applyFill="1" applyBorder="1" applyAlignment="1">
      <alignment horizontal="center" vertical="center"/>
    </xf>
    <xf numFmtId="0" fontId="15" fillId="17" borderId="8" xfId="0" applyFont="1" applyFill="1" applyBorder="1" applyAlignment="1">
      <alignment horizontal="center" vertical="center"/>
    </xf>
    <xf numFmtId="0" fontId="15" fillId="17" borderId="13" xfId="0" applyFont="1" applyFill="1" applyBorder="1" applyAlignment="1">
      <alignment horizontal="center" vertical="center"/>
    </xf>
    <xf numFmtId="0" fontId="13" fillId="16" borderId="8" xfId="0" applyFont="1" applyFill="1" applyBorder="1" applyAlignment="1">
      <alignment horizontal="center" vertical="center"/>
    </xf>
    <xf numFmtId="0" fontId="13" fillId="17" borderId="80" xfId="0" applyFont="1" applyFill="1" applyBorder="1" applyAlignment="1">
      <alignment horizontal="center" vertical="center"/>
    </xf>
    <xf numFmtId="0" fontId="13" fillId="16" borderId="80" xfId="0" applyFont="1" applyFill="1" applyBorder="1" applyAlignment="1">
      <alignment horizontal="center" vertical="center" wrapText="1"/>
    </xf>
    <xf numFmtId="167" fontId="15" fillId="18" borderId="107" xfId="13" applyFont="1" applyFill="1" applyBorder="1" applyAlignment="1">
      <alignment horizontal="center" vertical="center" wrapText="1"/>
    </xf>
    <xf numFmtId="0" fontId="13" fillId="15" borderId="77" xfId="0" applyFont="1" applyFill="1" applyBorder="1" applyAlignment="1">
      <alignment horizontal="center" vertical="center"/>
    </xf>
    <xf numFmtId="0" fontId="36" fillId="47" borderId="150" xfId="27" applyFont="1" applyFill="1" applyBorder="1" applyAlignment="1">
      <alignment horizontal="center" vertical="center" textRotation="90" wrapText="1"/>
    </xf>
    <xf numFmtId="0" fontId="36" fillId="47" borderId="89" xfId="27" applyFont="1" applyFill="1" applyBorder="1" applyAlignment="1">
      <alignment horizontal="center" vertical="center" textRotation="90" wrapText="1"/>
    </xf>
    <xf numFmtId="0" fontId="36" fillId="47" borderId="42" xfId="27" applyFont="1" applyFill="1" applyBorder="1" applyAlignment="1">
      <alignment horizontal="center" vertical="center" textRotation="90" wrapText="1"/>
    </xf>
    <xf numFmtId="0" fontId="25" fillId="47" borderId="150" xfId="27" applyFont="1" applyFill="1" applyBorder="1" applyAlignment="1">
      <alignment horizontal="left" vertical="center" wrapText="1"/>
    </xf>
    <xf numFmtId="0" fontId="25" fillId="47" borderId="89" xfId="27" applyFont="1" applyFill="1" applyBorder="1" applyAlignment="1">
      <alignment horizontal="left" vertical="center" wrapText="1"/>
    </xf>
    <xf numFmtId="0" fontId="25" fillId="47" borderId="42" xfId="27" applyFont="1" applyFill="1" applyBorder="1" applyAlignment="1">
      <alignment horizontal="left" vertical="center" wrapText="1"/>
    </xf>
    <xf numFmtId="0" fontId="50" fillId="44" borderId="0" xfId="41" applyFill="1" applyBorder="1" applyAlignment="1" applyProtection="1">
      <alignment horizontal="center" vertical="center" wrapText="1"/>
    </xf>
    <xf numFmtId="0" fontId="28" fillId="47" borderId="172" xfId="27" applyFont="1" applyFill="1" applyBorder="1" applyAlignment="1">
      <alignment horizontal="center" vertical="center" textRotation="90" wrapText="1"/>
    </xf>
    <xf numFmtId="0" fontId="28" fillId="47" borderId="55" xfId="27" applyFont="1" applyFill="1" applyBorder="1" applyAlignment="1">
      <alignment horizontal="center" vertical="center" textRotation="90" wrapText="1"/>
    </xf>
    <xf numFmtId="0" fontId="28" fillId="47" borderId="51" xfId="27" applyFont="1" applyFill="1" applyBorder="1" applyAlignment="1">
      <alignment horizontal="center" vertical="center" textRotation="90" wrapText="1"/>
    </xf>
    <xf numFmtId="0" fontId="25" fillId="12" borderId="150" xfId="27" applyFont="1" applyFill="1" applyBorder="1" applyAlignment="1" applyProtection="1">
      <alignment horizontal="left" vertical="center" wrapText="1"/>
      <protection locked="0"/>
    </xf>
    <xf numFmtId="0" fontId="25" fillId="12" borderId="89" xfId="27" applyFont="1" applyFill="1" applyBorder="1" applyAlignment="1" applyProtection="1">
      <alignment horizontal="left" vertical="center" wrapText="1"/>
      <protection locked="0"/>
    </xf>
    <xf numFmtId="0" fontId="25" fillId="12" borderId="42" xfId="27" applyFont="1" applyFill="1" applyBorder="1" applyAlignment="1" applyProtection="1">
      <alignment horizontal="left" vertical="center" wrapText="1"/>
      <protection locked="0"/>
    </xf>
    <xf numFmtId="0" fontId="50" fillId="44" borderId="0" xfId="41" applyFill="1" applyBorder="1" applyAlignment="1" applyProtection="1">
      <alignment horizontal="center" vertical="center"/>
    </xf>
    <xf numFmtId="0" fontId="15" fillId="26" borderId="150" xfId="27" applyFont="1" applyFill="1" applyBorder="1" applyAlignment="1">
      <alignment horizontal="center" vertical="center" wrapText="1"/>
    </xf>
    <xf numFmtId="0" fontId="15" fillId="26" borderId="89" xfId="27" applyFont="1" applyFill="1" applyBorder="1" applyAlignment="1">
      <alignment horizontal="center" vertical="center" wrapText="1"/>
    </xf>
    <xf numFmtId="0" fontId="15" fillId="16" borderId="151" xfId="27" applyFont="1" applyFill="1" applyBorder="1" applyAlignment="1">
      <alignment horizontal="center" vertical="center" wrapText="1"/>
    </xf>
    <xf numFmtId="0" fontId="15" fillId="16" borderId="234" xfId="27" applyFont="1" applyFill="1" applyBorder="1" applyAlignment="1">
      <alignment horizontal="center" vertical="center" wrapText="1"/>
    </xf>
    <xf numFmtId="0" fontId="15" fillId="16" borderId="38" xfId="27" applyFont="1" applyFill="1" applyBorder="1" applyAlignment="1">
      <alignment horizontal="center" vertical="center" wrapText="1"/>
    </xf>
    <xf numFmtId="0" fontId="15" fillId="16" borderId="39" xfId="27" applyFont="1" applyFill="1" applyBorder="1" applyAlignment="1">
      <alignment horizontal="center" vertical="center" wrapText="1"/>
    </xf>
    <xf numFmtId="0" fontId="15" fillId="16" borderId="192" xfId="27" applyFont="1" applyFill="1" applyBorder="1" applyAlignment="1">
      <alignment horizontal="center" vertical="center"/>
    </xf>
    <xf numFmtId="0" fontId="15" fillId="16" borderId="7" xfId="27" applyFont="1" applyFill="1" applyBorder="1" applyAlignment="1">
      <alignment horizontal="center" vertical="center"/>
    </xf>
    <xf numFmtId="0" fontId="20" fillId="48" borderId="87" xfId="27" applyFont="1" applyFill="1" applyBorder="1" applyAlignment="1">
      <alignment horizontal="center" vertical="center"/>
    </xf>
    <xf numFmtId="0" fontId="20" fillId="48" borderId="236" xfId="27" applyFont="1" applyFill="1" applyBorder="1" applyAlignment="1">
      <alignment horizontal="center" vertical="center"/>
    </xf>
    <xf numFmtId="0" fontId="20" fillId="47" borderId="87" xfId="27" applyFont="1" applyFill="1" applyBorder="1" applyAlignment="1">
      <alignment horizontal="center" vertical="center"/>
    </xf>
    <xf numFmtId="0" fontId="20" fillId="47" borderId="236" xfId="27" applyFont="1" applyFill="1" applyBorder="1" applyAlignment="1">
      <alignment horizontal="center" vertical="center"/>
    </xf>
    <xf numFmtId="0" fontId="12" fillId="14" borderId="88" xfId="27" applyFont="1" applyFill="1" applyBorder="1" applyAlignment="1">
      <alignment horizontal="center" vertical="center"/>
    </xf>
    <xf numFmtId="0" fontId="12" fillId="14" borderId="96" xfId="27" applyFont="1" applyFill="1" applyBorder="1" applyAlignment="1">
      <alignment horizontal="center" vertical="center"/>
    </xf>
    <xf numFmtId="0" fontId="12" fillId="48" borderId="88" xfId="27" applyFont="1" applyFill="1" applyBorder="1" applyAlignment="1">
      <alignment horizontal="center" vertical="center"/>
    </xf>
    <xf numFmtId="0" fontId="12" fillId="48" borderId="96" xfId="27" applyFont="1" applyFill="1" applyBorder="1" applyAlignment="1">
      <alignment horizontal="center" vertical="center"/>
    </xf>
    <xf numFmtId="0" fontId="12" fillId="47" borderId="88" xfId="27" applyFont="1" applyFill="1" applyBorder="1" applyAlignment="1">
      <alignment horizontal="center" vertical="center"/>
    </xf>
    <xf numFmtId="0" fontId="12" fillId="47" borderId="96" xfId="27" applyFont="1" applyFill="1" applyBorder="1" applyAlignment="1">
      <alignment horizontal="center" vertical="center"/>
    </xf>
    <xf numFmtId="0" fontId="20" fillId="47" borderId="183" xfId="27" applyFont="1" applyFill="1" applyBorder="1" applyAlignment="1">
      <alignment horizontal="center" vertical="center"/>
    </xf>
    <xf numFmtId="0" fontId="20" fillId="47" borderId="210" xfId="27" applyFont="1" applyFill="1" applyBorder="1" applyAlignment="1">
      <alignment horizontal="center" vertical="center"/>
    </xf>
    <xf numFmtId="0" fontId="20" fillId="14" borderId="87" xfId="27" applyFont="1" applyFill="1" applyBorder="1" applyAlignment="1">
      <alignment horizontal="center" vertical="center"/>
    </xf>
    <xf numFmtId="0" fontId="20" fillId="14" borderId="236" xfId="27" applyFont="1" applyFill="1" applyBorder="1" applyAlignment="1">
      <alignment horizontal="center" vertical="center"/>
    </xf>
    <xf numFmtId="178" fontId="16" fillId="26" borderId="65" xfId="27" applyNumberFormat="1" applyFill="1" applyBorder="1" applyAlignment="1">
      <alignment horizontal="center" vertical="center"/>
    </xf>
    <xf numFmtId="178" fontId="16" fillId="26" borderId="203" xfId="27" applyNumberFormat="1" applyFill="1" applyBorder="1" applyAlignment="1">
      <alignment horizontal="center" vertical="center"/>
    </xf>
    <xf numFmtId="0" fontId="15" fillId="16" borderId="150" xfId="27" applyFont="1" applyFill="1" applyBorder="1" applyAlignment="1">
      <alignment horizontal="center" vertical="center" wrapText="1"/>
    </xf>
    <xf numFmtId="0" fontId="15" fillId="16" borderId="51" xfId="27" applyFont="1" applyFill="1" applyBorder="1" applyAlignment="1">
      <alignment horizontal="center" vertical="center" wrapText="1"/>
    </xf>
    <xf numFmtId="0" fontId="50" fillId="0" borderId="0" xfId="41" applyBorder="1" applyAlignment="1" applyProtection="1">
      <alignment horizontal="center" vertical="center" wrapText="1"/>
    </xf>
    <xf numFmtId="0" fontId="13" fillId="15" borderId="234" xfId="27" applyFont="1" applyFill="1" applyBorder="1" applyAlignment="1">
      <alignment horizontal="center" vertical="center" wrapText="1"/>
    </xf>
    <xf numFmtId="0" fontId="13" fillId="15" borderId="17" xfId="27" applyFont="1" applyFill="1" applyBorder="1" applyAlignment="1">
      <alignment horizontal="center" vertical="center" wrapText="1"/>
    </xf>
    <xf numFmtId="0" fontId="15" fillId="17" borderId="150" xfId="27" applyFont="1" applyFill="1" applyBorder="1" applyAlignment="1">
      <alignment horizontal="center" vertical="center" wrapText="1"/>
    </xf>
    <xf numFmtId="0" fontId="15" fillId="17" borderId="215" xfId="27" applyFont="1" applyFill="1" applyBorder="1" applyAlignment="1">
      <alignment horizontal="center" vertical="center" wrapText="1"/>
    </xf>
    <xf numFmtId="0" fontId="20" fillId="47" borderId="65" xfId="27" applyFont="1" applyFill="1" applyBorder="1" applyAlignment="1">
      <alignment horizontal="center" vertical="center"/>
    </xf>
    <xf numFmtId="0" fontId="20" fillId="47" borderId="203" xfId="27" applyFont="1" applyFill="1" applyBorder="1" applyAlignment="1">
      <alignment horizontal="center" vertical="center"/>
    </xf>
    <xf numFmtId="0" fontId="20" fillId="47" borderId="171" xfId="27" applyFont="1" applyFill="1" applyBorder="1" applyAlignment="1">
      <alignment horizontal="center" vertical="center"/>
    </xf>
    <xf numFmtId="0" fontId="20" fillId="47" borderId="172" xfId="27" applyFont="1" applyFill="1" applyBorder="1" applyAlignment="1">
      <alignment horizontal="center" vertical="center"/>
    </xf>
    <xf numFmtId="0" fontId="13" fillId="16" borderId="210" xfId="27" applyFont="1" applyFill="1" applyBorder="1" applyAlignment="1">
      <alignment horizontal="center" vertical="center" wrapText="1"/>
    </xf>
    <xf numFmtId="0" fontId="13" fillId="16" borderId="229" xfId="27" applyFont="1" applyFill="1" applyBorder="1" applyAlignment="1">
      <alignment horizontal="center" vertical="center" wrapText="1"/>
    </xf>
    <xf numFmtId="0" fontId="20" fillId="14" borderId="186" xfId="27" applyFont="1" applyFill="1" applyBorder="1" applyAlignment="1">
      <alignment horizontal="center" vertical="center"/>
    </xf>
    <xf numFmtId="0" fontId="20" fillId="14" borderId="185" xfId="27" applyFont="1" applyFill="1" applyBorder="1" applyAlignment="1">
      <alignment horizontal="center" vertical="center"/>
    </xf>
    <xf numFmtId="0" fontId="20" fillId="48" borderId="186" xfId="27" applyFont="1" applyFill="1" applyBorder="1" applyAlignment="1">
      <alignment horizontal="center" vertical="center"/>
    </xf>
    <xf numFmtId="0" fontId="20" fillId="48" borderId="210" xfId="27" applyFont="1" applyFill="1" applyBorder="1" applyAlignment="1">
      <alignment horizontal="center" vertical="center"/>
    </xf>
    <xf numFmtId="0" fontId="15" fillId="16" borderId="192" xfId="27" applyFont="1" applyFill="1" applyBorder="1" applyAlignment="1">
      <alignment horizontal="center" vertical="center" wrapText="1"/>
    </xf>
    <xf numFmtId="0" fontId="15" fillId="16" borderId="7" xfId="27" applyFont="1" applyFill="1" applyBorder="1" applyAlignment="1">
      <alignment horizontal="center" vertical="center" wrapText="1"/>
    </xf>
    <xf numFmtId="0" fontId="24" fillId="16" borderId="235" xfId="27" applyFont="1" applyFill="1" applyBorder="1" applyAlignment="1">
      <alignment horizontal="center" vertical="center" wrapText="1"/>
    </xf>
    <xf numFmtId="0" fontId="24" fillId="16" borderId="171" xfId="27" applyFont="1" applyFill="1" applyBorder="1" applyAlignment="1">
      <alignment horizontal="center" vertical="center" wrapText="1"/>
    </xf>
    <xf numFmtId="0" fontId="24" fillId="16" borderId="172" xfId="27" applyFont="1" applyFill="1" applyBorder="1" applyAlignment="1">
      <alignment horizontal="center" vertical="center" wrapText="1"/>
    </xf>
    <xf numFmtId="0" fontId="15" fillId="0" borderId="0" xfId="27" applyFont="1" applyAlignment="1">
      <alignment horizontal="center" vertical="center"/>
    </xf>
    <xf numFmtId="0" fontId="25" fillId="44" borderId="151" xfId="0" applyFont="1" applyFill="1" applyBorder="1" applyAlignment="1">
      <alignment horizontal="left" vertical="center" wrapText="1"/>
    </xf>
    <xf numFmtId="0" fontId="25" fillId="44" borderId="92" xfId="0" applyFont="1" applyFill="1" applyBorder="1" applyAlignment="1">
      <alignment horizontal="left" vertical="center" wrapText="1"/>
    </xf>
    <xf numFmtId="0" fontId="25" fillId="44" borderId="152" xfId="0" applyFont="1" applyFill="1" applyBorder="1" applyAlignment="1">
      <alignment horizontal="left" vertical="center" wrapText="1"/>
    </xf>
    <xf numFmtId="0" fontId="25" fillId="0" borderId="151" xfId="0" applyFont="1" applyBorder="1" applyAlignment="1">
      <alignment horizontal="left" vertical="center" wrapText="1"/>
    </xf>
    <xf numFmtId="0" fontId="25" fillId="0" borderId="92" xfId="0" applyFont="1" applyBorder="1" applyAlignment="1">
      <alignment horizontal="left" vertical="center" wrapText="1"/>
    </xf>
    <xf numFmtId="0" fontId="25" fillId="0" borderId="152" xfId="0" applyFont="1" applyBorder="1" applyAlignment="1">
      <alignment horizontal="left" vertical="center" wrapText="1"/>
    </xf>
    <xf numFmtId="0" fontId="25" fillId="16" borderId="178" xfId="0" applyFont="1" applyFill="1" applyBorder="1" applyAlignment="1">
      <alignment horizontal="center" vertical="center"/>
    </xf>
    <xf numFmtId="0" fontId="25" fillId="16" borderId="179" xfId="0" applyFont="1" applyFill="1" applyBorder="1" applyAlignment="1">
      <alignment horizontal="center" vertical="center"/>
    </xf>
    <xf numFmtId="0" fontId="25" fillId="12" borderId="11" xfId="0" applyFont="1" applyFill="1" applyBorder="1" applyAlignment="1" applyProtection="1">
      <alignment horizontal="center" vertical="center"/>
      <protection locked="0"/>
    </xf>
    <xf numFmtId="0" fontId="25" fillId="12" borderId="12" xfId="0" applyFont="1" applyFill="1" applyBorder="1" applyAlignment="1" applyProtection="1">
      <alignment horizontal="center" vertical="center"/>
      <protection locked="0"/>
    </xf>
    <xf numFmtId="169" fontId="25" fillId="17" borderId="176" xfId="0" applyNumberFormat="1" applyFont="1" applyFill="1" applyBorder="1" applyAlignment="1">
      <alignment horizontal="center" vertical="center" wrapText="1"/>
    </xf>
    <xf numFmtId="169" fontId="25" fillId="17" borderId="165" xfId="0" applyNumberFormat="1" applyFont="1" applyFill="1" applyBorder="1" applyAlignment="1">
      <alignment horizontal="center" vertical="center" wrapText="1"/>
    </xf>
    <xf numFmtId="169" fontId="25" fillId="17" borderId="177" xfId="0" applyNumberFormat="1" applyFont="1" applyFill="1" applyBorder="1" applyAlignment="1">
      <alignment horizontal="center" vertical="center" wrapText="1"/>
    </xf>
    <xf numFmtId="0" fontId="15" fillId="15" borderId="58" xfId="0" applyFont="1" applyFill="1" applyBorder="1" applyAlignment="1">
      <alignment horizontal="center" vertical="center" wrapText="1"/>
    </xf>
    <xf numFmtId="0" fontId="15" fillId="15" borderId="59" xfId="0" applyFont="1" applyFill="1" applyBorder="1" applyAlignment="1">
      <alignment horizontal="center" vertical="center" wrapText="1"/>
    </xf>
    <xf numFmtId="0" fontId="15" fillId="15" borderId="60" xfId="0" applyFont="1" applyFill="1" applyBorder="1" applyAlignment="1">
      <alignment horizontal="center" vertical="center" wrapText="1"/>
    </xf>
    <xf numFmtId="0" fontId="15" fillId="15" borderId="37" xfId="0" applyFont="1" applyFill="1" applyBorder="1" applyAlignment="1">
      <alignment horizontal="center" vertical="center" wrapText="1"/>
    </xf>
    <xf numFmtId="0" fontId="25" fillId="11" borderId="102" xfId="0" applyFont="1" applyFill="1" applyBorder="1" applyAlignment="1">
      <alignment horizontal="center" vertical="center" wrapText="1"/>
    </xf>
    <xf numFmtId="0" fontId="25" fillId="11" borderId="103" xfId="0" applyFont="1" applyFill="1" applyBorder="1" applyAlignment="1">
      <alignment horizontal="center" vertical="center" wrapText="1"/>
    </xf>
    <xf numFmtId="0" fontId="25" fillId="11" borderId="104" xfId="0" applyFont="1" applyFill="1" applyBorder="1" applyAlignment="1">
      <alignment horizontal="center" vertical="center" wrapText="1"/>
    </xf>
    <xf numFmtId="178" fontId="25" fillId="29" borderId="102" xfId="0" applyNumberFormat="1" applyFont="1" applyFill="1" applyBorder="1" applyAlignment="1">
      <alignment horizontal="right" vertical="center"/>
    </xf>
    <xf numFmtId="178" fontId="25" fillId="29" borderId="103" xfId="0" applyNumberFormat="1" applyFont="1" applyFill="1" applyBorder="1" applyAlignment="1">
      <alignment horizontal="right" vertical="center"/>
    </xf>
    <xf numFmtId="178" fontId="25" fillId="29" borderId="104" xfId="0" applyNumberFormat="1" applyFont="1" applyFill="1" applyBorder="1" applyAlignment="1">
      <alignment horizontal="right" vertical="center"/>
    </xf>
    <xf numFmtId="0" fontId="15" fillId="27" borderId="102" xfId="0" applyFont="1" applyFill="1" applyBorder="1" applyAlignment="1">
      <alignment horizontal="center" vertical="center" wrapText="1"/>
    </xf>
    <xf numFmtId="0" fontId="15" fillId="27" borderId="104" xfId="0" applyFont="1" applyFill="1" applyBorder="1" applyAlignment="1">
      <alignment horizontal="center" vertical="center" wrapText="1"/>
    </xf>
    <xf numFmtId="0" fontId="20" fillId="0" borderId="0" xfId="0" applyFont="1" applyAlignment="1">
      <alignment horizontal="center" vertical="center"/>
    </xf>
    <xf numFmtId="0" fontId="15" fillId="16" borderId="184" xfId="0" applyFont="1" applyFill="1" applyBorder="1" applyAlignment="1">
      <alignment horizontal="center" vertical="center" wrapText="1"/>
    </xf>
    <xf numFmtId="0" fontId="15" fillId="16" borderId="83" xfId="0" applyFont="1" applyFill="1" applyBorder="1" applyAlignment="1">
      <alignment horizontal="center" vertical="center" wrapText="1"/>
    </xf>
    <xf numFmtId="0" fontId="15" fillId="16" borderId="185" xfId="0" applyFont="1" applyFill="1" applyBorder="1" applyAlignment="1">
      <alignment horizontal="center" vertical="center" wrapText="1"/>
    </xf>
    <xf numFmtId="0" fontId="15" fillId="16" borderId="76" xfId="0" applyFont="1" applyFill="1" applyBorder="1" applyAlignment="1">
      <alignment horizontal="center" vertical="center" wrapText="1"/>
    </xf>
    <xf numFmtId="0" fontId="15" fillId="16" borderId="183" xfId="0" applyFont="1" applyFill="1" applyBorder="1" applyAlignment="1">
      <alignment horizontal="center" vertical="center" wrapText="1"/>
    </xf>
    <xf numFmtId="0" fontId="15" fillId="16" borderId="94" xfId="0" applyFont="1" applyFill="1" applyBorder="1" applyAlignment="1">
      <alignment horizontal="center" vertical="center" wrapText="1"/>
    </xf>
    <xf numFmtId="0" fontId="15" fillId="16" borderId="102" xfId="0" applyFont="1" applyFill="1" applyBorder="1" applyAlignment="1">
      <alignment horizontal="center" vertical="center" wrapText="1"/>
    </xf>
    <xf numFmtId="0" fontId="15" fillId="16" borderId="104" xfId="0" applyFont="1" applyFill="1" applyBorder="1" applyAlignment="1">
      <alignment horizontal="center" vertical="center" wrapText="1"/>
    </xf>
    <xf numFmtId="0" fontId="15" fillId="16" borderId="183" xfId="0" applyFont="1" applyFill="1" applyBorder="1" applyAlignment="1">
      <alignment horizontal="center" vertical="center"/>
    </xf>
    <xf numFmtId="0" fontId="15" fillId="16" borderId="94" xfId="0" applyFont="1" applyFill="1" applyBorder="1" applyAlignment="1">
      <alignment horizontal="center" vertical="center"/>
    </xf>
    <xf numFmtId="0" fontId="15" fillId="16" borderId="184" xfId="0" applyFont="1" applyFill="1" applyBorder="1" applyAlignment="1">
      <alignment horizontal="center" vertical="center"/>
    </xf>
    <xf numFmtId="0" fontId="15" fillId="16" borderId="83" xfId="0" applyFont="1" applyFill="1" applyBorder="1" applyAlignment="1">
      <alignment horizontal="center" vertical="center"/>
    </xf>
    <xf numFmtId="0" fontId="24" fillId="0" borderId="108" xfId="0" applyFont="1" applyBorder="1" applyAlignment="1">
      <alignment horizontal="center" vertical="center" wrapText="1"/>
    </xf>
    <xf numFmtId="0" fontId="24" fillId="0" borderId="216" xfId="0" applyFont="1" applyBorder="1" applyAlignment="1">
      <alignment horizontal="center" vertical="center" wrapText="1"/>
    </xf>
    <xf numFmtId="0" fontId="24" fillId="0" borderId="139" xfId="0" applyFont="1" applyBorder="1" applyAlignment="1">
      <alignment horizontal="center" vertical="center" wrapText="1"/>
    </xf>
    <xf numFmtId="0" fontId="24" fillId="0" borderId="144" xfId="0" applyFont="1" applyBorder="1" applyAlignment="1">
      <alignment horizontal="center" vertical="center" wrapText="1"/>
    </xf>
    <xf numFmtId="0" fontId="15" fillId="16" borderId="74" xfId="0" applyFont="1" applyFill="1" applyBorder="1" applyAlignment="1">
      <alignment horizontal="center" vertical="center" wrapText="1"/>
    </xf>
    <xf numFmtId="0" fontId="15" fillId="16" borderId="75" xfId="0" applyFont="1" applyFill="1" applyBorder="1" applyAlignment="1">
      <alignment horizontal="center" vertical="center" wrapText="1"/>
    </xf>
    <xf numFmtId="0" fontId="25" fillId="12" borderId="9" xfId="0" applyFont="1" applyFill="1" applyBorder="1" applyAlignment="1" applyProtection="1">
      <alignment horizontal="center" vertical="center"/>
      <protection locked="0"/>
    </xf>
    <xf numFmtId="0" fontId="25" fillId="12" borderId="10" xfId="0" applyFont="1" applyFill="1" applyBorder="1" applyAlignment="1" applyProtection="1">
      <alignment horizontal="center" vertical="center"/>
      <protection locked="0"/>
    </xf>
    <xf numFmtId="0" fontId="15" fillId="16" borderId="106" xfId="0" applyFont="1" applyFill="1" applyBorder="1" applyAlignment="1">
      <alignment horizontal="center" vertical="center"/>
    </xf>
    <xf numFmtId="0" fontId="15" fillId="16" borderId="73" xfId="0" applyFont="1" applyFill="1" applyBorder="1" applyAlignment="1">
      <alignment horizontal="center" vertical="center"/>
    </xf>
    <xf numFmtId="0" fontId="25" fillId="15" borderId="66" xfId="0" applyFont="1" applyFill="1" applyBorder="1" applyAlignment="1">
      <alignment horizontal="center" vertical="center" wrapText="1"/>
    </xf>
    <xf numFmtId="0" fontId="25" fillId="15" borderId="153" xfId="0" applyFont="1" applyFill="1" applyBorder="1" applyAlignment="1">
      <alignment horizontal="center" vertical="center" wrapText="1"/>
    </xf>
    <xf numFmtId="0" fontId="25" fillId="15" borderId="70" xfId="0" applyFont="1" applyFill="1" applyBorder="1" applyAlignment="1">
      <alignment horizontal="center" vertical="center" wrapText="1"/>
    </xf>
    <xf numFmtId="0" fontId="25" fillId="15" borderId="159" xfId="0" applyFont="1" applyFill="1" applyBorder="1" applyAlignment="1">
      <alignment horizontal="center" vertical="center" wrapText="1"/>
    </xf>
    <xf numFmtId="0" fontId="15" fillId="16" borderId="108" xfId="0" applyFont="1" applyFill="1" applyBorder="1" applyAlignment="1">
      <alignment horizontal="center" vertical="center"/>
    </xf>
    <xf numFmtId="0" fontId="15" fillId="16" borderId="69" xfId="0" applyFont="1" applyFill="1" applyBorder="1" applyAlignment="1">
      <alignment horizontal="center" vertical="center"/>
    </xf>
    <xf numFmtId="169" fontId="15" fillId="17" borderId="72" xfId="0" applyNumberFormat="1" applyFont="1" applyFill="1" applyBorder="1" applyAlignment="1">
      <alignment horizontal="center" vertical="center" wrapText="1"/>
    </xf>
    <xf numFmtId="169" fontId="15" fillId="17" borderId="68" xfId="0" applyNumberFormat="1" applyFont="1" applyFill="1" applyBorder="1" applyAlignment="1">
      <alignment horizontal="center" vertical="center" wrapText="1"/>
    </xf>
    <xf numFmtId="169" fontId="15" fillId="17" borderId="67" xfId="0" applyNumberFormat="1" applyFont="1" applyFill="1" applyBorder="1" applyAlignment="1">
      <alignment horizontal="center" vertical="center" wrapText="1"/>
    </xf>
    <xf numFmtId="0" fontId="0" fillId="38" borderId="27" xfId="0" applyFill="1" applyBorder="1" applyAlignment="1">
      <alignment horizontal="left" vertical="center" wrapText="1"/>
    </xf>
    <xf numFmtId="0" fontId="0" fillId="38" borderId="18" xfId="0" applyFill="1" applyBorder="1" applyAlignment="1">
      <alignment horizontal="left" vertical="center" wrapText="1"/>
    </xf>
    <xf numFmtId="0" fontId="0" fillId="38" borderId="32" xfId="0" applyFill="1" applyBorder="1" applyAlignment="1">
      <alignment horizontal="left" vertical="center" wrapText="1"/>
    </xf>
    <xf numFmtId="0" fontId="0" fillId="38" borderId="28" xfId="0" applyFill="1" applyBorder="1" applyAlignment="1">
      <alignment horizontal="left" vertical="center" wrapText="1"/>
    </xf>
    <xf numFmtId="0" fontId="0" fillId="38" borderId="0" xfId="0" applyFill="1" applyAlignment="1">
      <alignment horizontal="left" vertical="center" wrapText="1"/>
    </xf>
    <xf numFmtId="0" fontId="0" fillId="38" borderId="33" xfId="0" applyFill="1" applyBorder="1" applyAlignment="1">
      <alignment horizontal="left" vertical="center" wrapText="1"/>
    </xf>
    <xf numFmtId="0" fontId="0" fillId="38" borderId="19" xfId="0" applyFill="1" applyBorder="1" applyAlignment="1">
      <alignment horizontal="left" vertical="center" wrapText="1"/>
    </xf>
    <xf numFmtId="0" fontId="0" fillId="38" borderId="15" xfId="0" applyFill="1" applyBorder="1" applyAlignment="1">
      <alignment horizontal="left" vertical="center" wrapText="1"/>
    </xf>
    <xf numFmtId="0" fontId="0" fillId="38" borderId="17" xfId="0" applyFill="1" applyBorder="1" applyAlignment="1">
      <alignment horizontal="left" vertical="center" wrapText="1"/>
    </xf>
    <xf numFmtId="0" fontId="24" fillId="0" borderId="168" xfId="0" applyFont="1" applyBorder="1" applyAlignment="1" applyProtection="1">
      <alignment horizontal="center" wrapText="1"/>
      <protection locked="0"/>
    </xf>
    <xf numFmtId="0" fontId="0" fillId="0" borderId="0" xfId="0" applyAlignment="1" applyProtection="1">
      <alignment horizontal="left" wrapText="1"/>
      <protection locked="0"/>
    </xf>
    <xf numFmtId="0" fontId="47" fillId="12" borderId="11" xfId="0" applyFont="1" applyFill="1" applyBorder="1" applyAlignment="1" applyProtection="1">
      <alignment horizontal="center" vertical="center"/>
      <protection locked="0"/>
    </xf>
    <xf numFmtId="0" fontId="47" fillId="12" borderId="12" xfId="0" applyFont="1" applyFill="1" applyBorder="1" applyAlignment="1" applyProtection="1">
      <alignment horizontal="center" vertical="center"/>
      <protection locked="0"/>
    </xf>
    <xf numFmtId="0" fontId="15" fillId="0" borderId="168" xfId="0" applyFont="1" applyBorder="1" applyAlignment="1" applyProtection="1">
      <alignment horizontal="left" vertical="center" wrapText="1"/>
      <protection locked="0"/>
    </xf>
    <xf numFmtId="0" fontId="15" fillId="0" borderId="168" xfId="0" applyFont="1" applyBorder="1" applyAlignment="1" applyProtection="1">
      <alignment horizontal="left" vertical="top" wrapText="1"/>
      <protection locked="0"/>
    </xf>
    <xf numFmtId="0" fontId="22" fillId="0" borderId="168" xfId="0" applyFont="1" applyBorder="1" applyAlignment="1" applyProtection="1">
      <alignment horizontal="left" vertical="top" wrapText="1"/>
      <protection locked="0"/>
    </xf>
    <xf numFmtId="0" fontId="0" fillId="0" borderId="0" xfId="0" applyAlignment="1" applyProtection="1">
      <alignment horizontal="center" vertical="center" wrapText="1"/>
      <protection locked="0"/>
    </xf>
    <xf numFmtId="0" fontId="38" fillId="0" borderId="0" xfId="0" applyFont="1" applyAlignment="1" applyProtection="1">
      <alignment horizontal="left"/>
      <protection locked="0"/>
    </xf>
    <xf numFmtId="0" fontId="42" fillId="0" borderId="0" xfId="0" applyFont="1" applyAlignment="1" applyProtection="1">
      <alignment horizontal="center" vertical="center" wrapText="1"/>
      <protection locked="0"/>
    </xf>
    <xf numFmtId="0" fontId="38" fillId="0" borderId="0" xfId="0" applyFont="1" applyAlignment="1" applyProtection="1">
      <alignment horizontal="left" vertical="center" wrapText="1"/>
      <protection locked="0"/>
    </xf>
    <xf numFmtId="0" fontId="39" fillId="0" borderId="0" xfId="0" applyFont="1" applyAlignment="1" applyProtection="1">
      <alignment horizontal="left" vertical="center" wrapText="1"/>
      <protection locked="0"/>
    </xf>
  </cellXfs>
  <cellStyles count="42">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uro" xfId="21" xr:uid="{00000000-0005-0000-0000-000006000000}"/>
    <cellStyle name="Euro 2" xfId="22" xr:uid="{00000000-0005-0000-0000-000007000000}"/>
    <cellStyle name="Euro 3" xfId="23" xr:uid="{00000000-0005-0000-0000-000008000000}"/>
    <cellStyle name="Footnote" xfId="7" xr:uid="{00000000-0005-0000-0000-000009000000}"/>
    <cellStyle name="Good" xfId="8" xr:uid="{00000000-0005-0000-0000-00000A000000}"/>
    <cellStyle name="Heading" xfId="9" xr:uid="{00000000-0005-0000-0000-00000B000000}"/>
    <cellStyle name="Heading 1" xfId="10" xr:uid="{00000000-0005-0000-0000-00000C000000}"/>
    <cellStyle name="Heading 2" xfId="11" xr:uid="{00000000-0005-0000-0000-00000D000000}"/>
    <cellStyle name="Hipervínculo" xfId="20" builtinId="8"/>
    <cellStyle name="Hipervínculo 2" xfId="41" xr:uid="{6631C82C-244E-4878-BBF5-40BCE6B34F7A}"/>
    <cellStyle name="Millares" xfId="12" builtinId="3"/>
    <cellStyle name="Millares 2" xfId="24" xr:uid="{00000000-0005-0000-0000-000010000000}"/>
    <cellStyle name="Millares 3" xfId="33" xr:uid="{9D3E39E5-C35C-414F-8AD0-C2BE472EBC17}"/>
    <cellStyle name="Millares 3 2" xfId="37" xr:uid="{DC11E8CA-D5EA-462C-9932-EC852BF7746A}"/>
    <cellStyle name="Moneda" xfId="13" builtinId="4"/>
    <cellStyle name="Moneda [0]" xfId="31" builtinId="7"/>
    <cellStyle name="Moneda 2" xfId="26" xr:uid="{00000000-0005-0000-0000-000013000000}"/>
    <cellStyle name="Moneda 3" xfId="25" xr:uid="{00000000-0005-0000-0000-000014000000}"/>
    <cellStyle name="Moneda 7" xfId="38" xr:uid="{0EC76973-9C41-4448-8694-5A9DBB8B5D2C}"/>
    <cellStyle name="Neutral" xfId="14" builtinId="28" customBuiltin="1"/>
    <cellStyle name="Normal" xfId="0" builtinId="0"/>
    <cellStyle name="Normal 2" xfId="27" xr:uid="{00000000-0005-0000-0000-000017000000}"/>
    <cellStyle name="Normal 2 2" xfId="40" xr:uid="{31016D8A-0C7B-4A31-A230-51F2614B71B0}"/>
    <cellStyle name="Normal 3" xfId="28" xr:uid="{00000000-0005-0000-0000-000018000000}"/>
    <cellStyle name="Normal 4" xfId="29" xr:uid="{00000000-0005-0000-0000-000019000000}"/>
    <cellStyle name="Normal 5" xfId="32" xr:uid="{AA348D1F-D6AE-440C-AF3C-ED1FC94B3EEB}"/>
    <cellStyle name="Normal 5 2" xfId="36" xr:uid="{D481ACA6-8DBB-4676-9372-5507FE83FE62}"/>
    <cellStyle name="Note" xfId="15" xr:uid="{00000000-0005-0000-0000-00001A000000}"/>
    <cellStyle name="Note 2" xfId="35" xr:uid="{9A5A5557-93F8-457B-A756-BE95B226047D}"/>
    <cellStyle name="Note 3" xfId="39" xr:uid="{40E218D8-C697-4D50-A6D2-32B535466FA7}"/>
    <cellStyle name="Note 4" xfId="34" xr:uid="{B5E587E2-00BD-4C1D-A873-0C8ECD44EC9A}"/>
    <cellStyle name="Porcentaje" xfId="16" builtinId="5"/>
    <cellStyle name="Porcentaje 2" xfId="30" xr:uid="{00000000-0005-0000-0000-00001B000000}"/>
    <cellStyle name="Status" xfId="17" xr:uid="{00000000-0005-0000-0000-00001D000000}"/>
    <cellStyle name="Text" xfId="18" xr:uid="{00000000-0005-0000-0000-00001E000000}"/>
    <cellStyle name="Warning" xfId="19" xr:uid="{00000000-0005-0000-0000-00001F000000}"/>
  </cellStyles>
  <dxfs count="5">
    <dxf>
      <font>
        <color rgb="FF9C0006"/>
      </font>
    </dxf>
    <dxf>
      <font>
        <color rgb="FF9C0006"/>
      </font>
    </dxf>
    <dxf>
      <font>
        <color rgb="FF9C0006"/>
      </font>
    </dxf>
    <dxf>
      <fill>
        <patternFill>
          <bgColor theme="0"/>
        </patternFill>
      </fill>
    </dxf>
    <dxf>
      <font>
        <b/>
        <i val="0"/>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FFCCCC"/>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3CDDD"/>
      <rgbColor rgb="00FF99CC"/>
      <rgbColor rgb="00CC99FF"/>
      <rgbColor rgb="00FAC090"/>
      <rgbColor rgb="003366FF"/>
      <rgbColor rgb="0033CCCC"/>
      <rgbColor rgb="0092D05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00FF"/>
      <color rgb="FF000099"/>
      <color rgb="FFCCFFCC"/>
      <color rgb="FF0000CC"/>
      <color rgb="FFFF0909"/>
      <color rgb="FF69D8FF"/>
      <color rgb="FFFFFF66"/>
      <color rgb="FF00A249"/>
      <color rgb="FFCC00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hyperlink" Target="#'B) Reajuste Tarifas y Ocupaci&#243;n'!A32"/></Relationships>
</file>

<file path=xl/drawings/_rels/drawing3.xml.rels><?xml version="1.0" encoding="UTF-8" standalone="yes"?>
<Relationships xmlns="http://schemas.openxmlformats.org/package/2006/relationships"><Relationship Id="rId3" Type="http://schemas.openxmlformats.org/officeDocument/2006/relationships/hyperlink" Target="#'D) Costos Indirectos'!Z9"/><Relationship Id="rId7" Type="http://schemas.openxmlformats.org/officeDocument/2006/relationships/hyperlink" Target="#Indice!A1"/><Relationship Id="rId2" Type="http://schemas.openxmlformats.org/officeDocument/2006/relationships/hyperlink" Target="#'D) Costos Indirectos'!U9"/><Relationship Id="rId1" Type="http://schemas.openxmlformats.org/officeDocument/2006/relationships/hyperlink" Target="#'D) Costos Indirectos'!M9"/><Relationship Id="rId6" Type="http://schemas.openxmlformats.org/officeDocument/2006/relationships/hyperlink" Target="#'D) Costos Indirectos'!AN9"/><Relationship Id="rId5" Type="http://schemas.openxmlformats.org/officeDocument/2006/relationships/hyperlink" Target="#'D) Costos Indirectos'!A1"/><Relationship Id="rId4" Type="http://schemas.openxmlformats.org/officeDocument/2006/relationships/hyperlink" Target="#'D) Costos Indirectos'!AG9"/></Relationships>
</file>

<file path=xl/drawings/drawing1.xml><?xml version="1.0" encoding="utf-8"?>
<xdr:wsDr xmlns:xdr="http://schemas.openxmlformats.org/drawingml/2006/spreadsheetDrawing" xmlns:a="http://schemas.openxmlformats.org/drawingml/2006/main">
  <xdr:twoCellAnchor>
    <xdr:from>
      <xdr:col>0</xdr:col>
      <xdr:colOff>285749</xdr:colOff>
      <xdr:row>3</xdr:row>
      <xdr:rowOff>119062</xdr:rowOff>
    </xdr:from>
    <xdr:to>
      <xdr:col>8</xdr:col>
      <xdr:colOff>285751</xdr:colOff>
      <xdr:row>5</xdr:row>
      <xdr:rowOff>71437</xdr:rowOff>
    </xdr:to>
    <xdr:sp macro="" textlink="">
      <xdr:nvSpPr>
        <xdr:cNvPr id="2" name="CuadroTexto 1">
          <a:extLst>
            <a:ext uri="{FF2B5EF4-FFF2-40B4-BE49-F238E27FC236}">
              <a16:creationId xmlns:a16="http://schemas.microsoft.com/office/drawing/2014/main" id="{406BAF70-599E-4504-A81F-F4FEA904AB35}"/>
            </a:ext>
          </a:extLst>
        </xdr:cNvPr>
        <xdr:cNvSpPr txBox="1"/>
      </xdr:nvSpPr>
      <xdr:spPr>
        <a:xfrm>
          <a:off x="285749" y="604837"/>
          <a:ext cx="6096002" cy="276225"/>
        </a:xfrm>
        <a:prstGeom prst="rect">
          <a:avLst/>
        </a:prstGeom>
        <a:solidFill>
          <a:srgbClr val="FFFF00"/>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1050" b="1" baseline="0">
              <a:latin typeface="Arial" panose="020B0604020202020204" pitchFamily="34" charset="0"/>
              <a:cs typeface="Arial" panose="020B0604020202020204" pitchFamily="34" charset="0"/>
            </a:rPr>
            <a:t>INGRESE LOS DATOS EN LAS CELDAS DESTACADAS EN COLOR AMARILLO Y NARANJO</a:t>
          </a:r>
          <a:endParaRPr lang="es-CL" sz="1050" b="1">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5</xdr:row>
      <xdr:rowOff>95249</xdr:rowOff>
    </xdr:from>
    <xdr:to>
      <xdr:col>9</xdr:col>
      <xdr:colOff>232835</xdr:colOff>
      <xdr:row>63</xdr:row>
      <xdr:rowOff>42332</xdr:rowOff>
    </xdr:to>
    <xdr:pic>
      <xdr:nvPicPr>
        <xdr:cNvPr id="3" name="Imagen 2">
          <a:extLst>
            <a:ext uri="{FF2B5EF4-FFF2-40B4-BE49-F238E27FC236}">
              <a16:creationId xmlns:a16="http://schemas.microsoft.com/office/drawing/2014/main" id="{33F85573-688B-4017-9C77-F1AC66475D97}"/>
            </a:ext>
          </a:extLst>
        </xdr:cNvPr>
        <xdr:cNvPicPr>
          <a:picLocks noChangeAspect="1"/>
        </xdr:cNvPicPr>
      </xdr:nvPicPr>
      <xdr:blipFill rotWithShape="1">
        <a:blip xmlns:r="http://schemas.openxmlformats.org/officeDocument/2006/relationships" r:embed="rId1"/>
        <a:srcRect l="36521" t="7408" r="24701" b="3589"/>
        <a:stretch/>
      </xdr:blipFill>
      <xdr:spPr>
        <a:xfrm>
          <a:off x="0" y="904874"/>
          <a:ext cx="7090835" cy="9338733"/>
        </a:xfrm>
        <a:prstGeom prst="rect">
          <a:avLst/>
        </a:prstGeom>
      </xdr:spPr>
    </xdr:pic>
    <xdr:clientData/>
  </xdr:twoCellAnchor>
  <xdr:twoCellAnchor editAs="oneCell">
    <xdr:from>
      <xdr:col>9</xdr:col>
      <xdr:colOff>211667</xdr:colOff>
      <xdr:row>5</xdr:row>
      <xdr:rowOff>158749</xdr:rowOff>
    </xdr:from>
    <xdr:to>
      <xdr:col>18</xdr:col>
      <xdr:colOff>359834</xdr:colOff>
      <xdr:row>63</xdr:row>
      <xdr:rowOff>31749</xdr:rowOff>
    </xdr:to>
    <xdr:pic>
      <xdr:nvPicPr>
        <xdr:cNvPr id="4" name="Imagen 3">
          <a:extLst>
            <a:ext uri="{FF2B5EF4-FFF2-40B4-BE49-F238E27FC236}">
              <a16:creationId xmlns:a16="http://schemas.microsoft.com/office/drawing/2014/main" id="{DAF35B67-5EFE-426F-9696-EDF0849D04E9}"/>
            </a:ext>
          </a:extLst>
        </xdr:cNvPr>
        <xdr:cNvPicPr>
          <a:picLocks noChangeAspect="1"/>
        </xdr:cNvPicPr>
      </xdr:nvPicPr>
      <xdr:blipFill rotWithShape="1">
        <a:blip xmlns:r="http://schemas.openxmlformats.org/officeDocument/2006/relationships" r:embed="rId2"/>
        <a:srcRect l="36637" t="7820" r="25049" b="3896"/>
        <a:stretch/>
      </xdr:blipFill>
      <xdr:spPr>
        <a:xfrm>
          <a:off x="7069667" y="968374"/>
          <a:ext cx="7006167" cy="9264650"/>
        </a:xfrm>
        <a:prstGeom prst="rect">
          <a:avLst/>
        </a:prstGeom>
      </xdr:spPr>
    </xdr:pic>
    <xdr:clientData/>
  </xdr:twoCellAnchor>
  <xdr:twoCellAnchor editAs="oneCell">
    <xdr:from>
      <xdr:col>0</xdr:col>
      <xdr:colOff>0</xdr:colOff>
      <xdr:row>63</xdr:row>
      <xdr:rowOff>52916</xdr:rowOff>
    </xdr:from>
    <xdr:to>
      <xdr:col>9</xdr:col>
      <xdr:colOff>179917</xdr:colOff>
      <xdr:row>120</xdr:row>
      <xdr:rowOff>42333</xdr:rowOff>
    </xdr:to>
    <xdr:pic>
      <xdr:nvPicPr>
        <xdr:cNvPr id="5" name="Imagen 4">
          <a:extLst>
            <a:ext uri="{FF2B5EF4-FFF2-40B4-BE49-F238E27FC236}">
              <a16:creationId xmlns:a16="http://schemas.microsoft.com/office/drawing/2014/main" id="{245CA8D4-AEDB-4DEF-AB12-22D85B4825EC}"/>
            </a:ext>
          </a:extLst>
        </xdr:cNvPr>
        <xdr:cNvPicPr>
          <a:picLocks noChangeAspect="1"/>
        </xdr:cNvPicPr>
      </xdr:nvPicPr>
      <xdr:blipFill rotWithShape="1">
        <a:blip xmlns:r="http://schemas.openxmlformats.org/officeDocument/2006/relationships" r:embed="rId3"/>
        <a:srcRect l="36636" t="8540" r="24875" b="3588"/>
        <a:stretch/>
      </xdr:blipFill>
      <xdr:spPr>
        <a:xfrm>
          <a:off x="0" y="10254191"/>
          <a:ext cx="7037917" cy="9219142"/>
        </a:xfrm>
        <a:prstGeom prst="rect">
          <a:avLst/>
        </a:prstGeom>
      </xdr:spPr>
    </xdr:pic>
    <xdr:clientData/>
  </xdr:twoCellAnchor>
  <xdr:twoCellAnchor editAs="oneCell">
    <xdr:from>
      <xdr:col>9</xdr:col>
      <xdr:colOff>211666</xdr:colOff>
      <xdr:row>63</xdr:row>
      <xdr:rowOff>52916</xdr:rowOff>
    </xdr:from>
    <xdr:to>
      <xdr:col>18</xdr:col>
      <xdr:colOff>412750</xdr:colOff>
      <xdr:row>120</xdr:row>
      <xdr:rowOff>0</xdr:rowOff>
    </xdr:to>
    <xdr:pic>
      <xdr:nvPicPr>
        <xdr:cNvPr id="6" name="Imagen 5">
          <a:extLst>
            <a:ext uri="{FF2B5EF4-FFF2-40B4-BE49-F238E27FC236}">
              <a16:creationId xmlns:a16="http://schemas.microsoft.com/office/drawing/2014/main" id="{FB275619-1E4A-48FF-8588-AD34C06F37E4}"/>
            </a:ext>
          </a:extLst>
        </xdr:cNvPr>
        <xdr:cNvPicPr>
          <a:picLocks noChangeAspect="1"/>
        </xdr:cNvPicPr>
      </xdr:nvPicPr>
      <xdr:blipFill rotWithShape="1">
        <a:blip xmlns:r="http://schemas.openxmlformats.org/officeDocument/2006/relationships" r:embed="rId4"/>
        <a:srcRect l="36694" t="8746" r="24702" b="3794"/>
        <a:stretch/>
      </xdr:blipFill>
      <xdr:spPr>
        <a:xfrm>
          <a:off x="7069666" y="10254191"/>
          <a:ext cx="7059084" cy="9176809"/>
        </a:xfrm>
        <a:prstGeom prst="rect">
          <a:avLst/>
        </a:prstGeom>
      </xdr:spPr>
    </xdr:pic>
    <xdr:clientData/>
  </xdr:twoCellAnchor>
  <xdr:twoCellAnchor editAs="oneCell">
    <xdr:from>
      <xdr:col>0</xdr:col>
      <xdr:colOff>0</xdr:colOff>
      <xdr:row>120</xdr:row>
      <xdr:rowOff>63499</xdr:rowOff>
    </xdr:from>
    <xdr:to>
      <xdr:col>9</xdr:col>
      <xdr:colOff>190500</xdr:colOff>
      <xdr:row>176</xdr:row>
      <xdr:rowOff>105834</xdr:rowOff>
    </xdr:to>
    <xdr:pic>
      <xdr:nvPicPr>
        <xdr:cNvPr id="7" name="Imagen 6">
          <a:extLst>
            <a:ext uri="{FF2B5EF4-FFF2-40B4-BE49-F238E27FC236}">
              <a16:creationId xmlns:a16="http://schemas.microsoft.com/office/drawing/2014/main" id="{C6997526-E9B4-4DE5-AB42-C2A3CBF196BE}"/>
            </a:ext>
          </a:extLst>
        </xdr:cNvPr>
        <xdr:cNvPicPr>
          <a:picLocks noChangeAspect="1"/>
        </xdr:cNvPicPr>
      </xdr:nvPicPr>
      <xdr:blipFill rotWithShape="1">
        <a:blip xmlns:r="http://schemas.openxmlformats.org/officeDocument/2006/relationships" r:embed="rId5"/>
        <a:srcRect l="36579" t="9363" r="24874" b="3795"/>
        <a:stretch/>
      </xdr:blipFill>
      <xdr:spPr>
        <a:xfrm>
          <a:off x="0" y="19494499"/>
          <a:ext cx="7048500" cy="9110135"/>
        </a:xfrm>
        <a:prstGeom prst="rect">
          <a:avLst/>
        </a:prstGeom>
      </xdr:spPr>
    </xdr:pic>
    <xdr:clientData/>
  </xdr:twoCellAnchor>
  <xdr:twoCellAnchor editAs="oneCell">
    <xdr:from>
      <xdr:col>9</xdr:col>
      <xdr:colOff>201083</xdr:colOff>
      <xdr:row>120</xdr:row>
      <xdr:rowOff>31751</xdr:rowOff>
    </xdr:from>
    <xdr:to>
      <xdr:col>18</xdr:col>
      <xdr:colOff>402167</xdr:colOff>
      <xdr:row>176</xdr:row>
      <xdr:rowOff>42334</xdr:rowOff>
    </xdr:to>
    <xdr:pic>
      <xdr:nvPicPr>
        <xdr:cNvPr id="8" name="Imagen 7">
          <a:extLst>
            <a:ext uri="{FF2B5EF4-FFF2-40B4-BE49-F238E27FC236}">
              <a16:creationId xmlns:a16="http://schemas.microsoft.com/office/drawing/2014/main" id="{E55A505A-D358-4BBD-AF1E-9C9111FDE63C}"/>
            </a:ext>
          </a:extLst>
        </xdr:cNvPr>
        <xdr:cNvPicPr>
          <a:picLocks noChangeAspect="1"/>
        </xdr:cNvPicPr>
      </xdr:nvPicPr>
      <xdr:blipFill rotWithShape="1">
        <a:blip xmlns:r="http://schemas.openxmlformats.org/officeDocument/2006/relationships" r:embed="rId6"/>
        <a:srcRect l="36521" t="9776" r="24875" b="3692"/>
        <a:stretch/>
      </xdr:blipFill>
      <xdr:spPr>
        <a:xfrm>
          <a:off x="7059083" y="19462751"/>
          <a:ext cx="7059084" cy="9078383"/>
        </a:xfrm>
        <a:prstGeom prst="rect">
          <a:avLst/>
        </a:prstGeom>
      </xdr:spPr>
    </xdr:pic>
    <xdr:clientData/>
  </xdr:twoCellAnchor>
  <xdr:twoCellAnchor editAs="oneCell">
    <xdr:from>
      <xdr:col>0</xdr:col>
      <xdr:colOff>0</xdr:colOff>
      <xdr:row>176</xdr:row>
      <xdr:rowOff>126999</xdr:rowOff>
    </xdr:from>
    <xdr:to>
      <xdr:col>9</xdr:col>
      <xdr:colOff>190500</xdr:colOff>
      <xdr:row>232</xdr:row>
      <xdr:rowOff>63499</xdr:rowOff>
    </xdr:to>
    <xdr:pic>
      <xdr:nvPicPr>
        <xdr:cNvPr id="9" name="Imagen 8">
          <a:extLst>
            <a:ext uri="{FF2B5EF4-FFF2-40B4-BE49-F238E27FC236}">
              <a16:creationId xmlns:a16="http://schemas.microsoft.com/office/drawing/2014/main" id="{4C66FD8A-0032-4FC5-8362-743BF8AD2CF4}"/>
            </a:ext>
          </a:extLst>
        </xdr:cNvPr>
        <xdr:cNvPicPr>
          <a:picLocks noChangeAspect="1"/>
        </xdr:cNvPicPr>
      </xdr:nvPicPr>
      <xdr:blipFill rotWithShape="1">
        <a:blip xmlns:r="http://schemas.openxmlformats.org/officeDocument/2006/relationships" r:embed="rId7"/>
        <a:srcRect l="36463" t="10392" r="24990" b="3795"/>
        <a:stretch/>
      </xdr:blipFill>
      <xdr:spPr>
        <a:xfrm>
          <a:off x="0" y="28625799"/>
          <a:ext cx="7048500" cy="9004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369094</xdr:colOff>
      <xdr:row>1</xdr:row>
      <xdr:rowOff>71437</xdr:rowOff>
    </xdr:from>
    <xdr:to>
      <xdr:col>0</xdr:col>
      <xdr:colOff>1119190</xdr:colOff>
      <xdr:row>5</xdr:row>
      <xdr:rowOff>226217</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bwMode="auto">
        <a:xfrm>
          <a:off x="369094" y="238125"/>
          <a:ext cx="750096" cy="881061"/>
        </a:xfrm>
        <a:prstGeom prst="rightArrow">
          <a:avLst>
            <a:gd name="adj1" fmla="val 50000"/>
            <a:gd name="adj2" fmla="val 50000"/>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a:t>
          </a:r>
        </a:p>
        <a:p>
          <a:pPr algn="ctr"/>
          <a:r>
            <a:rPr lang="es-CL" sz="1200" b="1">
              <a:solidFill>
                <a:srgbClr val="FF0000"/>
              </a:solidFill>
            </a:rPr>
            <a:t>TABLA</a:t>
          </a:r>
          <a:r>
            <a:rPr lang="es-CL" sz="1200" b="1" baseline="0">
              <a:solidFill>
                <a:srgbClr val="FF0000"/>
              </a:solidFill>
            </a:rPr>
            <a:t> 4</a:t>
          </a:r>
          <a:endParaRPr lang="es-CL" sz="12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47624</xdr:colOff>
      <xdr:row>1</xdr:row>
      <xdr:rowOff>0</xdr:rowOff>
    </xdr:from>
    <xdr:to>
      <xdr:col>1</xdr:col>
      <xdr:colOff>762000</xdr:colOff>
      <xdr:row>4</xdr:row>
      <xdr:rowOff>119062</xdr:rowOff>
    </xdr:to>
    <xdr:sp macro="" textlink="">
      <xdr:nvSpPr>
        <xdr:cNvPr id="2" name="Flecha: hacia abajo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bwMode="auto">
        <a:xfrm>
          <a:off x="47624" y="166688"/>
          <a:ext cx="1190626" cy="690562"/>
        </a:xfrm>
        <a:prstGeom prst="downArrow">
          <a:avLst/>
        </a:prstGeom>
        <a:solidFill>
          <a:srgbClr val="00B0F0"/>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TABLA</a:t>
          </a:r>
          <a:r>
            <a:rPr lang="es-CL" sz="1200" b="1" baseline="0">
              <a:solidFill>
                <a:srgbClr val="FF0000"/>
              </a:solidFill>
            </a:rPr>
            <a:t> 7</a:t>
          </a:r>
          <a:endParaRPr lang="es-CL" sz="1200" b="1">
            <a:solidFill>
              <a:srgbClr val="FF0000"/>
            </a:solidFill>
          </a:endParaRPr>
        </a:p>
      </xdr:txBody>
    </xdr:sp>
    <xdr:clientData/>
  </xdr:twoCellAnchor>
  <xdr:twoCellAnchor>
    <xdr:from>
      <xdr:col>1</xdr:col>
      <xdr:colOff>797719</xdr:colOff>
      <xdr:row>1</xdr:row>
      <xdr:rowOff>23811</xdr:rowOff>
    </xdr:from>
    <xdr:to>
      <xdr:col>2</xdr:col>
      <xdr:colOff>119064</xdr:colOff>
      <xdr:row>4</xdr:row>
      <xdr:rowOff>142873</xdr:rowOff>
    </xdr:to>
    <xdr:sp macro="" textlink="">
      <xdr:nvSpPr>
        <xdr:cNvPr id="3" name="Flecha: hacia abajo 1">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bwMode="auto">
        <a:xfrm>
          <a:off x="1273969" y="190499"/>
          <a:ext cx="1190626" cy="690562"/>
        </a:xfrm>
        <a:prstGeom prst="downArrow">
          <a:avLst/>
        </a:prstGeom>
        <a:solidFill>
          <a:srgbClr val="00B0F0"/>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TABLA</a:t>
          </a:r>
          <a:r>
            <a:rPr lang="es-CL" sz="1200" b="1" baseline="0">
              <a:solidFill>
                <a:srgbClr val="FF0000"/>
              </a:solidFill>
            </a:rPr>
            <a:t> 8</a:t>
          </a:r>
          <a:endParaRPr lang="es-CL" sz="1200" b="1">
            <a:solidFill>
              <a:srgbClr val="FF0000"/>
            </a:solidFill>
          </a:endParaRPr>
        </a:p>
      </xdr:txBody>
    </xdr:sp>
    <xdr:clientData/>
  </xdr:twoCellAnchor>
  <xdr:twoCellAnchor>
    <xdr:from>
      <xdr:col>2</xdr:col>
      <xdr:colOff>154781</xdr:colOff>
      <xdr:row>1</xdr:row>
      <xdr:rowOff>35718</xdr:rowOff>
    </xdr:from>
    <xdr:to>
      <xdr:col>2</xdr:col>
      <xdr:colOff>1345407</xdr:colOff>
      <xdr:row>4</xdr:row>
      <xdr:rowOff>154780</xdr:rowOff>
    </xdr:to>
    <xdr:sp macro="" textlink="">
      <xdr:nvSpPr>
        <xdr:cNvPr id="5" name="Flecha: hacia abajo 1">
          <a:hlinkClick xmlns:r="http://schemas.openxmlformats.org/officeDocument/2006/relationships" r:id="rId3"/>
          <a:extLst>
            <a:ext uri="{FF2B5EF4-FFF2-40B4-BE49-F238E27FC236}">
              <a16:creationId xmlns:a16="http://schemas.microsoft.com/office/drawing/2014/main" id="{00000000-0008-0000-0500-000005000000}"/>
            </a:ext>
          </a:extLst>
        </xdr:cNvPr>
        <xdr:cNvSpPr/>
      </xdr:nvSpPr>
      <xdr:spPr bwMode="auto">
        <a:xfrm>
          <a:off x="2500312" y="202406"/>
          <a:ext cx="1190626" cy="690562"/>
        </a:xfrm>
        <a:prstGeom prst="downArrow">
          <a:avLst/>
        </a:prstGeom>
        <a:solidFill>
          <a:srgbClr val="00B0F0"/>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TABLA</a:t>
          </a:r>
          <a:r>
            <a:rPr lang="es-CL" sz="1200" b="1" baseline="0">
              <a:solidFill>
                <a:srgbClr val="FF0000"/>
              </a:solidFill>
            </a:rPr>
            <a:t> 9</a:t>
          </a:r>
          <a:endParaRPr lang="es-CL" sz="1200" b="1">
            <a:solidFill>
              <a:srgbClr val="FF0000"/>
            </a:solidFill>
          </a:endParaRPr>
        </a:p>
      </xdr:txBody>
    </xdr:sp>
    <xdr:clientData/>
  </xdr:twoCellAnchor>
  <xdr:twoCellAnchor>
    <xdr:from>
      <xdr:col>2</xdr:col>
      <xdr:colOff>1404937</xdr:colOff>
      <xdr:row>1</xdr:row>
      <xdr:rowOff>47625</xdr:rowOff>
    </xdr:from>
    <xdr:to>
      <xdr:col>3</xdr:col>
      <xdr:colOff>678656</xdr:colOff>
      <xdr:row>5</xdr:row>
      <xdr:rowOff>83344</xdr:rowOff>
    </xdr:to>
    <xdr:sp macro="" textlink="">
      <xdr:nvSpPr>
        <xdr:cNvPr id="7" name="Flecha: hacia abajo 1">
          <a:hlinkClick xmlns:r="http://schemas.openxmlformats.org/officeDocument/2006/relationships" r:id="rId4"/>
          <a:extLst>
            <a:ext uri="{FF2B5EF4-FFF2-40B4-BE49-F238E27FC236}">
              <a16:creationId xmlns:a16="http://schemas.microsoft.com/office/drawing/2014/main" id="{00000000-0008-0000-0500-000007000000}"/>
            </a:ext>
          </a:extLst>
        </xdr:cNvPr>
        <xdr:cNvSpPr/>
      </xdr:nvSpPr>
      <xdr:spPr bwMode="auto">
        <a:xfrm>
          <a:off x="3750468" y="214313"/>
          <a:ext cx="1190626" cy="773906"/>
        </a:xfrm>
        <a:prstGeom prst="downArrow">
          <a:avLst/>
        </a:prstGeom>
        <a:solidFill>
          <a:srgbClr val="00B0F0"/>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TABLA</a:t>
          </a:r>
          <a:r>
            <a:rPr lang="es-CL" sz="1200" b="1" baseline="0">
              <a:solidFill>
                <a:srgbClr val="FF0000"/>
              </a:solidFill>
            </a:rPr>
            <a:t> 10</a:t>
          </a:r>
          <a:endParaRPr lang="es-CL" sz="1200" b="1">
            <a:solidFill>
              <a:srgbClr val="FF0000"/>
            </a:solidFill>
          </a:endParaRPr>
        </a:p>
      </xdr:txBody>
    </xdr:sp>
    <xdr:clientData/>
  </xdr:twoCellAnchor>
  <xdr:twoCellAnchor>
    <xdr:from>
      <xdr:col>32</xdr:col>
      <xdr:colOff>333375</xdr:colOff>
      <xdr:row>2</xdr:row>
      <xdr:rowOff>47625</xdr:rowOff>
    </xdr:from>
    <xdr:to>
      <xdr:col>32</xdr:col>
      <xdr:colOff>750093</xdr:colOff>
      <xdr:row>3</xdr:row>
      <xdr:rowOff>178593</xdr:rowOff>
    </xdr:to>
    <xdr:sp macro="" textlink="">
      <xdr:nvSpPr>
        <xdr:cNvPr id="8" name="Flecha derecha 7">
          <a:hlinkClick xmlns:r="http://schemas.openxmlformats.org/officeDocument/2006/relationships" r:id="rId5"/>
          <a:extLst>
            <a:ext uri="{FF2B5EF4-FFF2-40B4-BE49-F238E27FC236}">
              <a16:creationId xmlns:a16="http://schemas.microsoft.com/office/drawing/2014/main" id="{00000000-0008-0000-0500-000008000000}"/>
            </a:ext>
          </a:extLst>
        </xdr:cNvPr>
        <xdr:cNvSpPr/>
      </xdr:nvSpPr>
      <xdr:spPr bwMode="auto">
        <a:xfrm rot="10800000">
          <a:off x="37040344" y="381000"/>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24</xdr:col>
      <xdr:colOff>0</xdr:colOff>
      <xdr:row>3</xdr:row>
      <xdr:rowOff>0</xdr:rowOff>
    </xdr:from>
    <xdr:to>
      <xdr:col>24</xdr:col>
      <xdr:colOff>416718</xdr:colOff>
      <xdr:row>4</xdr:row>
      <xdr:rowOff>59531</xdr:rowOff>
    </xdr:to>
    <xdr:sp macro="" textlink="">
      <xdr:nvSpPr>
        <xdr:cNvPr id="9" name="Flecha derecha 8">
          <a:hlinkClick xmlns:r="http://schemas.openxmlformats.org/officeDocument/2006/relationships" r:id="rId5"/>
          <a:extLst>
            <a:ext uri="{FF2B5EF4-FFF2-40B4-BE49-F238E27FC236}">
              <a16:creationId xmlns:a16="http://schemas.microsoft.com/office/drawing/2014/main" id="{00000000-0008-0000-0500-000009000000}"/>
            </a:ext>
          </a:extLst>
        </xdr:cNvPr>
        <xdr:cNvSpPr/>
      </xdr:nvSpPr>
      <xdr:spPr bwMode="auto">
        <a:xfrm rot="10800000">
          <a:off x="29479875" y="500063"/>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20</xdr:col>
      <xdr:colOff>0</xdr:colOff>
      <xdr:row>3</xdr:row>
      <xdr:rowOff>0</xdr:rowOff>
    </xdr:from>
    <xdr:to>
      <xdr:col>20</xdr:col>
      <xdr:colOff>416718</xdr:colOff>
      <xdr:row>4</xdr:row>
      <xdr:rowOff>59531</xdr:rowOff>
    </xdr:to>
    <xdr:sp macro="" textlink="">
      <xdr:nvSpPr>
        <xdr:cNvPr id="11" name="Flecha derecha 10">
          <a:hlinkClick xmlns:r="http://schemas.openxmlformats.org/officeDocument/2006/relationships" r:id="rId5"/>
          <a:extLst>
            <a:ext uri="{FF2B5EF4-FFF2-40B4-BE49-F238E27FC236}">
              <a16:creationId xmlns:a16="http://schemas.microsoft.com/office/drawing/2014/main" id="{00000000-0008-0000-0500-00000B000000}"/>
            </a:ext>
          </a:extLst>
        </xdr:cNvPr>
        <xdr:cNvSpPr/>
      </xdr:nvSpPr>
      <xdr:spPr bwMode="auto">
        <a:xfrm rot="10800000">
          <a:off x="23086219" y="500063"/>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12</xdr:col>
      <xdr:colOff>369094</xdr:colOff>
      <xdr:row>3</xdr:row>
      <xdr:rowOff>23813</xdr:rowOff>
    </xdr:from>
    <xdr:to>
      <xdr:col>12</xdr:col>
      <xdr:colOff>785812</xdr:colOff>
      <xdr:row>4</xdr:row>
      <xdr:rowOff>83344</xdr:rowOff>
    </xdr:to>
    <xdr:sp macro="" textlink="">
      <xdr:nvSpPr>
        <xdr:cNvPr id="12" name="Flecha derecha 11">
          <a:hlinkClick xmlns:r="http://schemas.openxmlformats.org/officeDocument/2006/relationships" r:id="rId5"/>
          <a:extLst>
            <a:ext uri="{FF2B5EF4-FFF2-40B4-BE49-F238E27FC236}">
              <a16:creationId xmlns:a16="http://schemas.microsoft.com/office/drawing/2014/main" id="{00000000-0008-0000-0500-00000C000000}"/>
            </a:ext>
          </a:extLst>
        </xdr:cNvPr>
        <xdr:cNvSpPr/>
      </xdr:nvSpPr>
      <xdr:spPr bwMode="auto">
        <a:xfrm rot="10800000">
          <a:off x="15156657" y="523876"/>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5</xdr:col>
      <xdr:colOff>1321594</xdr:colOff>
      <xdr:row>1</xdr:row>
      <xdr:rowOff>0</xdr:rowOff>
    </xdr:from>
    <xdr:to>
      <xdr:col>7</xdr:col>
      <xdr:colOff>47627</xdr:colOff>
      <xdr:row>5</xdr:row>
      <xdr:rowOff>35719</xdr:rowOff>
    </xdr:to>
    <xdr:sp macro="" textlink="">
      <xdr:nvSpPr>
        <xdr:cNvPr id="13" name="Flecha: hacia abajo 1">
          <a:hlinkClick xmlns:r="http://schemas.openxmlformats.org/officeDocument/2006/relationships" r:id="rId6"/>
          <a:extLst>
            <a:ext uri="{FF2B5EF4-FFF2-40B4-BE49-F238E27FC236}">
              <a16:creationId xmlns:a16="http://schemas.microsoft.com/office/drawing/2014/main" id="{00000000-0008-0000-0500-00000D000000}"/>
            </a:ext>
          </a:extLst>
        </xdr:cNvPr>
        <xdr:cNvSpPr/>
      </xdr:nvSpPr>
      <xdr:spPr bwMode="auto">
        <a:xfrm>
          <a:off x="8870157" y="166688"/>
          <a:ext cx="1190626" cy="773906"/>
        </a:xfrm>
        <a:prstGeom prst="downArrow">
          <a:avLst/>
        </a:prstGeom>
        <a:solidFill>
          <a:srgbClr val="00B0F0"/>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TABLA</a:t>
          </a:r>
          <a:r>
            <a:rPr lang="es-CL" sz="1200" b="1" baseline="0">
              <a:solidFill>
                <a:srgbClr val="FF0000"/>
              </a:solidFill>
            </a:rPr>
            <a:t> 11</a:t>
          </a:r>
          <a:endParaRPr lang="es-CL" sz="1200" b="1">
            <a:solidFill>
              <a:srgbClr val="FF0000"/>
            </a:solidFill>
          </a:endParaRPr>
        </a:p>
      </xdr:txBody>
    </xdr:sp>
    <xdr:clientData/>
  </xdr:twoCellAnchor>
  <xdr:twoCellAnchor>
    <xdr:from>
      <xdr:col>39</xdr:col>
      <xdr:colOff>0</xdr:colOff>
      <xdr:row>3</xdr:row>
      <xdr:rowOff>0</xdr:rowOff>
    </xdr:from>
    <xdr:to>
      <xdr:col>39</xdr:col>
      <xdr:colOff>416718</xdr:colOff>
      <xdr:row>4</xdr:row>
      <xdr:rowOff>59531</xdr:rowOff>
    </xdr:to>
    <xdr:sp macro="" textlink="">
      <xdr:nvSpPr>
        <xdr:cNvPr id="14" name="Flecha derecha 13">
          <a:hlinkClick xmlns:r="http://schemas.openxmlformats.org/officeDocument/2006/relationships" r:id="rId5"/>
          <a:extLst>
            <a:ext uri="{FF2B5EF4-FFF2-40B4-BE49-F238E27FC236}">
              <a16:creationId xmlns:a16="http://schemas.microsoft.com/office/drawing/2014/main" id="{00000000-0008-0000-0500-00000E000000}"/>
            </a:ext>
          </a:extLst>
        </xdr:cNvPr>
        <xdr:cNvSpPr/>
      </xdr:nvSpPr>
      <xdr:spPr bwMode="auto">
        <a:xfrm rot="10800000">
          <a:off x="43183969" y="500063"/>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33</xdr:col>
      <xdr:colOff>333375</xdr:colOff>
      <xdr:row>2</xdr:row>
      <xdr:rowOff>47625</xdr:rowOff>
    </xdr:from>
    <xdr:to>
      <xdr:col>33</xdr:col>
      <xdr:colOff>750093</xdr:colOff>
      <xdr:row>3</xdr:row>
      <xdr:rowOff>178593</xdr:rowOff>
    </xdr:to>
    <xdr:sp macro="" textlink="">
      <xdr:nvSpPr>
        <xdr:cNvPr id="4" name="Flecha derecha 5">
          <a:hlinkClick xmlns:r="http://schemas.openxmlformats.org/officeDocument/2006/relationships" r:id="rId5"/>
          <a:extLst>
            <a:ext uri="{FF2B5EF4-FFF2-40B4-BE49-F238E27FC236}">
              <a16:creationId xmlns:a16="http://schemas.microsoft.com/office/drawing/2014/main" id="{8F28AD22-371C-4906-9B74-4746D8771FF8}"/>
            </a:ext>
          </a:extLst>
        </xdr:cNvPr>
        <xdr:cNvSpPr/>
      </xdr:nvSpPr>
      <xdr:spPr bwMode="auto">
        <a:xfrm rot="10800000">
          <a:off x="38461950" y="428625"/>
          <a:ext cx="416718" cy="321468"/>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25</xdr:col>
      <xdr:colOff>0</xdr:colOff>
      <xdr:row>3</xdr:row>
      <xdr:rowOff>0</xdr:rowOff>
    </xdr:from>
    <xdr:to>
      <xdr:col>25</xdr:col>
      <xdr:colOff>416718</xdr:colOff>
      <xdr:row>4</xdr:row>
      <xdr:rowOff>59531</xdr:rowOff>
    </xdr:to>
    <xdr:sp macro="" textlink="">
      <xdr:nvSpPr>
        <xdr:cNvPr id="6" name="Flecha derecha 6">
          <a:hlinkClick xmlns:r="http://schemas.openxmlformats.org/officeDocument/2006/relationships" r:id="rId5"/>
          <a:extLst>
            <a:ext uri="{FF2B5EF4-FFF2-40B4-BE49-F238E27FC236}">
              <a16:creationId xmlns:a16="http://schemas.microsoft.com/office/drawing/2014/main" id="{6D4A235D-84F4-4126-B0E3-7EFE1F8B3024}"/>
            </a:ext>
          </a:extLst>
        </xdr:cNvPr>
        <xdr:cNvSpPr/>
      </xdr:nvSpPr>
      <xdr:spPr bwMode="auto">
        <a:xfrm rot="10800000">
          <a:off x="30899100" y="571500"/>
          <a:ext cx="416718" cy="2595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21</xdr:col>
      <xdr:colOff>0</xdr:colOff>
      <xdr:row>3</xdr:row>
      <xdr:rowOff>0</xdr:rowOff>
    </xdr:from>
    <xdr:to>
      <xdr:col>21</xdr:col>
      <xdr:colOff>416718</xdr:colOff>
      <xdr:row>4</xdr:row>
      <xdr:rowOff>59531</xdr:rowOff>
    </xdr:to>
    <xdr:sp macro="" textlink="">
      <xdr:nvSpPr>
        <xdr:cNvPr id="10" name="Flecha derecha 7">
          <a:hlinkClick xmlns:r="http://schemas.openxmlformats.org/officeDocument/2006/relationships" r:id="rId5"/>
          <a:extLst>
            <a:ext uri="{FF2B5EF4-FFF2-40B4-BE49-F238E27FC236}">
              <a16:creationId xmlns:a16="http://schemas.microsoft.com/office/drawing/2014/main" id="{C1BE5AEF-3DC4-4FEF-8302-B9C2C15601D9}"/>
            </a:ext>
          </a:extLst>
        </xdr:cNvPr>
        <xdr:cNvSpPr/>
      </xdr:nvSpPr>
      <xdr:spPr bwMode="auto">
        <a:xfrm rot="10800000">
          <a:off x="24498300" y="571500"/>
          <a:ext cx="416718" cy="2595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12</xdr:col>
      <xdr:colOff>369094</xdr:colOff>
      <xdr:row>3</xdr:row>
      <xdr:rowOff>23813</xdr:rowOff>
    </xdr:from>
    <xdr:to>
      <xdr:col>12</xdr:col>
      <xdr:colOff>785812</xdr:colOff>
      <xdr:row>4</xdr:row>
      <xdr:rowOff>83344</xdr:rowOff>
    </xdr:to>
    <xdr:sp macro="" textlink="">
      <xdr:nvSpPr>
        <xdr:cNvPr id="15" name="Flecha derecha 8">
          <a:hlinkClick xmlns:r="http://schemas.openxmlformats.org/officeDocument/2006/relationships" r:id="rId5"/>
          <a:extLst>
            <a:ext uri="{FF2B5EF4-FFF2-40B4-BE49-F238E27FC236}">
              <a16:creationId xmlns:a16="http://schemas.microsoft.com/office/drawing/2014/main" id="{DE76E634-2FD5-404D-9D48-6DAA127DEB99}"/>
            </a:ext>
          </a:extLst>
        </xdr:cNvPr>
        <xdr:cNvSpPr/>
      </xdr:nvSpPr>
      <xdr:spPr bwMode="auto">
        <a:xfrm rot="10800000">
          <a:off x="15713869" y="595313"/>
          <a:ext cx="416718" cy="2595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40</xdr:col>
      <xdr:colOff>0</xdr:colOff>
      <xdr:row>3</xdr:row>
      <xdr:rowOff>0</xdr:rowOff>
    </xdr:from>
    <xdr:to>
      <xdr:col>40</xdr:col>
      <xdr:colOff>416718</xdr:colOff>
      <xdr:row>4</xdr:row>
      <xdr:rowOff>59531</xdr:rowOff>
    </xdr:to>
    <xdr:sp macro="" textlink="">
      <xdr:nvSpPr>
        <xdr:cNvPr id="16" name="Flecha derecha 10">
          <a:hlinkClick xmlns:r="http://schemas.openxmlformats.org/officeDocument/2006/relationships" r:id="rId5"/>
          <a:extLst>
            <a:ext uri="{FF2B5EF4-FFF2-40B4-BE49-F238E27FC236}">
              <a16:creationId xmlns:a16="http://schemas.microsoft.com/office/drawing/2014/main" id="{04552015-EB13-428A-BE0C-11C6D1F8B9B0}"/>
            </a:ext>
          </a:extLst>
        </xdr:cNvPr>
        <xdr:cNvSpPr/>
      </xdr:nvSpPr>
      <xdr:spPr bwMode="auto">
        <a:xfrm rot="10800000">
          <a:off x="44605575" y="571500"/>
          <a:ext cx="416718" cy="2595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0</xdr:col>
      <xdr:colOff>0</xdr:colOff>
      <xdr:row>0</xdr:row>
      <xdr:rowOff>0</xdr:rowOff>
    </xdr:from>
    <xdr:to>
      <xdr:col>1</xdr:col>
      <xdr:colOff>828675</xdr:colOff>
      <xdr:row>4</xdr:row>
      <xdr:rowOff>57150</xdr:rowOff>
    </xdr:to>
    <xdr:sp macro="" textlink="">
      <xdr:nvSpPr>
        <xdr:cNvPr id="17" name="Flecha: a la derecha 1">
          <a:hlinkClick xmlns:r="http://schemas.openxmlformats.org/officeDocument/2006/relationships" r:id="rId7"/>
          <a:extLst>
            <a:ext uri="{FF2B5EF4-FFF2-40B4-BE49-F238E27FC236}">
              <a16:creationId xmlns:a16="http://schemas.microsoft.com/office/drawing/2014/main" id="{F75C9358-FCBF-4F27-83B3-02FA57AC2B0E}"/>
            </a:ext>
          </a:extLst>
        </xdr:cNvPr>
        <xdr:cNvSpPr/>
      </xdr:nvSpPr>
      <xdr:spPr bwMode="auto">
        <a:xfrm flipH="1">
          <a:off x="0" y="0"/>
          <a:ext cx="1524000" cy="828675"/>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twoCellAnchor>
    <xdr:from>
      <xdr:col>33</xdr:col>
      <xdr:colOff>333375</xdr:colOff>
      <xdr:row>2</xdr:row>
      <xdr:rowOff>47625</xdr:rowOff>
    </xdr:from>
    <xdr:to>
      <xdr:col>33</xdr:col>
      <xdr:colOff>750093</xdr:colOff>
      <xdr:row>3</xdr:row>
      <xdr:rowOff>178593</xdr:rowOff>
    </xdr:to>
    <xdr:sp macro="" textlink="">
      <xdr:nvSpPr>
        <xdr:cNvPr id="18" name="Flecha derecha 5">
          <a:hlinkClick xmlns:r="http://schemas.openxmlformats.org/officeDocument/2006/relationships" r:id="rId5"/>
          <a:extLst>
            <a:ext uri="{FF2B5EF4-FFF2-40B4-BE49-F238E27FC236}">
              <a16:creationId xmlns:a16="http://schemas.microsoft.com/office/drawing/2014/main" id="{61B8E47B-2AF5-4A70-AAB0-9BFAFB7E10DA}"/>
            </a:ext>
          </a:extLst>
        </xdr:cNvPr>
        <xdr:cNvSpPr/>
      </xdr:nvSpPr>
      <xdr:spPr bwMode="auto">
        <a:xfrm rot="10800000">
          <a:off x="38461950" y="428625"/>
          <a:ext cx="416718" cy="321468"/>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25</xdr:col>
      <xdr:colOff>0</xdr:colOff>
      <xdr:row>3</xdr:row>
      <xdr:rowOff>0</xdr:rowOff>
    </xdr:from>
    <xdr:to>
      <xdr:col>25</xdr:col>
      <xdr:colOff>416718</xdr:colOff>
      <xdr:row>4</xdr:row>
      <xdr:rowOff>59531</xdr:rowOff>
    </xdr:to>
    <xdr:sp macro="" textlink="">
      <xdr:nvSpPr>
        <xdr:cNvPr id="19" name="Flecha derecha 6">
          <a:hlinkClick xmlns:r="http://schemas.openxmlformats.org/officeDocument/2006/relationships" r:id="rId5"/>
          <a:extLst>
            <a:ext uri="{FF2B5EF4-FFF2-40B4-BE49-F238E27FC236}">
              <a16:creationId xmlns:a16="http://schemas.microsoft.com/office/drawing/2014/main" id="{1FB51137-B4EF-478E-9DAF-2F2E158C5281}"/>
            </a:ext>
          </a:extLst>
        </xdr:cNvPr>
        <xdr:cNvSpPr/>
      </xdr:nvSpPr>
      <xdr:spPr bwMode="auto">
        <a:xfrm rot="10800000">
          <a:off x="30899100" y="571500"/>
          <a:ext cx="416718" cy="2595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21</xdr:col>
      <xdr:colOff>0</xdr:colOff>
      <xdr:row>3</xdr:row>
      <xdr:rowOff>0</xdr:rowOff>
    </xdr:from>
    <xdr:to>
      <xdr:col>21</xdr:col>
      <xdr:colOff>416718</xdr:colOff>
      <xdr:row>4</xdr:row>
      <xdr:rowOff>59531</xdr:rowOff>
    </xdr:to>
    <xdr:sp macro="" textlink="">
      <xdr:nvSpPr>
        <xdr:cNvPr id="20" name="Flecha derecha 7">
          <a:hlinkClick xmlns:r="http://schemas.openxmlformats.org/officeDocument/2006/relationships" r:id="rId5"/>
          <a:extLst>
            <a:ext uri="{FF2B5EF4-FFF2-40B4-BE49-F238E27FC236}">
              <a16:creationId xmlns:a16="http://schemas.microsoft.com/office/drawing/2014/main" id="{C31AEBCB-4CC5-4E30-B7BA-D2C66346AED1}"/>
            </a:ext>
          </a:extLst>
        </xdr:cNvPr>
        <xdr:cNvSpPr/>
      </xdr:nvSpPr>
      <xdr:spPr bwMode="auto">
        <a:xfrm rot="10800000">
          <a:off x="24498300" y="571500"/>
          <a:ext cx="416718" cy="2595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12</xdr:col>
      <xdr:colOff>369094</xdr:colOff>
      <xdr:row>3</xdr:row>
      <xdr:rowOff>23813</xdr:rowOff>
    </xdr:from>
    <xdr:to>
      <xdr:col>12</xdr:col>
      <xdr:colOff>785812</xdr:colOff>
      <xdr:row>4</xdr:row>
      <xdr:rowOff>83344</xdr:rowOff>
    </xdr:to>
    <xdr:sp macro="" textlink="">
      <xdr:nvSpPr>
        <xdr:cNvPr id="21" name="Flecha derecha 8">
          <a:hlinkClick xmlns:r="http://schemas.openxmlformats.org/officeDocument/2006/relationships" r:id="rId5"/>
          <a:extLst>
            <a:ext uri="{FF2B5EF4-FFF2-40B4-BE49-F238E27FC236}">
              <a16:creationId xmlns:a16="http://schemas.microsoft.com/office/drawing/2014/main" id="{07C146B1-DEDA-4B02-8696-43FEF089A6D8}"/>
            </a:ext>
          </a:extLst>
        </xdr:cNvPr>
        <xdr:cNvSpPr/>
      </xdr:nvSpPr>
      <xdr:spPr bwMode="auto">
        <a:xfrm rot="10800000">
          <a:off x="15713869" y="595313"/>
          <a:ext cx="416718" cy="2595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40</xdr:col>
      <xdr:colOff>0</xdr:colOff>
      <xdr:row>3</xdr:row>
      <xdr:rowOff>0</xdr:rowOff>
    </xdr:from>
    <xdr:to>
      <xdr:col>40</xdr:col>
      <xdr:colOff>416718</xdr:colOff>
      <xdr:row>4</xdr:row>
      <xdr:rowOff>59531</xdr:rowOff>
    </xdr:to>
    <xdr:sp macro="" textlink="">
      <xdr:nvSpPr>
        <xdr:cNvPr id="22" name="Flecha derecha 10">
          <a:hlinkClick xmlns:r="http://schemas.openxmlformats.org/officeDocument/2006/relationships" r:id="rId5"/>
          <a:extLst>
            <a:ext uri="{FF2B5EF4-FFF2-40B4-BE49-F238E27FC236}">
              <a16:creationId xmlns:a16="http://schemas.microsoft.com/office/drawing/2014/main" id="{CC04C531-1F1A-40A4-92F5-E4D96C9E09E0}"/>
            </a:ext>
          </a:extLst>
        </xdr:cNvPr>
        <xdr:cNvSpPr/>
      </xdr:nvSpPr>
      <xdr:spPr bwMode="auto">
        <a:xfrm rot="10800000">
          <a:off x="44605575" y="571500"/>
          <a:ext cx="416718" cy="2595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0</xdr:col>
      <xdr:colOff>0</xdr:colOff>
      <xdr:row>0</xdr:row>
      <xdr:rowOff>0</xdr:rowOff>
    </xdr:from>
    <xdr:to>
      <xdr:col>1</xdr:col>
      <xdr:colOff>828675</xdr:colOff>
      <xdr:row>4</xdr:row>
      <xdr:rowOff>57150</xdr:rowOff>
    </xdr:to>
    <xdr:sp macro="" textlink="">
      <xdr:nvSpPr>
        <xdr:cNvPr id="23" name="Flecha: a la derecha 1">
          <a:hlinkClick xmlns:r="http://schemas.openxmlformats.org/officeDocument/2006/relationships" r:id="rId7"/>
          <a:extLst>
            <a:ext uri="{FF2B5EF4-FFF2-40B4-BE49-F238E27FC236}">
              <a16:creationId xmlns:a16="http://schemas.microsoft.com/office/drawing/2014/main" id="{50A075F2-7637-4E54-A3BC-1D019C3CCDCD}"/>
            </a:ext>
          </a:extLst>
        </xdr:cNvPr>
        <xdr:cNvSpPr/>
      </xdr:nvSpPr>
      <xdr:spPr bwMode="auto">
        <a:xfrm flipH="1">
          <a:off x="0" y="0"/>
          <a:ext cx="1524000" cy="828675"/>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ntos\2020\TARIFAS%202021\SIMULACION%20TARIFAS%20SC\DELBIENSAN%20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Índice Tablas"/>
      <sheetName val="20201001Tarifas 2021 Stgo 09 21"/>
      <sheetName val="B) Reajuste Tarifas y Ocupación"/>
      <sheetName val="C) Costos Directos"/>
      <sheetName val="D) Costos Indirectos"/>
      <sheetName val="E) Resumen Tarifado "/>
      <sheetName val="F) Remuneraciones"/>
      <sheetName val="G) Comparación Mercado"/>
      <sheetName val="H) Detalle Datos"/>
    </sheetNames>
    <sheetDataSet>
      <sheetData sheetId="0"/>
      <sheetData sheetId="1"/>
      <sheetData sheetId="2">
        <row r="9">
          <cell r="B9">
            <v>4321700</v>
          </cell>
        </row>
      </sheetData>
      <sheetData sheetId="3">
        <row r="15">
          <cell r="B15" t="str">
            <v>Diurna</v>
          </cell>
        </row>
        <row r="16">
          <cell r="B16" t="str">
            <v>Nocturna</v>
          </cell>
        </row>
        <row r="17">
          <cell r="B17" t="str">
            <v>Media Jornada</v>
          </cell>
        </row>
      </sheetData>
      <sheetData sheetId="4">
        <row r="13">
          <cell r="H13">
            <v>19521895.19444048</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C3D9E-BC9E-4F97-BE58-0564F5DD3739}">
  <sheetPr>
    <tabColor rgb="FFFF0000"/>
  </sheetPr>
  <dimension ref="C1:J52"/>
  <sheetViews>
    <sheetView showGridLines="0" zoomScale="90" zoomScaleNormal="90" workbookViewId="0">
      <selection activeCell="Y26" sqref="Y26"/>
    </sheetView>
  </sheetViews>
  <sheetFormatPr baseColWidth="10" defaultColWidth="11.42578125" defaultRowHeight="12.75" x14ac:dyDescent="0.2"/>
  <cols>
    <col min="1" max="16384" width="11.42578125" style="458"/>
  </cols>
  <sheetData>
    <row r="1" spans="3:10" x14ac:dyDescent="0.2">
      <c r="J1" s="459"/>
    </row>
    <row r="2" spans="3:10" x14ac:dyDescent="0.2">
      <c r="J2" s="459" t="s">
        <v>84</v>
      </c>
    </row>
    <row r="3" spans="3:10" x14ac:dyDescent="0.2">
      <c r="J3" s="459"/>
    </row>
    <row r="5" spans="3:10" x14ac:dyDescent="0.2">
      <c r="C5" s="460"/>
      <c r="D5" s="460"/>
      <c r="E5" s="460"/>
      <c r="F5" s="460"/>
      <c r="G5" s="460"/>
      <c r="H5" s="460"/>
      <c r="I5" s="460"/>
      <c r="J5" s="460"/>
    </row>
    <row r="6" spans="3:10" x14ac:dyDescent="0.2">
      <c r="C6" s="460"/>
      <c r="D6" s="460"/>
      <c r="E6" s="460"/>
      <c r="F6" s="460"/>
      <c r="G6" s="460"/>
      <c r="H6" s="460"/>
      <c r="I6" s="460"/>
      <c r="J6" s="460"/>
    </row>
    <row r="7" spans="3:10" x14ac:dyDescent="0.2">
      <c r="C7" s="460"/>
      <c r="D7" s="460"/>
      <c r="E7" s="460"/>
      <c r="F7" s="460"/>
      <c r="G7" s="460"/>
      <c r="H7" s="460"/>
      <c r="I7" s="460"/>
      <c r="J7" s="460"/>
    </row>
    <row r="8" spans="3:10" x14ac:dyDescent="0.2">
      <c r="C8" s="460"/>
      <c r="D8" s="460"/>
      <c r="E8" s="460"/>
      <c r="F8" s="460"/>
      <c r="G8" s="460"/>
      <c r="H8" s="460"/>
      <c r="I8" s="460"/>
      <c r="J8" s="460"/>
    </row>
    <row r="9" spans="3:10" x14ac:dyDescent="0.2">
      <c r="C9" s="460"/>
      <c r="D9" s="460"/>
      <c r="E9" s="460"/>
      <c r="F9" s="460"/>
      <c r="G9" s="460"/>
      <c r="H9" s="460"/>
      <c r="I9" s="460"/>
      <c r="J9" s="460"/>
    </row>
    <row r="10" spans="3:10" x14ac:dyDescent="0.2">
      <c r="C10" s="460"/>
      <c r="D10" s="460"/>
      <c r="E10" s="460"/>
      <c r="F10" s="460"/>
      <c r="G10" s="460"/>
      <c r="H10" s="460"/>
      <c r="I10" s="460"/>
      <c r="J10" s="460"/>
    </row>
    <row r="11" spans="3:10" x14ac:dyDescent="0.2">
      <c r="C11" s="460"/>
      <c r="D11" s="460"/>
      <c r="E11" s="460"/>
      <c r="F11" s="460"/>
      <c r="G11" s="460"/>
      <c r="H11" s="460"/>
      <c r="I11" s="460"/>
      <c r="J11" s="460"/>
    </row>
    <row r="12" spans="3:10" x14ac:dyDescent="0.2">
      <c r="C12" s="460"/>
      <c r="D12" s="460"/>
      <c r="E12" s="460"/>
      <c r="F12" s="460"/>
      <c r="G12" s="460"/>
      <c r="H12" s="460"/>
      <c r="I12" s="460"/>
      <c r="J12" s="460"/>
    </row>
    <row r="13" spans="3:10" x14ac:dyDescent="0.2">
      <c r="C13" s="460"/>
      <c r="D13" s="460"/>
      <c r="E13" s="460"/>
      <c r="F13" s="460"/>
      <c r="G13" s="460"/>
      <c r="H13" s="460"/>
      <c r="I13" s="460"/>
      <c r="J13" s="460"/>
    </row>
    <row r="14" spans="3:10" x14ac:dyDescent="0.2">
      <c r="C14" s="460"/>
      <c r="D14" s="460"/>
      <c r="E14" s="460"/>
      <c r="F14" s="460"/>
      <c r="G14" s="460"/>
      <c r="H14" s="460"/>
      <c r="I14" s="460"/>
      <c r="J14" s="460"/>
    </row>
    <row r="15" spans="3:10" x14ac:dyDescent="0.2">
      <c r="C15" s="460"/>
      <c r="D15" s="460"/>
      <c r="E15" s="460"/>
      <c r="F15" s="460"/>
      <c r="G15" s="460"/>
      <c r="H15" s="460"/>
      <c r="I15" s="460"/>
      <c r="J15" s="460"/>
    </row>
    <row r="16" spans="3:10" x14ac:dyDescent="0.2">
      <c r="C16" s="460"/>
      <c r="D16" s="460"/>
      <c r="E16" s="460"/>
      <c r="F16" s="460"/>
      <c r="G16" s="460"/>
      <c r="H16" s="460"/>
      <c r="I16" s="460"/>
      <c r="J16" s="460"/>
    </row>
    <row r="17" spans="3:10" x14ac:dyDescent="0.2">
      <c r="C17" s="460"/>
      <c r="D17" s="460"/>
      <c r="E17" s="460"/>
      <c r="F17" s="460"/>
      <c r="G17" s="460"/>
      <c r="H17" s="460"/>
      <c r="I17" s="460"/>
      <c r="J17" s="460"/>
    </row>
    <row r="18" spans="3:10" x14ac:dyDescent="0.2">
      <c r="C18" s="460"/>
      <c r="D18" s="460"/>
      <c r="E18" s="460"/>
      <c r="F18" s="460"/>
      <c r="G18" s="460"/>
      <c r="H18" s="460"/>
      <c r="I18" s="460"/>
      <c r="J18" s="460"/>
    </row>
    <row r="19" spans="3:10" x14ac:dyDescent="0.2">
      <c r="C19" s="460"/>
      <c r="D19" s="460"/>
      <c r="E19" s="460"/>
      <c r="F19" s="460"/>
      <c r="G19" s="460"/>
      <c r="H19" s="460"/>
      <c r="I19" s="460"/>
      <c r="J19" s="460"/>
    </row>
    <row r="20" spans="3:10" x14ac:dyDescent="0.2">
      <c r="C20" s="460"/>
      <c r="D20" s="460"/>
      <c r="E20" s="460"/>
      <c r="F20" s="460"/>
      <c r="G20" s="460"/>
      <c r="H20" s="460"/>
      <c r="I20" s="460"/>
      <c r="J20" s="460"/>
    </row>
    <row r="21" spans="3:10" x14ac:dyDescent="0.2">
      <c r="C21" s="460"/>
      <c r="D21" s="460"/>
      <c r="E21" s="460"/>
      <c r="F21" s="460"/>
      <c r="G21" s="460"/>
      <c r="H21" s="460"/>
      <c r="I21" s="460"/>
      <c r="J21" s="460"/>
    </row>
    <row r="22" spans="3:10" x14ac:dyDescent="0.2">
      <c r="C22" s="460"/>
      <c r="D22" s="460"/>
      <c r="E22" s="460"/>
      <c r="F22" s="460"/>
      <c r="G22" s="460"/>
      <c r="H22" s="460"/>
      <c r="I22" s="460"/>
      <c r="J22" s="460"/>
    </row>
    <row r="23" spans="3:10" x14ac:dyDescent="0.2">
      <c r="C23" s="460"/>
      <c r="D23" s="460"/>
      <c r="E23" s="460"/>
      <c r="F23" s="460"/>
      <c r="G23" s="460"/>
      <c r="H23" s="460"/>
      <c r="I23" s="460"/>
      <c r="J23" s="460"/>
    </row>
    <row r="24" spans="3:10" x14ac:dyDescent="0.2">
      <c r="C24" s="460"/>
      <c r="D24" s="460"/>
      <c r="E24" s="460"/>
      <c r="F24" s="460"/>
      <c r="G24" s="460"/>
      <c r="H24" s="460"/>
      <c r="I24" s="460"/>
      <c r="J24" s="460"/>
    </row>
    <row r="25" spans="3:10" x14ac:dyDescent="0.2">
      <c r="C25" s="460"/>
      <c r="D25" s="460"/>
      <c r="E25" s="460"/>
      <c r="F25" s="460"/>
      <c r="G25" s="460"/>
      <c r="H25" s="460"/>
      <c r="I25" s="460"/>
      <c r="J25" s="460"/>
    </row>
    <row r="26" spans="3:10" x14ac:dyDescent="0.2">
      <c r="C26" s="460"/>
      <c r="D26" s="460"/>
      <c r="E26" s="460"/>
      <c r="F26" s="460"/>
      <c r="G26" s="460"/>
      <c r="H26" s="460"/>
      <c r="I26" s="460"/>
      <c r="J26" s="460"/>
    </row>
    <row r="27" spans="3:10" x14ac:dyDescent="0.2">
      <c r="C27" s="460"/>
      <c r="D27" s="460"/>
      <c r="E27" s="460"/>
      <c r="F27" s="460"/>
      <c r="G27" s="460"/>
      <c r="H27" s="460"/>
      <c r="I27" s="460"/>
      <c r="J27" s="460"/>
    </row>
    <row r="28" spans="3:10" x14ac:dyDescent="0.2">
      <c r="C28" s="460"/>
      <c r="D28" s="460"/>
      <c r="E28" s="460"/>
      <c r="F28" s="460"/>
      <c r="G28" s="460"/>
      <c r="H28" s="460"/>
      <c r="I28" s="460"/>
      <c r="J28" s="460"/>
    </row>
    <row r="29" spans="3:10" x14ac:dyDescent="0.2">
      <c r="C29" s="460"/>
      <c r="D29" s="460"/>
      <c r="E29" s="460"/>
      <c r="F29" s="460"/>
      <c r="G29" s="460"/>
      <c r="H29" s="460"/>
      <c r="I29" s="460"/>
      <c r="J29" s="460"/>
    </row>
    <row r="30" spans="3:10" x14ac:dyDescent="0.2">
      <c r="C30" s="460"/>
      <c r="D30" s="460"/>
      <c r="E30" s="460"/>
      <c r="F30" s="460"/>
      <c r="G30" s="460"/>
      <c r="H30" s="460"/>
      <c r="I30" s="460"/>
      <c r="J30" s="460"/>
    </row>
    <row r="31" spans="3:10" x14ac:dyDescent="0.2">
      <c r="C31" s="460"/>
      <c r="D31" s="460"/>
      <c r="E31" s="460"/>
      <c r="F31" s="460"/>
      <c r="G31" s="460"/>
      <c r="H31" s="460"/>
      <c r="I31" s="460"/>
      <c r="J31" s="460"/>
    </row>
    <row r="32" spans="3:10" x14ac:dyDescent="0.2">
      <c r="C32" s="460"/>
      <c r="D32" s="460"/>
      <c r="E32" s="460"/>
      <c r="F32" s="460"/>
      <c r="G32" s="460"/>
      <c r="H32" s="460"/>
      <c r="I32" s="460"/>
      <c r="J32" s="460"/>
    </row>
    <row r="33" spans="3:10" x14ac:dyDescent="0.2">
      <c r="C33" s="460"/>
      <c r="D33" s="460"/>
      <c r="E33" s="460"/>
      <c r="F33" s="460"/>
      <c r="G33" s="460"/>
      <c r="H33" s="460"/>
      <c r="I33" s="460"/>
      <c r="J33" s="460"/>
    </row>
    <row r="34" spans="3:10" x14ac:dyDescent="0.2">
      <c r="C34" s="460"/>
      <c r="D34" s="460"/>
      <c r="E34" s="460"/>
      <c r="F34" s="460"/>
      <c r="G34" s="460"/>
      <c r="H34" s="460"/>
      <c r="I34" s="460"/>
      <c r="J34" s="460"/>
    </row>
    <row r="35" spans="3:10" x14ac:dyDescent="0.2">
      <c r="C35" s="460"/>
      <c r="D35" s="460"/>
      <c r="E35" s="460"/>
      <c r="F35" s="460"/>
      <c r="G35" s="460"/>
      <c r="H35" s="460"/>
      <c r="I35" s="460"/>
      <c r="J35" s="460"/>
    </row>
    <row r="36" spans="3:10" x14ac:dyDescent="0.2">
      <c r="C36" s="460"/>
      <c r="D36" s="460"/>
      <c r="E36" s="460"/>
      <c r="F36" s="460"/>
      <c r="G36" s="460"/>
      <c r="H36" s="460"/>
      <c r="I36" s="460"/>
      <c r="J36" s="460"/>
    </row>
    <row r="37" spans="3:10" x14ac:dyDescent="0.2">
      <c r="C37" s="460"/>
      <c r="D37" s="460"/>
      <c r="E37" s="460"/>
      <c r="F37" s="460"/>
      <c r="G37" s="460"/>
      <c r="H37" s="460"/>
      <c r="I37" s="460"/>
      <c r="J37" s="460"/>
    </row>
    <row r="38" spans="3:10" x14ac:dyDescent="0.2">
      <c r="C38" s="460"/>
      <c r="D38" s="460"/>
      <c r="E38" s="460"/>
      <c r="F38" s="460"/>
      <c r="G38" s="460"/>
      <c r="H38" s="460"/>
      <c r="I38" s="460"/>
      <c r="J38" s="460"/>
    </row>
    <row r="39" spans="3:10" x14ac:dyDescent="0.2">
      <c r="C39" s="460"/>
      <c r="D39" s="460"/>
      <c r="E39" s="460"/>
      <c r="F39" s="460"/>
      <c r="G39" s="460"/>
      <c r="H39" s="460"/>
      <c r="I39" s="460"/>
      <c r="J39" s="460"/>
    </row>
    <row r="40" spans="3:10" x14ac:dyDescent="0.2">
      <c r="C40" s="460"/>
      <c r="D40" s="460"/>
      <c r="E40" s="460"/>
      <c r="F40" s="460"/>
      <c r="G40" s="460"/>
      <c r="H40" s="460"/>
      <c r="I40" s="460"/>
      <c r="J40" s="460"/>
    </row>
    <row r="41" spans="3:10" x14ac:dyDescent="0.2">
      <c r="C41" s="460"/>
      <c r="D41" s="460"/>
      <c r="E41" s="460"/>
      <c r="F41" s="460"/>
      <c r="G41" s="460"/>
      <c r="H41" s="460"/>
      <c r="I41" s="460"/>
      <c r="J41" s="460"/>
    </row>
    <row r="42" spans="3:10" x14ac:dyDescent="0.2">
      <c r="C42" s="460"/>
      <c r="D42" s="460"/>
      <c r="E42" s="460"/>
      <c r="F42" s="460"/>
      <c r="G42" s="460"/>
      <c r="H42" s="460"/>
      <c r="I42" s="460"/>
      <c r="J42" s="460"/>
    </row>
    <row r="43" spans="3:10" x14ac:dyDescent="0.2">
      <c r="C43" s="460"/>
      <c r="D43" s="460"/>
      <c r="E43" s="460"/>
      <c r="F43" s="460"/>
      <c r="G43" s="460"/>
      <c r="H43" s="460"/>
      <c r="I43" s="460"/>
      <c r="J43" s="460"/>
    </row>
    <row r="44" spans="3:10" x14ac:dyDescent="0.2">
      <c r="C44" s="460"/>
      <c r="D44" s="460"/>
      <c r="E44" s="460"/>
      <c r="F44" s="460"/>
      <c r="G44" s="460"/>
      <c r="H44" s="460"/>
      <c r="I44" s="460"/>
      <c r="J44" s="460"/>
    </row>
    <row r="45" spans="3:10" x14ac:dyDescent="0.2">
      <c r="C45" s="460"/>
      <c r="D45" s="460"/>
      <c r="E45" s="460"/>
      <c r="F45" s="460"/>
      <c r="G45" s="460"/>
      <c r="H45" s="460"/>
      <c r="I45" s="460"/>
      <c r="J45" s="460"/>
    </row>
    <row r="46" spans="3:10" x14ac:dyDescent="0.2">
      <c r="C46" s="460"/>
      <c r="D46" s="460"/>
      <c r="E46" s="460"/>
      <c r="F46" s="460"/>
      <c r="G46" s="460"/>
      <c r="H46" s="460"/>
      <c r="I46" s="460"/>
      <c r="J46" s="460"/>
    </row>
    <row r="47" spans="3:10" x14ac:dyDescent="0.2">
      <c r="C47" s="460"/>
      <c r="D47" s="460"/>
      <c r="E47" s="460"/>
      <c r="F47" s="460"/>
      <c r="G47" s="460"/>
      <c r="H47" s="460"/>
      <c r="I47" s="460"/>
      <c r="J47" s="460"/>
    </row>
    <row r="48" spans="3:10" x14ac:dyDescent="0.2">
      <c r="C48" s="460"/>
      <c r="D48" s="460"/>
      <c r="E48" s="460"/>
      <c r="F48" s="460"/>
      <c r="G48" s="460"/>
      <c r="H48" s="460"/>
      <c r="I48" s="460"/>
      <c r="J48" s="460"/>
    </row>
    <row r="49" spans="3:10" x14ac:dyDescent="0.2">
      <c r="C49" s="460"/>
      <c r="D49" s="460"/>
      <c r="E49" s="460"/>
      <c r="F49" s="460"/>
      <c r="G49" s="460"/>
      <c r="H49" s="460"/>
      <c r="I49" s="460"/>
      <c r="J49" s="460"/>
    </row>
    <row r="50" spans="3:10" x14ac:dyDescent="0.2">
      <c r="C50" s="460"/>
      <c r="D50" s="460"/>
      <c r="E50" s="460"/>
      <c r="F50" s="460"/>
      <c r="G50" s="460"/>
      <c r="H50" s="460"/>
      <c r="I50" s="460"/>
      <c r="J50" s="460"/>
    </row>
    <row r="51" spans="3:10" x14ac:dyDescent="0.2">
      <c r="C51" s="460"/>
      <c r="D51" s="460"/>
      <c r="E51" s="460"/>
      <c r="F51" s="460"/>
      <c r="G51" s="460"/>
      <c r="H51" s="460"/>
      <c r="I51" s="460"/>
      <c r="J51" s="460"/>
    </row>
    <row r="52" spans="3:10" x14ac:dyDescent="0.2">
      <c r="C52" s="460"/>
      <c r="D52" s="460"/>
      <c r="E52" s="460"/>
      <c r="F52" s="460"/>
      <c r="G52" s="460"/>
      <c r="H52" s="460"/>
      <c r="I52" s="460"/>
      <c r="J52" s="460"/>
    </row>
  </sheetData>
  <sheetProtection algorithmName="SHA-512" hashValue="30ud0gYYBINfRSdnOkMVCLSaKSDSjwVyW1IAvl9KaBu8GGORLWxtAO7qi05xCT3IeSCLh8Fq8xAn03uCd2p9ug==" saltValue="xdjO6oixZPjYaJtRcQuO+Q==" spinCount="100000" sheet="1" objects="1" scenario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0.499984740745262"/>
  </sheetPr>
  <dimension ref="A1:V65"/>
  <sheetViews>
    <sheetView showGridLines="0" topLeftCell="A19" zoomScale="110" zoomScaleNormal="110" workbookViewId="0">
      <selection activeCell="F44" sqref="F44"/>
    </sheetView>
  </sheetViews>
  <sheetFormatPr baseColWidth="10" defaultColWidth="11.42578125" defaultRowHeight="12.75" x14ac:dyDescent="0.2"/>
  <cols>
    <col min="1" max="5" width="11.42578125" style="49"/>
    <col min="6" max="6" width="13.42578125" style="49" customWidth="1"/>
    <col min="7" max="9" width="11.42578125" style="49"/>
    <col min="10" max="11" width="13.28515625" style="49" customWidth="1"/>
    <col min="12" max="16384" width="11.42578125" style="49"/>
  </cols>
  <sheetData>
    <row r="1" spans="1:17" x14ac:dyDescent="0.2">
      <c r="J1" s="108"/>
      <c r="K1" s="111"/>
    </row>
    <row r="2" spans="1:17" x14ac:dyDescent="0.2">
      <c r="A2" s="317"/>
      <c r="B2" s="317"/>
      <c r="C2" s="317"/>
      <c r="D2" s="317"/>
      <c r="E2" s="317"/>
      <c r="F2" s="317"/>
      <c r="G2" s="317"/>
      <c r="H2" s="317"/>
      <c r="I2" s="317"/>
      <c r="J2" s="318" t="s">
        <v>194</v>
      </c>
      <c r="K2" s="319"/>
      <c r="L2" s="317"/>
      <c r="M2" s="317"/>
      <c r="N2" s="317"/>
      <c r="O2" s="317"/>
      <c r="P2" s="317"/>
      <c r="Q2" s="317"/>
    </row>
    <row r="3" spans="1:17" x14ac:dyDescent="0.2">
      <c r="A3" s="317"/>
      <c r="B3" s="317"/>
      <c r="C3" s="317"/>
      <c r="D3" s="317"/>
      <c r="E3" s="317"/>
      <c r="F3" s="317"/>
      <c r="G3" s="317"/>
      <c r="H3" s="317"/>
      <c r="I3" s="317"/>
      <c r="J3" s="317"/>
      <c r="K3" s="317"/>
      <c r="L3" s="317"/>
      <c r="M3" s="317"/>
      <c r="N3" s="317"/>
      <c r="O3" s="317"/>
      <c r="P3" s="317"/>
      <c r="Q3" s="317"/>
    </row>
    <row r="4" spans="1:17" ht="19.5" customHeight="1" x14ac:dyDescent="0.2">
      <c r="A4" s="317"/>
      <c r="B4" s="317"/>
      <c r="C4" s="317"/>
      <c r="D4" s="317"/>
      <c r="E4" s="317"/>
      <c r="F4" s="317"/>
      <c r="G4" s="317"/>
      <c r="H4" s="317"/>
      <c r="I4" s="320" t="s">
        <v>0</v>
      </c>
      <c r="J4" s="950" t="str">
        <f>+'B) Reajuste Tarifas y Ocupación'!F5</f>
        <v>BIENMAG</v>
      </c>
      <c r="K4" s="951"/>
      <c r="L4" s="317"/>
      <c r="M4" s="317"/>
      <c r="N4" s="317"/>
      <c r="O4" s="317"/>
      <c r="P4" s="317"/>
      <c r="Q4" s="317"/>
    </row>
    <row r="5" spans="1:17" x14ac:dyDescent="0.2">
      <c r="A5" s="317"/>
      <c r="B5" s="317"/>
      <c r="C5" s="317"/>
      <c r="D5" s="317"/>
      <c r="E5" s="317"/>
      <c r="F5" s="317"/>
      <c r="G5" s="317"/>
      <c r="H5" s="317"/>
      <c r="I5" s="317"/>
      <c r="J5" s="317"/>
      <c r="K5" s="317"/>
      <c r="L5" s="317"/>
      <c r="M5" s="317"/>
      <c r="N5" s="317"/>
      <c r="O5" s="317"/>
      <c r="P5" s="317"/>
      <c r="Q5" s="317"/>
    </row>
    <row r="6" spans="1:17" ht="12.75" customHeight="1" x14ac:dyDescent="0.2">
      <c r="A6" s="321" t="s">
        <v>122</v>
      </c>
      <c r="B6" s="322"/>
      <c r="C6" s="322"/>
      <c r="D6" s="322"/>
      <c r="E6" s="322"/>
      <c r="F6" s="322"/>
      <c r="G6" s="322"/>
      <c r="H6" s="322"/>
      <c r="I6" s="322"/>
      <c r="J6" s="322"/>
      <c r="K6" s="322"/>
      <c r="L6" s="322"/>
      <c r="M6" s="322"/>
      <c r="N6" s="322"/>
      <c r="O6" s="322"/>
      <c r="P6" s="322"/>
      <c r="Q6" s="317"/>
    </row>
    <row r="7" spans="1:17" x14ac:dyDescent="0.2">
      <c r="A7" s="322"/>
      <c r="B7" s="322"/>
      <c r="C7" s="322"/>
      <c r="D7" s="322"/>
      <c r="E7" s="322"/>
      <c r="F7" s="322"/>
      <c r="G7" s="322"/>
      <c r="H7" s="322"/>
      <c r="I7" s="322"/>
      <c r="J7" s="322"/>
      <c r="K7" s="322"/>
      <c r="L7" s="322"/>
      <c r="M7" s="322"/>
      <c r="N7" s="322"/>
      <c r="O7" s="322"/>
      <c r="P7" s="322"/>
      <c r="Q7" s="317"/>
    </row>
    <row r="8" spans="1:17" x14ac:dyDescent="0.2">
      <c r="A8" s="317"/>
      <c r="B8" s="317"/>
      <c r="C8" s="317"/>
      <c r="D8" s="317"/>
      <c r="E8" s="317"/>
      <c r="F8" s="317"/>
      <c r="G8" s="317"/>
      <c r="H8" s="317"/>
      <c r="I8" s="317"/>
      <c r="J8" s="317"/>
      <c r="K8" s="317"/>
      <c r="L8" s="317"/>
      <c r="M8" s="317"/>
      <c r="N8" s="317"/>
      <c r="O8" s="317"/>
      <c r="P8" s="317"/>
      <c r="Q8" s="317"/>
    </row>
    <row r="9" spans="1:17" x14ac:dyDescent="0.2">
      <c r="B9" s="227"/>
      <c r="C9" s="227"/>
    </row>
    <row r="10" spans="1:17" ht="15.75" customHeight="1" x14ac:dyDescent="0.2">
      <c r="B10" s="952" t="s">
        <v>304</v>
      </c>
      <c r="C10" s="952"/>
      <c r="D10" s="952"/>
      <c r="E10" s="952"/>
      <c r="F10" s="952"/>
      <c r="G10" s="952"/>
      <c r="H10" s="952"/>
      <c r="I10" s="952"/>
      <c r="J10" s="952"/>
    </row>
    <row r="11" spans="1:17" x14ac:dyDescent="0.2">
      <c r="B11" s="952"/>
      <c r="C11" s="952"/>
      <c r="D11" s="952"/>
      <c r="E11" s="952"/>
      <c r="F11" s="952"/>
      <c r="G11" s="952"/>
      <c r="H11" s="952"/>
      <c r="I11" s="952"/>
      <c r="J11" s="952"/>
    </row>
    <row r="12" spans="1:17" x14ac:dyDescent="0.2">
      <c r="B12" s="952"/>
      <c r="C12" s="952"/>
      <c r="D12" s="952"/>
      <c r="E12" s="952"/>
      <c r="F12" s="952"/>
      <c r="G12" s="952"/>
      <c r="H12" s="952"/>
      <c r="I12" s="952"/>
      <c r="J12" s="952"/>
      <c r="K12" s="50"/>
      <c r="L12" s="50"/>
      <c r="M12" s="50"/>
      <c r="N12" s="50"/>
      <c r="O12" s="50"/>
      <c r="P12" s="50"/>
      <c r="Q12" s="50"/>
    </row>
    <row r="13" spans="1:17" x14ac:dyDescent="0.2">
      <c r="A13" s="228"/>
      <c r="B13" s="952"/>
      <c r="C13" s="952"/>
      <c r="D13" s="952"/>
      <c r="E13" s="952"/>
      <c r="F13" s="952"/>
      <c r="G13" s="952"/>
      <c r="H13" s="952"/>
      <c r="I13" s="952"/>
      <c r="J13" s="952"/>
      <c r="K13" s="229"/>
      <c r="L13" s="229"/>
      <c r="M13" s="229"/>
      <c r="N13" s="230"/>
      <c r="O13" s="231"/>
      <c r="P13" s="231"/>
      <c r="Q13" s="231"/>
    </row>
    <row r="14" spans="1:17" ht="15.75" x14ac:dyDescent="0.25">
      <c r="A14" s="233"/>
      <c r="B14" s="306"/>
      <c r="C14" s="234"/>
      <c r="D14" s="234"/>
      <c r="E14" s="234"/>
      <c r="F14" s="307"/>
      <c r="G14" s="307"/>
      <c r="H14" s="308"/>
      <c r="I14" s="307"/>
      <c r="J14" s="234"/>
      <c r="K14" s="234"/>
      <c r="L14" s="234"/>
      <c r="M14" s="234"/>
      <c r="N14" s="234"/>
      <c r="O14" s="234"/>
      <c r="P14" s="234"/>
      <c r="Q14" s="234"/>
    </row>
    <row r="15" spans="1:17" x14ac:dyDescent="0.2">
      <c r="A15" s="235"/>
      <c r="B15" s="953" t="s">
        <v>326</v>
      </c>
      <c r="C15" s="953"/>
      <c r="D15" s="953"/>
      <c r="E15" s="953"/>
      <c r="F15" s="953"/>
      <c r="G15" s="953"/>
      <c r="H15" s="953"/>
      <c r="I15" s="953"/>
      <c r="J15" s="953"/>
      <c r="K15" s="234"/>
      <c r="L15" s="234"/>
      <c r="M15" s="234"/>
      <c r="N15" s="234"/>
      <c r="O15" s="234"/>
      <c r="P15" s="234"/>
      <c r="Q15" s="234"/>
    </row>
    <row r="16" spans="1:17" x14ac:dyDescent="0.2">
      <c r="A16" s="235"/>
      <c r="B16" s="953"/>
      <c r="C16" s="953"/>
      <c r="D16" s="953"/>
      <c r="E16" s="953"/>
      <c r="F16" s="953"/>
      <c r="G16" s="953"/>
      <c r="H16" s="953"/>
      <c r="I16" s="953"/>
      <c r="J16" s="953"/>
      <c r="K16" s="234"/>
      <c r="L16" s="234"/>
      <c r="M16" s="234"/>
      <c r="N16" s="234"/>
      <c r="O16" s="234"/>
      <c r="P16" s="234"/>
      <c r="Q16" s="234"/>
    </row>
    <row r="17" spans="1:10" x14ac:dyDescent="0.2">
      <c r="B17" s="310"/>
      <c r="E17" s="311"/>
      <c r="F17" s="311"/>
      <c r="G17" s="311"/>
      <c r="H17" s="311"/>
      <c r="I17" s="311"/>
      <c r="J17" s="312"/>
    </row>
    <row r="18" spans="1:10" x14ac:dyDescent="0.2">
      <c r="B18" s="953" t="s">
        <v>305</v>
      </c>
      <c r="C18" s="953"/>
      <c r="D18" s="953"/>
      <c r="E18" s="953"/>
      <c r="F18" s="953"/>
      <c r="G18" s="953"/>
      <c r="H18" s="953"/>
      <c r="I18" s="953"/>
      <c r="J18" s="953"/>
    </row>
    <row r="19" spans="1:10" x14ac:dyDescent="0.2">
      <c r="B19" s="953"/>
      <c r="C19" s="953"/>
      <c r="D19" s="953"/>
      <c r="E19" s="953"/>
      <c r="F19" s="953"/>
      <c r="G19" s="953"/>
      <c r="H19" s="953"/>
      <c r="I19" s="953"/>
      <c r="J19" s="953"/>
    </row>
    <row r="20" spans="1:10" ht="15.75" x14ac:dyDescent="0.25">
      <c r="E20" s="236"/>
      <c r="J20" s="313"/>
    </row>
    <row r="21" spans="1:10" x14ac:dyDescent="0.2">
      <c r="B21" s="953" t="s">
        <v>327</v>
      </c>
      <c r="C21" s="953"/>
      <c r="D21" s="953"/>
      <c r="E21" s="953"/>
      <c r="F21" s="953"/>
      <c r="G21" s="953"/>
      <c r="H21" s="953"/>
      <c r="I21" s="953"/>
      <c r="J21" s="953"/>
    </row>
    <row r="22" spans="1:10" x14ac:dyDescent="0.2">
      <c r="B22" s="953"/>
      <c r="C22" s="953"/>
      <c r="D22" s="953"/>
      <c r="E22" s="953"/>
      <c r="F22" s="953"/>
      <c r="G22" s="953"/>
      <c r="H22" s="953"/>
      <c r="I22" s="953"/>
      <c r="J22" s="953"/>
    </row>
    <row r="23" spans="1:10" x14ac:dyDescent="0.2">
      <c r="A23" s="237"/>
      <c r="B23" s="953"/>
      <c r="C23" s="953"/>
      <c r="D23" s="953"/>
      <c r="E23" s="953"/>
      <c r="F23" s="953"/>
      <c r="G23" s="953"/>
      <c r="H23" s="953"/>
      <c r="I23" s="953"/>
      <c r="J23" s="953"/>
    </row>
    <row r="24" spans="1:10" x14ac:dyDescent="0.2">
      <c r="A24" s="237"/>
      <c r="B24" s="534"/>
    </row>
    <row r="25" spans="1:10" x14ac:dyDescent="0.2">
      <c r="A25" s="237"/>
      <c r="B25" s="953" t="s">
        <v>325</v>
      </c>
      <c r="C25" s="954"/>
      <c r="D25" s="954"/>
      <c r="E25" s="954"/>
      <c r="F25" s="954"/>
      <c r="G25" s="954"/>
      <c r="H25" s="954"/>
      <c r="I25" s="954"/>
      <c r="J25" s="954"/>
    </row>
    <row r="26" spans="1:10" ht="15.75" customHeight="1" x14ac:dyDescent="0.2">
      <c r="B26" s="954"/>
      <c r="C26" s="954"/>
      <c r="D26" s="954"/>
      <c r="E26" s="954"/>
      <c r="F26" s="954"/>
      <c r="G26" s="954"/>
      <c r="H26" s="954"/>
      <c r="I26" s="954"/>
      <c r="J26" s="954"/>
    </row>
    <row r="28" spans="1:10" s="236" customFormat="1" x14ac:dyDescent="0.2"/>
    <row r="29" spans="1:10" x14ac:dyDescent="0.2">
      <c r="C29" s="948" t="s">
        <v>315</v>
      </c>
      <c r="D29" s="948"/>
    </row>
    <row r="30" spans="1:10" ht="15.75" customHeight="1" x14ac:dyDescent="0.2">
      <c r="C30" s="948"/>
      <c r="D30" s="948"/>
      <c r="F30" s="532"/>
      <c r="G30" s="532"/>
    </row>
    <row r="31" spans="1:10" x14ac:dyDescent="0.2">
      <c r="B31" s="534"/>
      <c r="D31" s="309"/>
      <c r="E31" s="309"/>
    </row>
    <row r="32" spans="1:10" ht="15.75" customHeight="1" x14ac:dyDescent="0.2">
      <c r="B32" s="538" t="s">
        <v>306</v>
      </c>
      <c r="C32" s="537" t="s">
        <v>310</v>
      </c>
      <c r="D32" s="537" t="s">
        <v>309</v>
      </c>
      <c r="E32" s="537" t="s">
        <v>307</v>
      </c>
    </row>
    <row r="33" spans="1:22" ht="25.5" x14ac:dyDescent="0.2">
      <c r="B33" s="539" t="s">
        <v>308</v>
      </c>
      <c r="C33" s="536">
        <v>12</v>
      </c>
      <c r="D33" s="536">
        <v>14</v>
      </c>
      <c r="E33" s="541" t="s">
        <v>316</v>
      </c>
    </row>
    <row r="34" spans="1:22" ht="25.5" x14ac:dyDescent="0.2">
      <c r="B34" s="540" t="s">
        <v>312</v>
      </c>
      <c r="C34" s="536">
        <v>14</v>
      </c>
      <c r="D34" s="536">
        <v>25</v>
      </c>
      <c r="E34" s="536" t="s">
        <v>317</v>
      </c>
      <c r="F34" s="533"/>
      <c r="G34" s="533"/>
    </row>
    <row r="35" spans="1:22" ht="25.5" x14ac:dyDescent="0.2">
      <c r="B35" s="536" t="s">
        <v>311</v>
      </c>
      <c r="C35" s="536">
        <v>13</v>
      </c>
      <c r="D35" s="536">
        <v>25</v>
      </c>
      <c r="E35" s="536" t="s">
        <v>318</v>
      </c>
      <c r="F35" s="533"/>
      <c r="G35" s="533"/>
    </row>
    <row r="36" spans="1:22" ht="25.5" x14ac:dyDescent="0.2">
      <c r="B36" s="536" t="s">
        <v>313</v>
      </c>
      <c r="C36" s="536">
        <v>20</v>
      </c>
      <c r="D36" s="536">
        <v>25</v>
      </c>
      <c r="E36" s="536" t="s">
        <v>318</v>
      </c>
      <c r="G36" s="305"/>
    </row>
    <row r="37" spans="1:22" x14ac:dyDescent="0.2">
      <c r="B37" s="535" t="s">
        <v>314</v>
      </c>
      <c r="C37" s="535">
        <f>SUM(C33:C36)</f>
        <v>59</v>
      </c>
      <c r="D37" s="535">
        <v>89</v>
      </c>
      <c r="E37" s="535">
        <v>10</v>
      </c>
      <c r="G37" s="305"/>
    </row>
    <row r="38" spans="1:22" ht="15.75" x14ac:dyDescent="0.2">
      <c r="E38" s="949"/>
      <c r="F38" s="949"/>
      <c r="G38" s="305"/>
      <c r="S38" s="957"/>
      <c r="T38" s="957"/>
      <c r="U38" s="957"/>
      <c r="V38" s="957"/>
    </row>
    <row r="39" spans="1:22" x14ac:dyDescent="0.2">
      <c r="E39" s="949"/>
      <c r="F39" s="949"/>
      <c r="G39" s="305"/>
    </row>
    <row r="40" spans="1:22" x14ac:dyDescent="0.2">
      <c r="G40" s="305"/>
      <c r="S40" s="228"/>
      <c r="T40" s="959"/>
      <c r="U40" s="959"/>
      <c r="V40" s="959"/>
    </row>
    <row r="41" spans="1:22" ht="12.75" customHeight="1" x14ac:dyDescent="0.2">
      <c r="C41" s="955"/>
      <c r="G41" s="305"/>
      <c r="S41" s="316"/>
      <c r="T41" s="959"/>
      <c r="U41" s="959"/>
      <c r="V41" s="959"/>
    </row>
    <row r="42" spans="1:22" x14ac:dyDescent="0.2">
      <c r="C42" s="955"/>
      <c r="S42" s="316"/>
      <c r="T42" s="959"/>
      <c r="U42" s="959"/>
      <c r="V42" s="959"/>
    </row>
    <row r="43" spans="1:22" x14ac:dyDescent="0.2">
      <c r="S43" s="316"/>
      <c r="T43" s="959"/>
      <c r="U43" s="959"/>
      <c r="V43" s="959"/>
    </row>
    <row r="44" spans="1:22" x14ac:dyDescent="0.2">
      <c r="S44" s="228"/>
      <c r="T44" s="314"/>
      <c r="U44" s="314"/>
      <c r="V44" s="314"/>
    </row>
    <row r="45" spans="1:22" x14ac:dyDescent="0.2">
      <c r="S45" s="108"/>
      <c r="T45" s="958"/>
      <c r="U45" s="958"/>
      <c r="V45" s="958"/>
    </row>
    <row r="46" spans="1:22" x14ac:dyDescent="0.2">
      <c r="S46" s="111"/>
      <c r="T46" s="958"/>
      <c r="U46" s="958"/>
      <c r="V46" s="958"/>
    </row>
    <row r="47" spans="1:22" x14ac:dyDescent="0.2">
      <c r="A47" s="233"/>
      <c r="B47" s="242"/>
      <c r="C47" s="242"/>
      <c r="D47" s="242"/>
      <c r="E47" s="242"/>
      <c r="F47" s="242"/>
      <c r="G47" s="242"/>
      <c r="H47" s="242"/>
      <c r="I47" s="242"/>
      <c r="J47" s="242"/>
      <c r="K47" s="242"/>
      <c r="L47" s="242"/>
      <c r="M47" s="242"/>
      <c r="N47" s="242"/>
      <c r="O47" s="242"/>
      <c r="P47" s="242"/>
      <c r="Q47" s="242"/>
      <c r="S47" s="111"/>
      <c r="T47" s="958"/>
      <c r="U47" s="958"/>
      <c r="V47" s="958"/>
    </row>
    <row r="48" spans="1:22" x14ac:dyDescent="0.2">
      <c r="A48" s="235"/>
      <c r="B48" s="956"/>
      <c r="C48" s="956"/>
      <c r="D48" s="956"/>
      <c r="E48" s="956"/>
      <c r="F48" s="956"/>
      <c r="G48" s="956"/>
      <c r="H48" s="956"/>
      <c r="I48" s="956"/>
      <c r="J48" s="956"/>
      <c r="K48" s="956"/>
      <c r="L48" s="956"/>
      <c r="M48" s="956"/>
      <c r="N48" s="956"/>
      <c r="O48" s="956"/>
      <c r="P48" s="956"/>
      <c r="Q48" s="956"/>
      <c r="S48" s="111"/>
      <c r="T48" s="315"/>
      <c r="U48" s="315"/>
      <c r="V48" s="315"/>
    </row>
    <row r="49" spans="1:22" x14ac:dyDescent="0.2">
      <c r="A49" s="233"/>
      <c r="B49" s="234"/>
      <c r="C49" s="234"/>
      <c r="D49" s="234"/>
      <c r="E49" s="234"/>
      <c r="F49" s="234"/>
      <c r="G49" s="234"/>
      <c r="H49" s="234"/>
      <c r="I49" s="234"/>
      <c r="J49" s="234"/>
      <c r="K49" s="234"/>
      <c r="L49" s="234"/>
      <c r="M49" s="234"/>
      <c r="N49" s="234"/>
      <c r="O49" s="234"/>
      <c r="P49" s="234"/>
      <c r="Q49" s="234"/>
      <c r="S49" s="232"/>
      <c r="T49" s="958"/>
      <c r="U49" s="958"/>
      <c r="V49" s="958"/>
    </row>
    <row r="50" spans="1:22" x14ac:dyDescent="0.2">
      <c r="A50" s="235"/>
      <c r="B50" s="242"/>
      <c r="C50" s="242"/>
      <c r="D50" s="242"/>
      <c r="E50" s="242"/>
      <c r="F50" s="242"/>
      <c r="G50" s="242"/>
      <c r="H50" s="242"/>
      <c r="I50" s="242"/>
      <c r="J50" s="242"/>
      <c r="K50" s="242"/>
      <c r="L50" s="242"/>
      <c r="M50" s="234"/>
      <c r="N50" s="234"/>
      <c r="O50" s="234"/>
      <c r="T50" s="958"/>
      <c r="U50" s="958"/>
      <c r="V50" s="958"/>
    </row>
    <row r="51" spans="1:22" x14ac:dyDescent="0.2">
      <c r="A51" s="235"/>
      <c r="B51" s="242"/>
      <c r="C51" s="242"/>
      <c r="D51" s="242"/>
      <c r="E51" s="242"/>
      <c r="F51" s="242"/>
      <c r="G51" s="242"/>
      <c r="H51" s="242"/>
      <c r="I51" s="242"/>
      <c r="J51" s="242"/>
      <c r="K51" s="242"/>
      <c r="L51" s="242"/>
      <c r="M51" s="242"/>
      <c r="N51" s="242"/>
      <c r="O51" s="242"/>
      <c r="S51" s="111"/>
      <c r="T51" s="958"/>
      <c r="U51" s="958"/>
      <c r="V51" s="958"/>
    </row>
    <row r="52" spans="1:22" x14ac:dyDescent="0.2">
      <c r="A52" s="233"/>
      <c r="B52" s="242"/>
      <c r="C52" s="242"/>
      <c r="D52" s="242"/>
      <c r="E52" s="242"/>
      <c r="F52" s="242"/>
      <c r="G52" s="242"/>
      <c r="H52" s="242"/>
      <c r="I52" s="242"/>
      <c r="J52" s="242"/>
      <c r="K52" s="242"/>
      <c r="L52" s="242"/>
      <c r="M52" s="242"/>
      <c r="N52" s="242"/>
      <c r="O52" s="242"/>
    </row>
    <row r="53" spans="1:22" x14ac:dyDescent="0.2">
      <c r="A53" s="233"/>
      <c r="B53" s="242"/>
      <c r="C53" s="242"/>
      <c r="D53" s="242"/>
      <c r="E53" s="242"/>
      <c r="F53" s="242"/>
      <c r="G53" s="242"/>
      <c r="H53" s="242"/>
      <c r="I53" s="242"/>
      <c r="J53" s="242"/>
      <c r="K53" s="242"/>
      <c r="L53" s="242"/>
      <c r="M53" s="242"/>
      <c r="N53" s="242"/>
      <c r="O53" s="242"/>
      <c r="S53" s="232"/>
      <c r="T53" s="958"/>
      <c r="U53" s="958"/>
      <c r="V53" s="958"/>
    </row>
    <row r="54" spans="1:22" x14ac:dyDescent="0.2">
      <c r="A54" s="233"/>
      <c r="B54" s="234"/>
      <c r="C54" s="234"/>
      <c r="D54" s="234"/>
      <c r="E54" s="234"/>
      <c r="F54" s="234"/>
      <c r="G54" s="234"/>
      <c r="H54" s="234"/>
      <c r="I54" s="234"/>
      <c r="J54" s="234"/>
      <c r="K54" s="234"/>
      <c r="L54" s="234"/>
      <c r="M54" s="242"/>
      <c r="N54" s="242"/>
      <c r="O54" s="242"/>
      <c r="T54" s="958"/>
      <c r="U54" s="958"/>
      <c r="V54" s="958"/>
    </row>
    <row r="55" spans="1:22" x14ac:dyDescent="0.2">
      <c r="A55" s="233"/>
      <c r="B55" s="234"/>
      <c r="C55" s="234"/>
      <c r="D55" s="234"/>
      <c r="E55" s="234"/>
      <c r="F55" s="234"/>
      <c r="G55" s="234"/>
      <c r="H55" s="234"/>
      <c r="I55" s="234"/>
      <c r="J55" s="234"/>
      <c r="K55" s="234"/>
      <c r="L55" s="234"/>
      <c r="M55" s="234"/>
      <c r="N55" s="234"/>
      <c r="O55" s="234"/>
      <c r="T55" s="315"/>
      <c r="U55" s="315"/>
      <c r="V55" s="315"/>
    </row>
    <row r="56" spans="1:22" x14ac:dyDescent="0.2">
      <c r="A56" s="233"/>
      <c r="B56" s="234"/>
      <c r="C56" s="234"/>
      <c r="D56" s="234"/>
      <c r="E56" s="234"/>
      <c r="F56" s="234"/>
      <c r="G56" s="234"/>
      <c r="H56" s="234"/>
      <c r="I56" s="234"/>
      <c r="J56" s="234"/>
      <c r="K56" s="234"/>
      <c r="L56" s="234"/>
      <c r="M56" s="234"/>
      <c r="N56" s="234"/>
      <c r="O56" s="234"/>
      <c r="S56" s="232"/>
      <c r="T56" s="958"/>
      <c r="U56" s="958"/>
      <c r="V56" s="958"/>
    </row>
    <row r="57" spans="1:22" x14ac:dyDescent="0.2">
      <c r="A57" s="233"/>
      <c r="B57" s="234"/>
      <c r="C57" s="234"/>
      <c r="D57" s="234"/>
      <c r="E57" s="234"/>
      <c r="F57" s="234"/>
      <c r="G57" s="234"/>
      <c r="H57" s="234"/>
      <c r="I57" s="234"/>
      <c r="J57" s="234"/>
      <c r="K57" s="234"/>
      <c r="L57" s="234"/>
      <c r="M57" s="234"/>
      <c r="N57" s="234"/>
      <c r="O57" s="234"/>
      <c r="T57" s="958"/>
      <c r="U57" s="958"/>
      <c r="V57" s="958"/>
    </row>
    <row r="58" spans="1:22" x14ac:dyDescent="0.2">
      <c r="A58" s="233"/>
      <c r="B58" s="234"/>
      <c r="C58" s="234"/>
      <c r="D58" s="234"/>
      <c r="E58" s="234"/>
      <c r="F58" s="234"/>
      <c r="G58" s="234"/>
      <c r="H58" s="234"/>
      <c r="I58" s="234"/>
      <c r="J58" s="234"/>
      <c r="M58" s="234"/>
      <c r="N58" s="234"/>
      <c r="O58" s="234"/>
    </row>
    <row r="59" spans="1:22" x14ac:dyDescent="0.2">
      <c r="A59" s="233"/>
      <c r="B59" s="234"/>
      <c r="C59" s="234"/>
      <c r="D59" s="234"/>
      <c r="E59" s="234"/>
      <c r="F59" s="234"/>
      <c r="G59" s="234"/>
      <c r="H59" s="234"/>
      <c r="I59" s="234"/>
      <c r="J59" s="234"/>
      <c r="K59" s="234"/>
      <c r="L59" s="234"/>
      <c r="M59" s="234"/>
      <c r="N59" s="234"/>
      <c r="O59" s="234"/>
    </row>
    <row r="60" spans="1:22" x14ac:dyDescent="0.2">
      <c r="A60" s="233"/>
      <c r="B60" s="242"/>
      <c r="C60" s="243"/>
      <c r="D60" s="234"/>
      <c r="E60" s="234"/>
      <c r="F60" s="234"/>
      <c r="G60" s="234"/>
      <c r="H60" s="234"/>
      <c r="I60" s="234"/>
      <c r="J60" s="234"/>
      <c r="K60" s="234"/>
      <c r="L60" s="234"/>
      <c r="M60" s="234"/>
      <c r="N60" s="234"/>
      <c r="O60" s="234"/>
    </row>
    <row r="61" spans="1:22" x14ac:dyDescent="0.2">
      <c r="A61" s="233"/>
      <c r="B61" s="234"/>
      <c r="C61" s="244"/>
      <c r="D61" s="234"/>
      <c r="E61" s="234"/>
      <c r="F61" s="234"/>
      <c r="G61" s="234"/>
      <c r="H61" s="234"/>
      <c r="I61" s="234"/>
      <c r="J61" s="234"/>
      <c r="K61" s="234"/>
      <c r="L61" s="234"/>
      <c r="M61" s="234"/>
      <c r="N61" s="234"/>
      <c r="O61" s="234"/>
    </row>
    <row r="62" spans="1:22" ht="15" x14ac:dyDescent="0.25">
      <c r="A62" s="233"/>
      <c r="B62" s="234"/>
      <c r="C62" s="234"/>
      <c r="D62" s="234"/>
      <c r="E62" s="234"/>
      <c r="F62" s="234"/>
      <c r="G62" s="234"/>
      <c r="H62" s="234"/>
      <c r="I62" s="234"/>
      <c r="J62" s="234"/>
      <c r="K62" s="234"/>
      <c r="L62" s="234"/>
      <c r="M62" s="234"/>
      <c r="N62" s="234"/>
      <c r="O62" s="234"/>
      <c r="P62" s="234"/>
      <c r="Q62" s="234"/>
      <c r="R62" s="245"/>
      <c r="S62" s="245"/>
      <c r="T62" s="245"/>
      <c r="U62" s="245"/>
      <c r="V62" s="245"/>
    </row>
    <row r="63" spans="1:22" x14ac:dyDescent="0.2">
      <c r="A63" s="233"/>
      <c r="B63" s="242"/>
      <c r="C63" s="243"/>
      <c r="D63" s="234"/>
      <c r="E63" s="234"/>
      <c r="F63" s="234"/>
      <c r="G63" s="234"/>
      <c r="H63" s="234"/>
      <c r="I63" s="234"/>
      <c r="J63" s="234"/>
      <c r="K63" s="234"/>
      <c r="L63" s="234"/>
      <c r="M63" s="234"/>
    </row>
    <row r="64" spans="1:22" x14ac:dyDescent="0.2">
      <c r="A64" s="233"/>
      <c r="B64" s="242"/>
      <c r="C64" s="243"/>
      <c r="D64" s="234"/>
      <c r="E64" s="234"/>
      <c r="F64" s="234"/>
      <c r="G64" s="234"/>
      <c r="H64" s="234"/>
      <c r="I64" s="234"/>
      <c r="J64" s="234"/>
      <c r="K64" s="234"/>
      <c r="L64" s="234"/>
      <c r="M64" s="234"/>
    </row>
    <row r="65" spans="1:13" x14ac:dyDescent="0.2">
      <c r="A65" s="233"/>
      <c r="B65" s="242"/>
      <c r="C65" s="243"/>
      <c r="D65" s="234"/>
      <c r="E65" s="234"/>
      <c r="F65" s="234"/>
      <c r="G65" s="234"/>
      <c r="H65" s="234"/>
      <c r="I65" s="234"/>
      <c r="J65" s="234"/>
      <c r="K65" s="234"/>
      <c r="L65" s="234"/>
      <c r="M65" s="234"/>
    </row>
  </sheetData>
  <mergeCells count="16">
    <mergeCell ref="C41:C42"/>
    <mergeCell ref="B48:Q48"/>
    <mergeCell ref="S38:V38"/>
    <mergeCell ref="T53:V54"/>
    <mergeCell ref="T56:V57"/>
    <mergeCell ref="T45:V47"/>
    <mergeCell ref="T49:V51"/>
    <mergeCell ref="T40:V43"/>
    <mergeCell ref="C29:D30"/>
    <mergeCell ref="E38:F39"/>
    <mergeCell ref="J4:K4"/>
    <mergeCell ref="B10:J13"/>
    <mergeCell ref="B15:J16"/>
    <mergeCell ref="B18:J19"/>
    <mergeCell ref="B21:J23"/>
    <mergeCell ref="B25:J26"/>
  </mergeCells>
  <pageMargins left="0.7" right="0.7" top="0.75" bottom="0.75" header="0.3" footer="0.3"/>
  <pageSetup orientation="portrait" r:id="rId1"/>
  <ignoredErrors>
    <ignoredError sqref="J4"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B9277-86EC-48E1-BF7D-B9CA0BC76F0B}">
  <sheetPr>
    <tabColor theme="4" tint="0.39997558519241921"/>
    <pageSetUpPr fitToPage="1"/>
  </sheetPr>
  <dimension ref="A2:O25"/>
  <sheetViews>
    <sheetView zoomScale="90" zoomScaleNormal="90" workbookViewId="0">
      <selection activeCell="J22" sqref="J22"/>
    </sheetView>
  </sheetViews>
  <sheetFormatPr baseColWidth="10" defaultColWidth="11.42578125" defaultRowHeight="15" x14ac:dyDescent="0.25"/>
  <cols>
    <col min="1" max="1" width="38.140625" style="335" bestFit="1" customWidth="1"/>
    <col min="2" max="13" width="13.85546875" style="335" bestFit="1" customWidth="1"/>
    <col min="14" max="14" width="14.85546875" style="335" bestFit="1" customWidth="1"/>
    <col min="15" max="15" width="13.85546875" style="335" bestFit="1" customWidth="1"/>
    <col min="16" max="16384" width="11.42578125" style="335"/>
  </cols>
  <sheetData>
    <row r="2" spans="1:15" ht="15.75" x14ac:dyDescent="0.25">
      <c r="A2" s="753" t="s">
        <v>238</v>
      </c>
      <c r="B2" s="753"/>
      <c r="C2" s="753"/>
      <c r="D2" s="753"/>
    </row>
    <row r="4" spans="1:15" x14ac:dyDescent="0.25">
      <c r="A4" s="336" t="s">
        <v>244</v>
      </c>
      <c r="B4" s="337" t="s">
        <v>221</v>
      </c>
      <c r="C4" s="337" t="s">
        <v>222</v>
      </c>
      <c r="D4" s="337" t="s">
        <v>223</v>
      </c>
      <c r="E4" s="337" t="s">
        <v>224</v>
      </c>
      <c r="F4" s="337" t="s">
        <v>225</v>
      </c>
      <c r="G4" s="337" t="s">
        <v>226</v>
      </c>
      <c r="H4" s="337" t="s">
        <v>227</v>
      </c>
      <c r="I4" s="337" t="s">
        <v>228</v>
      </c>
      <c r="J4" s="337" t="s">
        <v>229</v>
      </c>
      <c r="K4" s="337" t="s">
        <v>230</v>
      </c>
      <c r="L4" s="337" t="s">
        <v>231</v>
      </c>
      <c r="M4" s="337" t="s">
        <v>232</v>
      </c>
    </row>
    <row r="5" spans="1:15" x14ac:dyDescent="0.25">
      <c r="A5" s="338" t="s">
        <v>239</v>
      </c>
      <c r="B5" s="339"/>
      <c r="C5" s="339"/>
      <c r="D5" s="339">
        <f>+'B) Reajuste Tarifas y Ocupación'!$I$30</f>
        <v>37</v>
      </c>
      <c r="E5" s="339">
        <f>+'B) Reajuste Tarifas y Ocupación'!$I$30</f>
        <v>37</v>
      </c>
      <c r="F5" s="339">
        <f>+'B) Reajuste Tarifas y Ocupación'!$I$30</f>
        <v>37</v>
      </c>
      <c r="G5" s="339">
        <f>+'B) Reajuste Tarifas y Ocupación'!$I$30</f>
        <v>37</v>
      </c>
      <c r="H5" s="339">
        <f>+'B) Reajuste Tarifas y Ocupación'!$I$30</f>
        <v>37</v>
      </c>
      <c r="I5" s="339">
        <f>+'B) Reajuste Tarifas y Ocupación'!$I$30</f>
        <v>37</v>
      </c>
      <c r="J5" s="339">
        <f>+'B) Reajuste Tarifas y Ocupación'!$I$30</f>
        <v>37</v>
      </c>
      <c r="K5" s="339">
        <f>+'B) Reajuste Tarifas y Ocupación'!$I$30</f>
        <v>37</v>
      </c>
      <c r="L5" s="339">
        <f>+'B) Reajuste Tarifas y Ocupación'!$I$30</f>
        <v>37</v>
      </c>
      <c r="M5" s="339">
        <f>+'B) Reajuste Tarifas y Ocupación'!$I$30</f>
        <v>37</v>
      </c>
    </row>
    <row r="6" spans="1:15" x14ac:dyDescent="0.25">
      <c r="A6" s="338" t="s">
        <v>240</v>
      </c>
      <c r="B6" s="339">
        <f>+COUNTA('F) Remuneraciones'!$C$11:$C$25)</f>
        <v>10</v>
      </c>
      <c r="C6" s="339">
        <f>+COUNTA('F) Remuneraciones'!$C$11:$C$25)</f>
        <v>10</v>
      </c>
      <c r="D6" s="339">
        <f>+COUNTA('F) Remuneraciones'!$C$11:$C$25)</f>
        <v>10</v>
      </c>
      <c r="E6" s="339">
        <f>+COUNTA('F) Remuneraciones'!$C$11:$C$25)</f>
        <v>10</v>
      </c>
      <c r="F6" s="339">
        <f>+COUNTA('F) Remuneraciones'!$C$11:$C$25)</f>
        <v>10</v>
      </c>
      <c r="G6" s="339">
        <f>+COUNTA('F) Remuneraciones'!$C$11:$C$25)</f>
        <v>10</v>
      </c>
      <c r="H6" s="339">
        <f>+COUNTA('F) Remuneraciones'!$C$11:$C$25)</f>
        <v>10</v>
      </c>
      <c r="I6" s="339">
        <f>+COUNTA('F) Remuneraciones'!$C$11:$C$25)</f>
        <v>10</v>
      </c>
      <c r="J6" s="339">
        <f>+COUNTA('F) Remuneraciones'!$C$11:$C$25)</f>
        <v>10</v>
      </c>
      <c r="K6" s="339">
        <f>+COUNTA('F) Remuneraciones'!$C$11:$C$25)</f>
        <v>10</v>
      </c>
      <c r="L6" s="339">
        <f>+COUNTA('F) Remuneraciones'!$C$11:$C$25)</f>
        <v>10</v>
      </c>
      <c r="M6" s="339">
        <f>+COUNTA('F) Remuneraciones'!$C$11:$C$25)</f>
        <v>10</v>
      </c>
    </row>
    <row r="7" spans="1:15" x14ac:dyDescent="0.25">
      <c r="A7" s="338"/>
      <c r="B7" s="340"/>
      <c r="C7" s="340"/>
      <c r="D7" s="340"/>
      <c r="E7" s="340"/>
      <c r="F7" s="340"/>
      <c r="G7" s="340"/>
      <c r="H7" s="340"/>
      <c r="I7" s="340"/>
      <c r="J7" s="340"/>
      <c r="K7" s="340"/>
      <c r="L7" s="340"/>
      <c r="M7" s="340"/>
    </row>
    <row r="8" spans="1:15" ht="30" x14ac:dyDescent="0.25">
      <c r="A8" s="341" t="str">
        <f>+'A) Resumen Ingresos y Egresos'!A20</f>
        <v>Jardín Infantil Mar y Cielo</v>
      </c>
      <c r="B8" s="337" t="s">
        <v>221</v>
      </c>
      <c r="C8" s="337" t="s">
        <v>222</v>
      </c>
      <c r="D8" s="337" t="s">
        <v>223</v>
      </c>
      <c r="E8" s="337" t="s">
        <v>224</v>
      </c>
      <c r="F8" s="337" t="s">
        <v>225</v>
      </c>
      <c r="G8" s="337" t="s">
        <v>226</v>
      </c>
      <c r="H8" s="337" t="s">
        <v>227</v>
      </c>
      <c r="I8" s="337" t="s">
        <v>228</v>
      </c>
      <c r="J8" s="337" t="s">
        <v>229</v>
      </c>
      <c r="K8" s="337" t="s">
        <v>230</v>
      </c>
      <c r="L8" s="337" t="s">
        <v>231</v>
      </c>
      <c r="M8" s="337" t="s">
        <v>232</v>
      </c>
      <c r="N8" s="337" t="s">
        <v>241</v>
      </c>
    </row>
    <row r="9" spans="1:15" x14ac:dyDescent="0.25">
      <c r="A9" s="342" t="s">
        <v>233</v>
      </c>
      <c r="B9" s="343">
        <f>+'A) Resumen Ingresos y Egresos'!P32</f>
        <v>0</v>
      </c>
      <c r="C9" s="343">
        <f>+'A) Resumen Ingresos y Egresos'!N32*0.7</f>
        <v>5182940</v>
      </c>
      <c r="D9" s="343">
        <f>+'A) Resumen Ingresos y Egresos'!N32*0.3+'A) Resumen Ingresos y Egresos'!O32*0.1</f>
        <v>9625460</v>
      </c>
      <c r="E9" s="343">
        <f>+'A) Resumen Ingresos y Egresos'!$O$32*0.1</f>
        <v>7404200</v>
      </c>
      <c r="F9" s="343">
        <f>+'A) Resumen Ingresos y Egresos'!$O$32*0.1</f>
        <v>7404200</v>
      </c>
      <c r="G9" s="343">
        <f>+'A) Resumen Ingresos y Egresos'!$O$32*0.1</f>
        <v>7404200</v>
      </c>
      <c r="H9" s="343">
        <f>+'A) Resumen Ingresos y Egresos'!$O$32*0.1</f>
        <v>7404200</v>
      </c>
      <c r="I9" s="343">
        <f>+'A) Resumen Ingresos y Egresos'!$O$32*0.1</f>
        <v>7404200</v>
      </c>
      <c r="J9" s="343">
        <f>+'A) Resumen Ingresos y Egresos'!$O$32*0.1</f>
        <v>7404200</v>
      </c>
      <c r="K9" s="343">
        <f>+'A) Resumen Ingresos y Egresos'!$O$32*0.1</f>
        <v>7404200</v>
      </c>
      <c r="L9" s="343">
        <f>+'A) Resumen Ingresos y Egresos'!$O$32*0.1</f>
        <v>7404200</v>
      </c>
      <c r="M9" s="343">
        <f>+'A) Resumen Ingresos y Egresos'!$O$32*0.1</f>
        <v>7404200</v>
      </c>
      <c r="N9" s="344">
        <f>SUM(B9:M9)</f>
        <v>81446200</v>
      </c>
    </row>
    <row r="10" spans="1:15" x14ac:dyDescent="0.25">
      <c r="A10" s="342" t="s">
        <v>234</v>
      </c>
      <c r="B10" s="343">
        <f>SUM('F) Remuneraciones'!$H$11:$H$25)/12</f>
        <v>330155.07</v>
      </c>
      <c r="C10" s="343">
        <f>SUM('F) Remuneraciones'!$H$11:$H$25)/12</f>
        <v>330155.07</v>
      </c>
      <c r="D10" s="343">
        <f>SUM('F) Remuneraciones'!$H$11:$H$25)/12</f>
        <v>330155.07</v>
      </c>
      <c r="E10" s="343">
        <f>SUM('F) Remuneraciones'!$H$11:$H$25)/12</f>
        <v>330155.07</v>
      </c>
      <c r="F10" s="343">
        <f>SUM('F) Remuneraciones'!$H$11:$H$25)/12</f>
        <v>330155.07</v>
      </c>
      <c r="G10" s="343">
        <f>SUM('F) Remuneraciones'!$H$11:$H$25)/12</f>
        <v>330155.07</v>
      </c>
      <c r="H10" s="343">
        <f>SUM('F) Remuneraciones'!$H$11:$H$25)/12</f>
        <v>330155.07</v>
      </c>
      <c r="I10" s="343">
        <f>SUM('F) Remuneraciones'!$H$11:$H$25)/12</f>
        <v>330155.07</v>
      </c>
      <c r="J10" s="343">
        <f>SUM('F) Remuneraciones'!$H$11:$H$25)/12</f>
        <v>330155.07</v>
      </c>
      <c r="K10" s="343">
        <f>SUM('F) Remuneraciones'!$H$11:$H$25)/12</f>
        <v>330155.07</v>
      </c>
      <c r="L10" s="343">
        <f>SUM('F) Remuneraciones'!$H$11:$H$25)/12</f>
        <v>330155.07</v>
      </c>
      <c r="M10" s="343">
        <f>SUM('F) Remuneraciones'!$H$11:$H$25)/12</f>
        <v>330155.07</v>
      </c>
      <c r="N10" s="344">
        <f t="shared" ref="N10:N12" si="0">SUM(B10:M10)</f>
        <v>3961860.8399999994</v>
      </c>
    </row>
    <row r="11" spans="1:15" x14ac:dyDescent="0.25">
      <c r="A11" s="342" t="s">
        <v>236</v>
      </c>
      <c r="B11" s="343">
        <f>SUM('F) Remuneraciones'!I11:I25)*0.5</f>
        <v>165270</v>
      </c>
      <c r="C11" s="343">
        <v>0</v>
      </c>
      <c r="D11" s="343">
        <v>0</v>
      </c>
      <c r="E11" s="343">
        <v>0</v>
      </c>
      <c r="F11" s="343">
        <v>0</v>
      </c>
      <c r="G11" s="343">
        <v>0</v>
      </c>
      <c r="H11" s="343">
        <v>0</v>
      </c>
      <c r="I11" s="343">
        <v>0</v>
      </c>
      <c r="J11" s="343">
        <f>SUM('F) Remuneraciones'!J11:J25)*0.5</f>
        <v>82745</v>
      </c>
      <c r="K11" s="343">
        <v>0</v>
      </c>
      <c r="L11" s="343">
        <v>0</v>
      </c>
      <c r="M11" s="343">
        <f>+B11+J11</f>
        <v>248015</v>
      </c>
      <c r="N11" s="344">
        <f t="shared" si="0"/>
        <v>496030</v>
      </c>
    </row>
    <row r="12" spans="1:15" x14ac:dyDescent="0.25">
      <c r="A12" s="342" t="s">
        <v>235</v>
      </c>
      <c r="B12" s="343">
        <f>(+'C) Costos Directos'!$H$75-'C) Costos Directos'!$D$14)/12</f>
        <v>3540372.5423666672</v>
      </c>
      <c r="C12" s="343">
        <f>(+'C) Costos Directos'!$H$75-'C) Costos Directos'!$D$14)/12</f>
        <v>3540372.5423666672</v>
      </c>
      <c r="D12" s="343">
        <f>(+'C) Costos Directos'!$H$75-'C) Costos Directos'!$D$14)/12</f>
        <v>3540372.5423666672</v>
      </c>
      <c r="E12" s="343">
        <f>(+'C) Costos Directos'!$H$75-'C) Costos Directos'!$D$14)/12</f>
        <v>3540372.5423666672</v>
      </c>
      <c r="F12" s="343">
        <f>(+'C) Costos Directos'!$H$75-'C) Costos Directos'!$D$14)/12</f>
        <v>3540372.5423666672</v>
      </c>
      <c r="G12" s="343">
        <f>(+'C) Costos Directos'!$H$75-'C) Costos Directos'!$D$14)/12</f>
        <v>3540372.5423666672</v>
      </c>
      <c r="H12" s="343">
        <f>(+'C) Costos Directos'!$H$75-'C) Costos Directos'!$D$14)/12</f>
        <v>3540372.5423666672</v>
      </c>
      <c r="I12" s="343">
        <f>(+'C) Costos Directos'!$H$75-'C) Costos Directos'!$D$14)/12</f>
        <v>3540372.5423666672</v>
      </c>
      <c r="J12" s="343">
        <f>(+'C) Costos Directos'!$H$75-'C) Costos Directos'!$D$14)/12</f>
        <v>3540372.5423666672</v>
      </c>
      <c r="K12" s="343">
        <f>(+'C) Costos Directos'!$H$75-'C) Costos Directos'!$D$14)/12</f>
        <v>3540372.5423666672</v>
      </c>
      <c r="L12" s="343">
        <f>(+'C) Costos Directos'!$H$75-'C) Costos Directos'!$D$14)/12</f>
        <v>3540372.5423666672</v>
      </c>
      <c r="M12" s="343">
        <f>(+'C) Costos Directos'!$H$75-'C) Costos Directos'!$D$14)/12</f>
        <v>3540372.5423666672</v>
      </c>
      <c r="N12" s="344">
        <f t="shared" si="0"/>
        <v>42484470.508400016</v>
      </c>
      <c r="O12" s="343"/>
    </row>
    <row r="13" spans="1:15" x14ac:dyDescent="0.25">
      <c r="A13" s="345" t="s">
        <v>242</v>
      </c>
      <c r="B13" s="346">
        <f t="shared" ref="B13:M13" si="1">+B9-B10-B11-B12</f>
        <v>-4035797.612366667</v>
      </c>
      <c r="C13" s="346">
        <f t="shared" si="1"/>
        <v>1312412.3876333325</v>
      </c>
      <c r="D13" s="346">
        <f t="shared" si="1"/>
        <v>5754932.387633333</v>
      </c>
      <c r="E13" s="346">
        <f t="shared" si="1"/>
        <v>3533672.3876333325</v>
      </c>
      <c r="F13" s="346">
        <f t="shared" si="1"/>
        <v>3533672.3876333325</v>
      </c>
      <c r="G13" s="346">
        <f t="shared" si="1"/>
        <v>3533672.3876333325</v>
      </c>
      <c r="H13" s="346">
        <f t="shared" si="1"/>
        <v>3533672.3876333325</v>
      </c>
      <c r="I13" s="346">
        <f t="shared" si="1"/>
        <v>3533672.3876333325</v>
      </c>
      <c r="J13" s="346">
        <f t="shared" si="1"/>
        <v>3450927.3876333325</v>
      </c>
      <c r="K13" s="346">
        <f t="shared" si="1"/>
        <v>3533672.3876333325</v>
      </c>
      <c r="L13" s="346">
        <f t="shared" si="1"/>
        <v>3533672.3876333325</v>
      </c>
      <c r="M13" s="346">
        <f t="shared" si="1"/>
        <v>3285657.3876333325</v>
      </c>
      <c r="N13" s="346">
        <f>+N9-N10-N11-N12</f>
        <v>34503838.651599981</v>
      </c>
      <c r="O13" s="343"/>
    </row>
    <row r="16" spans="1:15" x14ac:dyDescent="0.25">
      <c r="A16" s="336" t="s">
        <v>244</v>
      </c>
      <c r="B16" s="337" t="s">
        <v>221</v>
      </c>
      <c r="C16" s="337" t="s">
        <v>222</v>
      </c>
      <c r="D16" s="337" t="s">
        <v>223</v>
      </c>
      <c r="E16" s="337" t="s">
        <v>224</v>
      </c>
      <c r="F16" s="337" t="s">
        <v>225</v>
      </c>
      <c r="G16" s="337" t="s">
        <v>226</v>
      </c>
      <c r="H16" s="337" t="s">
        <v>227</v>
      </c>
      <c r="I16" s="337" t="s">
        <v>228</v>
      </c>
      <c r="J16" s="337" t="s">
        <v>229</v>
      </c>
      <c r="K16" s="337" t="s">
        <v>230</v>
      </c>
      <c r="L16" s="337" t="s">
        <v>231</v>
      </c>
      <c r="M16" s="337" t="s">
        <v>232</v>
      </c>
    </row>
    <row r="17" spans="1:14" x14ac:dyDescent="0.25">
      <c r="A17" s="338" t="s">
        <v>239</v>
      </c>
      <c r="B17" s="339"/>
      <c r="C17" s="339"/>
      <c r="D17" s="339">
        <f>+'B) Reajuste Tarifas y Ocupación'!$I$33</f>
        <v>12</v>
      </c>
      <c r="E17" s="339">
        <f>+'B) Reajuste Tarifas y Ocupación'!$I$33</f>
        <v>12</v>
      </c>
      <c r="F17" s="339">
        <f>+'B) Reajuste Tarifas y Ocupación'!$I$33</f>
        <v>12</v>
      </c>
      <c r="G17" s="339">
        <f>+'B) Reajuste Tarifas y Ocupación'!$I$33</f>
        <v>12</v>
      </c>
      <c r="H17" s="339">
        <f>+'B) Reajuste Tarifas y Ocupación'!$I$33</f>
        <v>12</v>
      </c>
      <c r="I17" s="339">
        <f>+'B) Reajuste Tarifas y Ocupación'!$I$33</f>
        <v>12</v>
      </c>
      <c r="J17" s="339">
        <f>+'B) Reajuste Tarifas y Ocupación'!$I$33</f>
        <v>12</v>
      </c>
      <c r="K17" s="339">
        <f>+'B) Reajuste Tarifas y Ocupación'!$I$33</f>
        <v>12</v>
      </c>
      <c r="L17" s="339">
        <f>+'B) Reajuste Tarifas y Ocupación'!$I$33</f>
        <v>12</v>
      </c>
      <c r="M17" s="339">
        <f>+'B) Reajuste Tarifas y Ocupación'!$I$33</f>
        <v>12</v>
      </c>
    </row>
    <row r="18" spans="1:14" x14ac:dyDescent="0.25">
      <c r="A18" s="338" t="s">
        <v>240</v>
      </c>
      <c r="B18" s="339">
        <f>+COUNTA('F) Remuneraciones'!$C$26:$C$40)</f>
        <v>5</v>
      </c>
      <c r="C18" s="339">
        <f>+COUNTA('F) Remuneraciones'!$C$26:$C$40)</f>
        <v>5</v>
      </c>
      <c r="D18" s="339">
        <f>+COUNTA('F) Remuneraciones'!$C$26:$C$40)</f>
        <v>5</v>
      </c>
      <c r="E18" s="339">
        <f>+COUNTA('F) Remuneraciones'!$C$26:$C$40)</f>
        <v>5</v>
      </c>
      <c r="F18" s="339">
        <f>+COUNTA('F) Remuneraciones'!$C$26:$C$40)</f>
        <v>5</v>
      </c>
      <c r="G18" s="339">
        <f>+COUNTA('F) Remuneraciones'!$C$26:$C$40)</f>
        <v>5</v>
      </c>
      <c r="H18" s="339">
        <f>+COUNTA('F) Remuneraciones'!$C$26:$C$40)</f>
        <v>5</v>
      </c>
      <c r="I18" s="339">
        <f>+COUNTA('F) Remuneraciones'!$C$26:$C$40)</f>
        <v>5</v>
      </c>
      <c r="J18" s="339">
        <f>+COUNTA('F) Remuneraciones'!$C$26:$C$40)</f>
        <v>5</v>
      </c>
      <c r="K18" s="339">
        <f>+COUNTA('F) Remuneraciones'!$C$26:$C$40)</f>
        <v>5</v>
      </c>
      <c r="L18" s="339">
        <f>+COUNTA('F) Remuneraciones'!$C$26:$C$40)</f>
        <v>5</v>
      </c>
      <c r="M18" s="339">
        <f>+COUNTA('F) Remuneraciones'!$C$26:$C$40)</f>
        <v>5</v>
      </c>
    </row>
    <row r="19" spans="1:14" x14ac:dyDescent="0.25">
      <c r="A19" s="338"/>
      <c r="B19" s="340"/>
      <c r="C19" s="340"/>
      <c r="D19" s="340"/>
      <c r="E19" s="340"/>
      <c r="F19" s="340"/>
      <c r="G19" s="340"/>
      <c r="H19" s="340"/>
      <c r="I19" s="340"/>
      <c r="J19" s="340"/>
      <c r="K19" s="340"/>
      <c r="L19" s="340"/>
      <c r="M19" s="340"/>
    </row>
    <row r="20" spans="1:14" ht="30" x14ac:dyDescent="0.25">
      <c r="A20" s="341" t="str">
        <f>+'A) Resumen Ingresos y Egresos'!A33</f>
        <v>Sala Cuna Mar y Cielo Diurna</v>
      </c>
      <c r="B20" s="337" t="s">
        <v>221</v>
      </c>
      <c r="C20" s="337" t="s">
        <v>222</v>
      </c>
      <c r="D20" s="337" t="s">
        <v>223</v>
      </c>
      <c r="E20" s="337" t="s">
        <v>224</v>
      </c>
      <c r="F20" s="337" t="s">
        <v>225</v>
      </c>
      <c r="G20" s="337" t="s">
        <v>226</v>
      </c>
      <c r="H20" s="337" t="s">
        <v>227</v>
      </c>
      <c r="I20" s="337" t="s">
        <v>228</v>
      </c>
      <c r="J20" s="337" t="s">
        <v>229</v>
      </c>
      <c r="K20" s="337" t="s">
        <v>230</v>
      </c>
      <c r="L20" s="337" t="s">
        <v>231</v>
      </c>
      <c r="M20" s="337" t="s">
        <v>232</v>
      </c>
      <c r="N20" s="337" t="s">
        <v>241</v>
      </c>
    </row>
    <row r="21" spans="1:14" x14ac:dyDescent="0.25">
      <c r="A21" s="342" t="s">
        <v>233</v>
      </c>
      <c r="B21" s="343">
        <f>(+'A) Resumen Ingresos y Egresos'!$N$42+'A) Resumen Ingresos y Egresos'!$O$42)/12</f>
        <v>4773600</v>
      </c>
      <c r="C21" s="343">
        <f>(+'A) Resumen Ingresos y Egresos'!$N$42+'A) Resumen Ingresos y Egresos'!$O$42)/12</f>
        <v>4773600</v>
      </c>
      <c r="D21" s="343">
        <f>(+'A) Resumen Ingresos y Egresos'!$N$42+'A) Resumen Ingresos y Egresos'!$O$42)/12</f>
        <v>4773600</v>
      </c>
      <c r="E21" s="343">
        <f>(+'A) Resumen Ingresos y Egresos'!$N$42+'A) Resumen Ingresos y Egresos'!$O$42)/12</f>
        <v>4773600</v>
      </c>
      <c r="F21" s="343">
        <f>(+'A) Resumen Ingresos y Egresos'!$N$42+'A) Resumen Ingresos y Egresos'!$O$42)/12</f>
        <v>4773600</v>
      </c>
      <c r="G21" s="343">
        <f>(+'A) Resumen Ingresos y Egresos'!$N$42+'A) Resumen Ingresos y Egresos'!$O$42)/12</f>
        <v>4773600</v>
      </c>
      <c r="H21" s="343">
        <f>(+'A) Resumen Ingresos y Egresos'!$N$42+'A) Resumen Ingresos y Egresos'!$O$42)/12</f>
        <v>4773600</v>
      </c>
      <c r="I21" s="343">
        <f>(+'A) Resumen Ingresos y Egresos'!$N$42+'A) Resumen Ingresos y Egresos'!$O$42)/12</f>
        <v>4773600</v>
      </c>
      <c r="J21" s="343">
        <f>(+'A) Resumen Ingresos y Egresos'!$N$42+'A) Resumen Ingresos y Egresos'!$O$42)/12</f>
        <v>4773600</v>
      </c>
      <c r="K21" s="343">
        <f>(+'A) Resumen Ingresos y Egresos'!$N$42+'A) Resumen Ingresos y Egresos'!$O$42)/12</f>
        <v>4773600</v>
      </c>
      <c r="L21" s="343">
        <f>(+'A) Resumen Ingresos y Egresos'!$N$42+'A) Resumen Ingresos y Egresos'!$O$42)/12</f>
        <v>4773600</v>
      </c>
      <c r="M21" s="343">
        <f>(+'A) Resumen Ingresos y Egresos'!$N$42+'A) Resumen Ingresos y Egresos'!$O$42)/12</f>
        <v>4773600</v>
      </c>
      <c r="N21" s="344">
        <f>SUM(B21:M21)</f>
        <v>57283200</v>
      </c>
    </row>
    <row r="22" spans="1:14" x14ac:dyDescent="0.25">
      <c r="A22" s="342" t="s">
        <v>234</v>
      </c>
      <c r="B22" s="343">
        <f>SUM('F) Remuneraciones'!$H$26:$H$40)/12</f>
        <v>1948398.54</v>
      </c>
      <c r="C22" s="343">
        <f>SUM('F) Remuneraciones'!$H$26:$H$40)/12</f>
        <v>1948398.54</v>
      </c>
      <c r="D22" s="343">
        <f>SUM('F) Remuneraciones'!$H$26:$H$40)/12</f>
        <v>1948398.54</v>
      </c>
      <c r="E22" s="343">
        <f>SUM('F) Remuneraciones'!$H$26:$H$40)/12</f>
        <v>1948398.54</v>
      </c>
      <c r="F22" s="343">
        <f>SUM('F) Remuneraciones'!$H$26:$H$40)/12</f>
        <v>1948398.54</v>
      </c>
      <c r="G22" s="343">
        <f>SUM('F) Remuneraciones'!$H$26:$H$40)/12</f>
        <v>1948398.54</v>
      </c>
      <c r="H22" s="343">
        <f>SUM('F) Remuneraciones'!$H$26:$H$40)/12</f>
        <v>1948398.54</v>
      </c>
      <c r="I22" s="343">
        <f>SUM('F) Remuneraciones'!$H$26:$H$40)/12</f>
        <v>1948398.54</v>
      </c>
      <c r="J22" s="343">
        <f>SUM('F) Remuneraciones'!$H$26:$H$40)/12</f>
        <v>1948398.54</v>
      </c>
      <c r="K22" s="343">
        <f>SUM('F) Remuneraciones'!$H$26:$H$40)/12</f>
        <v>1948398.54</v>
      </c>
      <c r="L22" s="343">
        <f>SUM('F) Remuneraciones'!$H$26:$H$40)/12</f>
        <v>1948398.54</v>
      </c>
      <c r="M22" s="343">
        <f>SUM('F) Remuneraciones'!$H$26:$H$40)/12</f>
        <v>1948398.54</v>
      </c>
      <c r="N22" s="344">
        <f t="shared" ref="N22:N24" si="2">SUM(B22:M22)</f>
        <v>23380782.479999993</v>
      </c>
    </row>
    <row r="23" spans="1:14" x14ac:dyDescent="0.25">
      <c r="A23" s="342" t="s">
        <v>236</v>
      </c>
      <c r="B23" s="343">
        <f>SUM('F) Remuneraciones'!I26:I40)*0.5</f>
        <v>330540</v>
      </c>
      <c r="C23" s="343">
        <v>0</v>
      </c>
      <c r="D23" s="343">
        <v>0</v>
      </c>
      <c r="E23" s="343">
        <v>0</v>
      </c>
      <c r="F23" s="343">
        <v>0</v>
      </c>
      <c r="G23" s="343">
        <v>0</v>
      </c>
      <c r="H23" s="343">
        <v>0</v>
      </c>
      <c r="I23" s="343">
        <v>0</v>
      </c>
      <c r="J23" s="343">
        <f>SUM('F) Remuneraciones'!J26:J40)*0.5</f>
        <v>166178</v>
      </c>
      <c r="K23" s="343">
        <v>0</v>
      </c>
      <c r="L23" s="343">
        <v>0</v>
      </c>
      <c r="M23" s="343">
        <f>+B23+J23</f>
        <v>496718</v>
      </c>
      <c r="N23" s="344">
        <f t="shared" si="2"/>
        <v>993436</v>
      </c>
    </row>
    <row r="24" spans="1:14" x14ac:dyDescent="0.25">
      <c r="A24" s="342" t="s">
        <v>235</v>
      </c>
      <c r="B24" s="343">
        <f>(+'C) Costos Directos'!$H$141-'C) Costos Directos'!$D$80)/12</f>
        <v>1063003.0487333334</v>
      </c>
      <c r="C24" s="343">
        <f>(+'C) Costos Directos'!$H$141-'C) Costos Directos'!$D$80)/12</f>
        <v>1063003.0487333334</v>
      </c>
      <c r="D24" s="343">
        <f>(+'C) Costos Directos'!$H$141-'C) Costos Directos'!$D$80)/12</f>
        <v>1063003.0487333334</v>
      </c>
      <c r="E24" s="343">
        <f>(+'C) Costos Directos'!$H$141-'C) Costos Directos'!$D$80)/12</f>
        <v>1063003.0487333334</v>
      </c>
      <c r="F24" s="343">
        <f>(+'C) Costos Directos'!$H$141-'C) Costos Directos'!$D$80)/12</f>
        <v>1063003.0487333334</v>
      </c>
      <c r="G24" s="343">
        <f>(+'C) Costos Directos'!$H$141-'C) Costos Directos'!$D$80)/12</f>
        <v>1063003.0487333334</v>
      </c>
      <c r="H24" s="343">
        <f>(+'C) Costos Directos'!$H$141-'C) Costos Directos'!$D$80)/12</f>
        <v>1063003.0487333334</v>
      </c>
      <c r="I24" s="343">
        <f>(+'C) Costos Directos'!$H$141-'C) Costos Directos'!$D$80)/12</f>
        <v>1063003.0487333334</v>
      </c>
      <c r="J24" s="343">
        <f>(+'C) Costos Directos'!$H$141-'C) Costos Directos'!$D$80)/12</f>
        <v>1063003.0487333334</v>
      </c>
      <c r="K24" s="343">
        <f>(+'C) Costos Directos'!$H$141-'C) Costos Directos'!$D$80)/12</f>
        <v>1063003.0487333334</v>
      </c>
      <c r="L24" s="343">
        <f>(+'C) Costos Directos'!$H$141-'C) Costos Directos'!$D$80)/12</f>
        <v>1063003.0487333334</v>
      </c>
      <c r="M24" s="343">
        <f>(+'C) Costos Directos'!$H$141-'C) Costos Directos'!$D$80)/12</f>
        <v>1063003.0487333334</v>
      </c>
      <c r="N24" s="344">
        <f t="shared" si="2"/>
        <v>12756036.584799999</v>
      </c>
    </row>
    <row r="25" spans="1:14" x14ac:dyDescent="0.25">
      <c r="A25" s="345" t="s">
        <v>242</v>
      </c>
      <c r="B25" s="346">
        <f t="shared" ref="B25:M25" si="3">+B21-B22-B23-B24</f>
        <v>1431658.4112666666</v>
      </c>
      <c r="C25" s="346">
        <f t="shared" si="3"/>
        <v>1762198.4112666666</v>
      </c>
      <c r="D25" s="346">
        <f t="shared" si="3"/>
        <v>1762198.4112666666</v>
      </c>
      <c r="E25" s="346">
        <f t="shared" si="3"/>
        <v>1762198.4112666666</v>
      </c>
      <c r="F25" s="346">
        <f t="shared" si="3"/>
        <v>1762198.4112666666</v>
      </c>
      <c r="G25" s="346">
        <f t="shared" si="3"/>
        <v>1762198.4112666666</v>
      </c>
      <c r="H25" s="346">
        <f t="shared" si="3"/>
        <v>1762198.4112666666</v>
      </c>
      <c r="I25" s="346">
        <f t="shared" si="3"/>
        <v>1762198.4112666666</v>
      </c>
      <c r="J25" s="346">
        <f t="shared" si="3"/>
        <v>1596020.4112666666</v>
      </c>
      <c r="K25" s="346">
        <f t="shared" si="3"/>
        <v>1762198.4112666666</v>
      </c>
      <c r="L25" s="346">
        <f t="shared" si="3"/>
        <v>1762198.4112666666</v>
      </c>
      <c r="M25" s="346">
        <f t="shared" si="3"/>
        <v>1265480.4112666666</v>
      </c>
      <c r="N25" s="346">
        <f>+N21-N22-N23-N24</f>
        <v>20152944.935200013</v>
      </c>
    </row>
  </sheetData>
  <sheetProtection algorithmName="SHA-512" hashValue="En3oEGidu7KZ6KZydhW80Wces98VBsGeYkoP7zu8a9Gy/+eJQeAu0M1Y4oySmWjvx0/SQ6qXUmlXMY4AtiG+Fg==" saltValue="tJcOKFxKkwXW4ZO9MCbVXg==" spinCount="100000" sheet="1" objects="1" scenarios="1"/>
  <mergeCells count="1">
    <mergeCell ref="A2:D2"/>
  </mergeCells>
  <pageMargins left="0.7" right="0.7" top="0.75" bottom="0.75" header="0.3" footer="0.3"/>
  <pageSetup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00FF"/>
  </sheetPr>
  <dimension ref="B1:S56"/>
  <sheetViews>
    <sheetView showGridLines="0" zoomScale="80" zoomScaleNormal="80" workbookViewId="0">
      <selection activeCell="O41" sqref="O41"/>
    </sheetView>
  </sheetViews>
  <sheetFormatPr baseColWidth="10" defaultColWidth="11.42578125" defaultRowHeight="12.75" x14ac:dyDescent="0.2"/>
  <sheetData>
    <row r="1" spans="2:11" x14ac:dyDescent="0.2">
      <c r="H1" s="31"/>
    </row>
    <row r="2" spans="2:11" x14ac:dyDescent="0.2">
      <c r="H2" s="31" t="s">
        <v>85</v>
      </c>
    </row>
    <row r="5" spans="2:11" x14ac:dyDescent="0.2">
      <c r="B5" s="710" t="s">
        <v>156</v>
      </c>
      <c r="C5" s="710"/>
      <c r="D5" s="710"/>
      <c r="E5" s="710"/>
      <c r="F5" s="710"/>
    </row>
    <row r="7" spans="2:11" x14ac:dyDescent="0.2">
      <c r="C7" s="68" t="s">
        <v>141</v>
      </c>
      <c r="D7" s="68"/>
      <c r="E7" s="68"/>
      <c r="F7" s="68"/>
      <c r="G7" s="68"/>
      <c r="H7" s="68"/>
      <c r="I7" s="68"/>
      <c r="J7" s="68"/>
      <c r="K7" s="68"/>
    </row>
    <row r="9" spans="2:11" x14ac:dyDescent="0.2">
      <c r="C9" s="68" t="s">
        <v>142</v>
      </c>
      <c r="D9" s="68"/>
      <c r="E9" s="68"/>
      <c r="F9" s="68"/>
      <c r="G9" s="68"/>
      <c r="H9" s="68"/>
    </row>
    <row r="11" spans="2:11" x14ac:dyDescent="0.2">
      <c r="B11" s="710" t="s">
        <v>157</v>
      </c>
      <c r="C11" s="710"/>
      <c r="D11" s="710"/>
      <c r="E11" s="710"/>
      <c r="F11" s="710"/>
    </row>
    <row r="13" spans="2:11" x14ac:dyDescent="0.2">
      <c r="C13" s="69" t="s">
        <v>143</v>
      </c>
      <c r="D13" s="69"/>
      <c r="E13" s="69"/>
      <c r="F13" s="69"/>
      <c r="G13" s="69"/>
      <c r="H13" s="69"/>
    </row>
    <row r="15" spans="2:11" x14ac:dyDescent="0.2">
      <c r="C15" s="69" t="s">
        <v>144</v>
      </c>
      <c r="D15" s="69"/>
      <c r="E15" s="69"/>
      <c r="F15" s="69"/>
      <c r="G15" s="69"/>
      <c r="H15" s="69"/>
    </row>
    <row r="19" spans="2:16" x14ac:dyDescent="0.2">
      <c r="B19" s="710" t="s">
        <v>158</v>
      </c>
      <c r="C19" s="710"/>
      <c r="D19" s="710"/>
      <c r="E19" s="710"/>
      <c r="F19" s="710"/>
    </row>
    <row r="21" spans="2:16" x14ac:dyDescent="0.2">
      <c r="C21" s="69" t="s">
        <v>146</v>
      </c>
      <c r="D21" s="69"/>
      <c r="E21" s="69"/>
      <c r="F21" s="70"/>
      <c r="G21" s="70"/>
      <c r="H21" s="70"/>
    </row>
    <row r="22" spans="2:16" x14ac:dyDescent="0.2">
      <c r="C22" s="711"/>
      <c r="D22" s="711"/>
      <c r="E22" s="711"/>
      <c r="F22" s="711"/>
      <c r="G22" s="711"/>
      <c r="H22" s="711"/>
      <c r="I22" s="711"/>
      <c r="J22" s="711"/>
      <c r="K22" s="711"/>
    </row>
    <row r="24" spans="2:16" x14ac:dyDescent="0.2">
      <c r="B24" s="710" t="s">
        <v>159</v>
      </c>
      <c r="C24" s="710"/>
      <c r="D24" s="710"/>
      <c r="E24" s="710"/>
      <c r="F24" s="710"/>
    </row>
    <row r="26" spans="2:16" x14ac:dyDescent="0.2">
      <c r="C26" s="71" t="s">
        <v>147</v>
      </c>
      <c r="D26" s="71"/>
      <c r="E26" s="71"/>
      <c r="F26" s="71"/>
      <c r="G26" s="71"/>
      <c r="H26" s="71"/>
      <c r="I26" s="71"/>
      <c r="J26" s="71"/>
    </row>
    <row r="27" spans="2:16" ht="12.75" customHeight="1" x14ac:dyDescent="0.2">
      <c r="C27" s="712" t="s">
        <v>148</v>
      </c>
      <c r="D27" s="712"/>
      <c r="E27" s="712"/>
      <c r="F27" s="712"/>
      <c r="G27" s="712"/>
      <c r="H27" s="712"/>
      <c r="I27" s="712"/>
      <c r="J27" s="712"/>
      <c r="K27" s="712"/>
      <c r="L27" s="712"/>
      <c r="M27" s="712"/>
    </row>
    <row r="28" spans="2:16" ht="12.75" customHeight="1" x14ac:dyDescent="0.2">
      <c r="C28" s="712"/>
      <c r="D28" s="712"/>
      <c r="E28" s="712"/>
      <c r="F28" s="712"/>
      <c r="G28" s="712"/>
      <c r="H28" s="712"/>
      <c r="I28" s="712"/>
      <c r="J28" s="712"/>
      <c r="K28" s="712"/>
      <c r="L28" s="712"/>
      <c r="M28" s="712"/>
    </row>
    <row r="29" spans="2:16" ht="12.75" customHeight="1" x14ac:dyDescent="0.2">
      <c r="C29" s="71" t="s">
        <v>149</v>
      </c>
      <c r="D29" s="71"/>
      <c r="E29" s="71"/>
      <c r="F29" s="71"/>
      <c r="G29" s="71"/>
      <c r="H29" s="71"/>
      <c r="I29" s="71"/>
      <c r="J29" s="71"/>
      <c r="K29" s="71"/>
      <c r="L29" s="71"/>
      <c r="M29" s="71"/>
      <c r="N29" s="70"/>
    </row>
    <row r="30" spans="2:16" ht="12.75" customHeight="1" x14ac:dyDescent="0.2">
      <c r="C30" s="71"/>
      <c r="D30" s="71"/>
      <c r="E30" s="71"/>
      <c r="F30" s="71"/>
      <c r="G30" s="71"/>
      <c r="H30" s="71"/>
      <c r="I30" s="71"/>
      <c r="J30" s="71"/>
      <c r="K30" s="71"/>
      <c r="L30" s="71"/>
      <c r="M30" s="71"/>
      <c r="N30" s="70"/>
    </row>
    <row r="31" spans="2:16" ht="12.75" customHeight="1" x14ac:dyDescent="0.2">
      <c r="C31" s="75" t="s">
        <v>150</v>
      </c>
      <c r="D31" s="72"/>
      <c r="E31" s="72"/>
      <c r="F31" s="74"/>
      <c r="G31" s="72"/>
      <c r="H31" s="72"/>
      <c r="I31" s="72"/>
      <c r="J31" s="72"/>
      <c r="K31" s="72"/>
      <c r="L31" s="72"/>
      <c r="M31" s="72"/>
      <c r="N31" s="70"/>
      <c r="O31" s="70"/>
      <c r="P31" s="70"/>
    </row>
    <row r="32" spans="2:16" ht="12.75" customHeight="1" x14ac:dyDescent="0.2">
      <c r="C32" s="73"/>
      <c r="D32" s="73"/>
      <c r="E32" s="73"/>
      <c r="F32" s="73"/>
      <c r="G32" s="73"/>
      <c r="H32" s="73"/>
      <c r="I32" s="72"/>
      <c r="J32" s="72"/>
      <c r="K32" s="72"/>
      <c r="L32" s="72"/>
      <c r="M32" s="72"/>
      <c r="N32" s="70"/>
    </row>
    <row r="33" spans="2:19" ht="12.75" customHeight="1" x14ac:dyDescent="0.2">
      <c r="C33" s="713" t="s">
        <v>151</v>
      </c>
      <c r="D33" s="713"/>
      <c r="E33" s="713"/>
      <c r="F33" s="713"/>
      <c r="G33" s="713"/>
      <c r="H33" s="713"/>
      <c r="I33" s="713"/>
      <c r="J33" s="713"/>
      <c r="K33" s="713"/>
      <c r="L33" s="713"/>
      <c r="M33" s="713"/>
      <c r="N33" s="70"/>
    </row>
    <row r="34" spans="2:19" ht="12.75" customHeight="1" x14ac:dyDescent="0.2">
      <c r="C34" s="61"/>
      <c r="D34" s="61"/>
      <c r="E34" s="61"/>
      <c r="F34" s="61"/>
      <c r="G34" s="61"/>
      <c r="H34" s="61"/>
      <c r="I34" s="71"/>
      <c r="J34" s="71"/>
      <c r="K34" s="71"/>
      <c r="L34" s="71"/>
      <c r="M34" s="71"/>
      <c r="N34" s="70"/>
    </row>
    <row r="35" spans="2:19" ht="12.75" customHeight="1" x14ac:dyDescent="0.2">
      <c r="C35" s="72" t="s">
        <v>152</v>
      </c>
      <c r="D35" s="72"/>
      <c r="E35" s="72"/>
      <c r="F35" s="72"/>
      <c r="G35" s="72"/>
      <c r="H35" s="72"/>
      <c r="I35" s="72"/>
      <c r="J35" s="72"/>
      <c r="K35" s="72"/>
      <c r="L35" s="72"/>
      <c r="M35" s="72"/>
      <c r="N35" s="70"/>
    </row>
    <row r="36" spans="2:19" ht="12.75" customHeight="1" x14ac:dyDescent="0.2">
      <c r="C36" s="73"/>
      <c r="D36" s="73"/>
      <c r="E36" s="73"/>
      <c r="F36" s="73"/>
      <c r="G36" s="73"/>
      <c r="H36" s="73"/>
      <c r="I36" s="72"/>
      <c r="J36" s="72"/>
      <c r="K36" s="72"/>
      <c r="L36" s="72"/>
      <c r="M36" s="72"/>
      <c r="N36" s="70"/>
    </row>
    <row r="37" spans="2:19" ht="12.75" customHeight="1" x14ac:dyDescent="0.2">
      <c r="C37" s="57"/>
      <c r="D37" s="57"/>
      <c r="E37" s="57"/>
      <c r="F37" s="57"/>
      <c r="G37" s="57"/>
      <c r="H37" s="57"/>
      <c r="I37" s="57"/>
      <c r="J37" s="57"/>
      <c r="K37" s="57"/>
      <c r="L37" s="57"/>
      <c r="M37" s="57"/>
    </row>
    <row r="38" spans="2:19" ht="12.75" customHeight="1" x14ac:dyDescent="0.2">
      <c r="C38" s="57"/>
      <c r="D38" s="57"/>
      <c r="E38" s="57"/>
      <c r="F38" s="57"/>
      <c r="G38" s="57"/>
      <c r="H38" s="57"/>
      <c r="I38" s="57"/>
      <c r="J38" s="57"/>
      <c r="K38" s="57"/>
      <c r="L38" s="57"/>
      <c r="M38" s="57"/>
    </row>
    <row r="39" spans="2:19" ht="12.75" customHeight="1" x14ac:dyDescent="0.2">
      <c r="B39" s="75" t="s">
        <v>160</v>
      </c>
      <c r="C39" s="71"/>
      <c r="D39" s="57"/>
      <c r="E39" s="57"/>
      <c r="F39" s="57"/>
      <c r="G39" s="57"/>
      <c r="H39" s="57"/>
      <c r="I39" s="57"/>
      <c r="J39" s="57"/>
      <c r="K39" s="57"/>
      <c r="L39" s="57"/>
      <c r="M39" s="57"/>
    </row>
    <row r="40" spans="2:19" x14ac:dyDescent="0.2">
      <c r="O40" s="711"/>
      <c r="P40" s="711"/>
      <c r="Q40" s="711"/>
      <c r="R40" s="711"/>
      <c r="S40" s="711"/>
    </row>
    <row r="41" spans="2:19" x14ac:dyDescent="0.2">
      <c r="C41" s="714" t="s">
        <v>153</v>
      </c>
      <c r="D41" s="714"/>
      <c r="E41" s="714"/>
      <c r="F41" s="714"/>
    </row>
    <row r="42" spans="2:19" x14ac:dyDescent="0.2">
      <c r="C42" s="711"/>
      <c r="D42" s="711"/>
      <c r="E42" s="711"/>
      <c r="F42" s="711"/>
      <c r="G42" s="711"/>
      <c r="H42" s="711"/>
      <c r="I42" s="711"/>
      <c r="J42" s="711"/>
    </row>
    <row r="44" spans="2:19" x14ac:dyDescent="0.2">
      <c r="B44" s="710" t="s">
        <v>161</v>
      </c>
      <c r="C44" s="710"/>
      <c r="D44" s="710"/>
      <c r="E44" s="710"/>
      <c r="F44" s="710"/>
    </row>
    <row r="46" spans="2:19" x14ac:dyDescent="0.2">
      <c r="C46" s="76" t="s">
        <v>154</v>
      </c>
      <c r="D46" s="76"/>
      <c r="E46" s="76"/>
      <c r="F46" s="76"/>
      <c r="G46" s="76"/>
      <c r="H46" s="76"/>
      <c r="I46" s="76"/>
      <c r="J46" s="76"/>
      <c r="K46" s="77"/>
      <c r="L46" s="77"/>
      <c r="M46" s="77"/>
    </row>
    <row r="50" spans="2:13" x14ac:dyDescent="0.2">
      <c r="B50" s="710" t="s">
        <v>162</v>
      </c>
      <c r="C50" s="710"/>
      <c r="D50" s="710"/>
      <c r="E50" s="710"/>
      <c r="F50" s="710"/>
    </row>
    <row r="52" spans="2:13" x14ac:dyDescent="0.2">
      <c r="C52" s="71" t="s">
        <v>155</v>
      </c>
      <c r="D52" s="71"/>
      <c r="E52" s="71"/>
      <c r="F52" s="71"/>
      <c r="G52" s="70"/>
      <c r="H52" s="70"/>
      <c r="I52" s="70"/>
      <c r="J52" s="70"/>
      <c r="K52" s="70"/>
      <c r="L52" s="70"/>
      <c r="M52" s="70"/>
    </row>
    <row r="54" spans="2:13" x14ac:dyDescent="0.2">
      <c r="B54" s="70" t="s">
        <v>163</v>
      </c>
      <c r="C54" s="70"/>
    </row>
    <row r="56" spans="2:13" x14ac:dyDescent="0.2">
      <c r="B56" s="709" t="s">
        <v>220</v>
      </c>
      <c r="C56" s="709"/>
    </row>
  </sheetData>
  <sheetProtection algorithmName="SHA-512" hashValue="XIlftdLb0ALPcTLhNGyUoutr6e0O34O8RecNb3Vx7yklH89VnjabIG7asUkylK07+G2SguyPR42epB9C22gmiw==" saltValue="hF/G85AhNCqtGfDEZa3Alw==" spinCount="100000" sheet="1" objects="1" scenarios="1"/>
  <mergeCells count="13">
    <mergeCell ref="B11:F11"/>
    <mergeCell ref="O40:S40"/>
    <mergeCell ref="B19:F19"/>
    <mergeCell ref="B24:F24"/>
    <mergeCell ref="B5:F5"/>
    <mergeCell ref="C22:K22"/>
    <mergeCell ref="B56:C56"/>
    <mergeCell ref="B50:F50"/>
    <mergeCell ref="C42:J42"/>
    <mergeCell ref="B44:F44"/>
    <mergeCell ref="C27:M28"/>
    <mergeCell ref="C33:M33"/>
    <mergeCell ref="C41:F41"/>
  </mergeCells>
  <hyperlinks>
    <hyperlink ref="B5:F5" location="'A) Resumen Ingresos y Egresos'!Área_de_impresión" display="A) Resumen Ingresos y Egresos" xr:uid="{00000000-0004-0000-0100-000000000000}"/>
    <hyperlink ref="B11:F11" location="'B) Reajuste Tarifas y Ocupación'!A1" display="B) Reajuste Tarifas y Ocupación" xr:uid="{00000000-0004-0000-0100-000001000000}"/>
    <hyperlink ref="C7:F7" location="'A) Resumen Ingresos y Egresos'!A6" display="TABLA 1: RESUMEN DE INGRESOS Y EGRESOS DE CENTROS DE BENEFICIOS" xr:uid="{00000000-0004-0000-0100-000002000000}"/>
    <hyperlink ref="C9:F9" location="'A) Resumen Ingresos y Egresos'!A22" display="TABLA 2: DETALLE DE INGRESOS POR PRESTACIÓN Y SEGMENTO" xr:uid="{00000000-0004-0000-0100-000003000000}"/>
    <hyperlink ref="C13:F13" location="'B) Reajuste Tarifas y Ocupación'!A8" display="TABLA 3: REAJUSTE DE TARIFAS POR PRESTACIÓN Y SEGMENTO" xr:uid="{00000000-0004-0000-0100-000004000000}"/>
    <hyperlink ref="C15:H15" location="'B) Reajuste Tarifas y Ocupación'!A32" display="TABLA 4: METAS DE OCUPACIÓN POR PRESTACIÓN Y SEGMENTO" xr:uid="{00000000-0004-0000-0100-000005000000}"/>
    <hyperlink ref="B19:F19" location="'C) Costos Directos'!Área_de_impresión" display="C) Costos Directos" xr:uid="{00000000-0004-0000-0100-000006000000}"/>
    <hyperlink ref="C21:E21" location="'C) Costos Directos'!Área_de_impresión" display="TABLA 5: COSTOS DIRECTOS DE CENTROS DE BENEFICIOS" xr:uid="{00000000-0004-0000-0100-000007000000}"/>
    <hyperlink ref="C21:H21" location="'C) Costos Directos'!Área_de_impresión" display="TABLA 5: COSTOS DIRECTOS DE CENTROS DE BENEFICIOS" xr:uid="{00000000-0004-0000-0100-000008000000}"/>
    <hyperlink ref="C21" location="'C) Costos Directos'!A8" display="TABLA 5: COSTOS DIRECTOS DE CENTROS DE BENEFICIOS" xr:uid="{00000000-0004-0000-0100-000009000000}"/>
    <hyperlink ref="B24:F24" location="'D) Costos Indirectos'!A1" display="D) Costos Indirectos" xr:uid="{00000000-0004-0000-0100-00000A000000}"/>
    <hyperlink ref="C26:J26" location="'D) Costos Indirectos'!A9" display="TABLA 6: REMUNERACIONES DEL PERSONAL LEY 18.712 ADMINISTRACION CENTRAL Y APOYO ADMINISTRATIVO ASISTENCIA EDUCACIONAL" xr:uid="{00000000-0004-0000-0100-00000B000000}"/>
    <hyperlink ref="C27:M28" location="'D) Costos Indirectos'!M9" display="TABLA 7: DISTRIBUCION COSTOS REMUNERACIONES ADMINISTRACION CENTRAL Y APOYO ADMINISTRATIVO A. EDUCACIONAL" xr:uid="{00000000-0004-0000-0100-00000C000000}"/>
    <hyperlink ref="C29:N29" location="'D) Costos Indirectos'!U9" display="TABLA 8: COSTOS DE OPERACION ADMINISTRACIÓN CENTRAL Y  APOYO ADMINISTRATIVO ASISTENCIA EDUCACIONAL" xr:uid="{00000000-0004-0000-0100-00000D000000}"/>
    <hyperlink ref="C31:M31" location="'D) Costos Indirectos'!Z9" display="TABLA 9: RESUMEN DISTRIBUCION COSTOS REMUNERACIONES ADMINISTRACION CENTRAL Y APOYO ADMINISTRATIVO A. EDUCACIONAL" xr:uid="{00000000-0004-0000-0100-00000E000000}"/>
    <hyperlink ref="C33:M33" location="'D) Costos Indirectos'!AG9" display="TABLA 10: RESUMEN DISTRIBUCION COSTOS OPERACIÓN ADMINISTRACION CENTRAL  Y APOYO ADMINISTRATIVO A. EDUCACIONAL" xr:uid="{00000000-0004-0000-0100-00000F000000}"/>
    <hyperlink ref="C35:N35" location="'D) Costos Indirectos'!AN9" display="'D) Costos Indirectos'!AN9" xr:uid="{00000000-0004-0000-0100-000010000000}"/>
    <hyperlink ref="B39:C39" location="'E) Resumen Tarifado '!A1" display="E) Resumen Tarifado" xr:uid="{00000000-0004-0000-0100-000011000000}"/>
    <hyperlink ref="B44:F44" location="'F) Remuneraciones'!A1" display="F) Remuneraciones" xr:uid="{00000000-0004-0000-0100-000012000000}"/>
    <hyperlink ref="B50:F50" location="'G) Comparación Mercado'!A1" display="G) Comparación Mercado" xr:uid="{00000000-0004-0000-0100-000013000000}"/>
    <hyperlink ref="B54:C54" location="'H) Detalle Datos'!A1" display="H) Detalle Gastos" xr:uid="{00000000-0004-0000-0100-000014000000}"/>
    <hyperlink ref="C41:F41" location="'E) Resumen Tarifado '!A6" display="TABLA 12: RESUMEN DE TARIFADO" xr:uid="{00000000-0004-0000-0100-000015000000}"/>
    <hyperlink ref="C46:M46" location="'F) Remuneraciones'!B7" display="TABLA 13: REMUNERACIONES DEL PERSONAL LEY 18.712 DE CENTROS DE BENEFICIOS" xr:uid="{00000000-0004-0000-0100-000016000000}"/>
    <hyperlink ref="C52:M52" location="'G) Comparación Mercado'!A12" display="TABLA 14: COMPARACIÓN TARIFAS CON PRECIOS DE MERCADO" xr:uid="{00000000-0004-0000-0100-000017000000}"/>
    <hyperlink ref="B56" location="'I) Proyección Mensual.'!A2" display="I) Proyección Mensual" xr:uid="{DEE14F45-E3B4-41F4-A00B-3330B509040C}"/>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IM43"/>
  <sheetViews>
    <sheetView showGridLines="0" zoomScale="80" zoomScaleNormal="80" workbookViewId="0">
      <selection activeCell="F46" sqref="F46"/>
    </sheetView>
  </sheetViews>
  <sheetFormatPr baseColWidth="10" defaultColWidth="11.42578125" defaultRowHeight="12.75" x14ac:dyDescent="0.2"/>
  <cols>
    <col min="1" max="1" width="37.140625" style="2" customWidth="1"/>
    <col min="2" max="2" width="21.42578125" style="2" customWidth="1"/>
    <col min="3" max="3" width="20.85546875" style="2" bestFit="1" customWidth="1"/>
    <col min="4" max="4" width="19.28515625" style="2" customWidth="1"/>
    <col min="5" max="6" width="18.85546875" style="2" customWidth="1"/>
    <col min="7" max="7" width="18" style="2" customWidth="1"/>
    <col min="8" max="8" width="18.28515625" style="2" customWidth="1"/>
    <col min="9" max="9" width="18.140625" style="2" bestFit="1" customWidth="1"/>
    <col min="10" max="10" width="18.7109375" style="2" bestFit="1" customWidth="1"/>
    <col min="11" max="11" width="18.7109375" style="2" customWidth="1"/>
    <col min="12" max="12" width="16.42578125" style="2" bestFit="1" customWidth="1"/>
    <col min="13" max="13" width="17.42578125" style="2" customWidth="1"/>
    <col min="14" max="14" width="17.28515625" style="2" customWidth="1"/>
    <col min="15" max="15" width="16.85546875" style="2" customWidth="1"/>
    <col min="16" max="16" width="14.85546875" style="2" customWidth="1"/>
    <col min="17" max="17" width="16.42578125" style="2" bestFit="1" customWidth="1"/>
    <col min="18" max="18" width="15.85546875" style="2" customWidth="1"/>
    <col min="19" max="16384" width="11.42578125" style="2"/>
  </cols>
  <sheetData>
    <row r="1" spans="1:247" s="4" customFormat="1" x14ac:dyDescent="0.2">
      <c r="A1" s="3"/>
      <c r="E1" s="31" t="s">
        <v>195</v>
      </c>
      <c r="F1" s="31"/>
      <c r="IL1" s="2"/>
      <c r="IM1" s="2"/>
    </row>
    <row r="2" spans="1:247" s="4" customFormat="1" x14ac:dyDescent="0.2">
      <c r="A2" s="5"/>
      <c r="E2" s="31" t="s">
        <v>188</v>
      </c>
      <c r="F2" s="31"/>
      <c r="IL2" s="2"/>
      <c r="IM2" s="2"/>
    </row>
    <row r="3" spans="1:247" s="4" customFormat="1" x14ac:dyDescent="0.2">
      <c r="A3" s="2"/>
      <c r="IL3" s="2"/>
      <c r="IM3" s="2"/>
    </row>
    <row r="4" spans="1:247" s="4" customFormat="1" ht="18.75" customHeight="1" x14ac:dyDescent="0.2">
      <c r="A4" s="2"/>
      <c r="B4" s="16"/>
      <c r="C4" s="733" t="s">
        <v>0</v>
      </c>
      <c r="D4" s="733"/>
      <c r="E4" s="734" t="s">
        <v>259</v>
      </c>
      <c r="F4" s="735"/>
      <c r="G4" s="736"/>
      <c r="L4" s="1"/>
      <c r="IC4" s="2"/>
      <c r="ID4" s="2"/>
      <c r="IE4" s="2"/>
      <c r="IF4" s="2"/>
      <c r="IG4" s="2"/>
      <c r="IH4" s="2"/>
    </row>
    <row r="5" spans="1:247" s="4" customFormat="1" x14ac:dyDescent="0.2">
      <c r="A5" s="2"/>
      <c r="B5" s="2"/>
      <c r="C5" s="2"/>
      <c r="D5" s="2"/>
      <c r="E5" s="2"/>
      <c r="F5" s="2"/>
      <c r="G5" s="6"/>
      <c r="H5" s="6"/>
      <c r="L5" s="1"/>
      <c r="IC5" s="2"/>
      <c r="ID5" s="2"/>
      <c r="IE5" s="2"/>
      <c r="IF5" s="2"/>
      <c r="IG5" s="2"/>
      <c r="IH5" s="2"/>
    </row>
    <row r="6" spans="1:247" s="4" customFormat="1" ht="15.75" x14ac:dyDescent="0.2">
      <c r="A6" s="753" t="s">
        <v>141</v>
      </c>
      <c r="B6" s="753"/>
      <c r="C6" s="753"/>
      <c r="D6" s="753"/>
      <c r="E6" s="2"/>
      <c r="F6" s="2"/>
      <c r="G6" s="6"/>
      <c r="H6" s="6"/>
      <c r="L6" s="1"/>
      <c r="IC6" s="2"/>
      <c r="ID6" s="2"/>
      <c r="IE6" s="2"/>
      <c r="IF6" s="2"/>
      <c r="IG6" s="2"/>
      <c r="IH6" s="2"/>
    </row>
    <row r="7" spans="1:247" ht="13.5" thickBot="1" x14ac:dyDescent="0.25">
      <c r="B7" s="4"/>
      <c r="C7" s="4"/>
      <c r="E7" s="4"/>
      <c r="F7" s="4"/>
      <c r="G7" s="4"/>
      <c r="H7" s="4"/>
      <c r="I7" s="4"/>
      <c r="M7" s="33"/>
    </row>
    <row r="8" spans="1:247" ht="39" customHeight="1" x14ac:dyDescent="0.2">
      <c r="A8" s="139" t="s">
        <v>115</v>
      </c>
      <c r="B8" s="140" t="str">
        <f>+N18</f>
        <v>Ingreso por Matrícula</v>
      </c>
      <c r="C8" s="141" t="str">
        <f>+O18</f>
        <v>Ingreso por Mensualidad</v>
      </c>
      <c r="D8" s="141" t="s">
        <v>125</v>
      </c>
      <c r="E8" s="142" t="s">
        <v>83</v>
      </c>
      <c r="F8" s="143" t="s">
        <v>80</v>
      </c>
      <c r="G8" s="144" t="s">
        <v>81</v>
      </c>
      <c r="H8" s="145" t="s">
        <v>108</v>
      </c>
      <c r="I8" s="146" t="s">
        <v>114</v>
      </c>
      <c r="L8" s="41" t="s">
        <v>113</v>
      </c>
      <c r="N8" s="52"/>
    </row>
    <row r="9" spans="1:247" x14ac:dyDescent="0.2">
      <c r="A9" s="147" t="str">
        <f>+'B) Reajuste Tarifas y Ocupación'!A12</f>
        <v>Jardín Infantil Mar y Cielo</v>
      </c>
      <c r="B9" s="148">
        <f>+N32</f>
        <v>7404200</v>
      </c>
      <c r="C9" s="149">
        <f>+O32</f>
        <v>74042000</v>
      </c>
      <c r="D9" s="148">
        <f>+P32</f>
        <v>0</v>
      </c>
      <c r="E9" s="150">
        <f>+B9+D9+C9</f>
        <v>81446200</v>
      </c>
      <c r="F9" s="151">
        <f>+'C) Costos Directos'!H75</f>
        <v>46942361.348400004</v>
      </c>
      <c r="G9" s="152">
        <f>+'D) Costos Indirectos'!$AQ$15*(F9/$F$11)</f>
        <v>21097910.200134527</v>
      </c>
      <c r="H9" s="153">
        <f>+F9+G9</f>
        <v>68040271.548534527</v>
      </c>
      <c r="I9" s="154">
        <f>E9-H9</f>
        <v>13405928.451465473</v>
      </c>
      <c r="L9" s="47">
        <f>+IFERROR(G9/$G$11,0)</f>
        <v>0.55835494779522188</v>
      </c>
      <c r="N9" s="53"/>
    </row>
    <row r="10" spans="1:247" x14ac:dyDescent="0.2">
      <c r="A10" s="147" t="str">
        <f>+'B) Reajuste Tarifas y Ocupación'!A16</f>
        <v>Sala Cuna Mar y Cielo Diurna</v>
      </c>
      <c r="B10" s="148">
        <f>+N42</f>
        <v>0</v>
      </c>
      <c r="C10" s="149">
        <f>+O42</f>
        <v>57283200</v>
      </c>
      <c r="D10" s="148">
        <f>+P42</f>
        <v>0</v>
      </c>
      <c r="E10" s="150">
        <f>+B10+D10+C10</f>
        <v>57283200</v>
      </c>
      <c r="F10" s="151">
        <f>+'C) Costos Directos'!H141</f>
        <v>37130255.064800002</v>
      </c>
      <c r="G10" s="152">
        <f>+'D) Costos Indirectos'!$AQ$15*(F10/$F$11)</f>
        <v>16687928.867727088</v>
      </c>
      <c r="H10" s="153">
        <f>+F10+G10</f>
        <v>53818183.932527088</v>
      </c>
      <c r="I10" s="154">
        <f>E10-H10</f>
        <v>3465016.0674729124</v>
      </c>
      <c r="L10" s="47">
        <f>+IFERROR(G10/$G$11,0)</f>
        <v>0.44164505220477812</v>
      </c>
      <c r="N10" s="53"/>
    </row>
    <row r="11" spans="1:247" s="4" customFormat="1" ht="15.75" thickBot="1" x14ac:dyDescent="0.25">
      <c r="A11" s="155" t="s">
        <v>1</v>
      </c>
      <c r="B11" s="156">
        <f>SUM(B9:B10)</f>
        <v>7404200</v>
      </c>
      <c r="C11" s="156">
        <f>SUM(C9:C10)</f>
        <v>131325200</v>
      </c>
      <c r="D11" s="156">
        <f>SUM(D9:D10)</f>
        <v>0</v>
      </c>
      <c r="E11" s="157">
        <f>SUM(E9:E10)</f>
        <v>138729400</v>
      </c>
      <c r="F11" s="156">
        <f>SUM(F9:F10)</f>
        <v>84072616.413200006</v>
      </c>
      <c r="G11" s="156">
        <f t="shared" ref="G11:I11" si="0">SUM(G9:G10)</f>
        <v>37785839.067861617</v>
      </c>
      <c r="H11" s="156">
        <f t="shared" si="0"/>
        <v>121858455.48106161</v>
      </c>
      <c r="I11" s="158">
        <f t="shared" si="0"/>
        <v>16870944.518938385</v>
      </c>
      <c r="L11" s="48">
        <f>SUM(L9:L10)</f>
        <v>1</v>
      </c>
      <c r="N11" s="33"/>
      <c r="O11" s="112"/>
      <c r="IB11" s="2"/>
      <c r="IC11" s="2"/>
      <c r="ID11" s="2"/>
      <c r="IE11" s="2"/>
      <c r="IF11" s="2"/>
      <c r="IG11" s="2"/>
      <c r="IH11" s="2"/>
    </row>
    <row r="12" spans="1:247" s="4" customFormat="1" ht="15.75" customHeight="1" x14ac:dyDescent="0.2">
      <c r="A12" s="7"/>
      <c r="B12" s="7"/>
      <c r="C12" s="8"/>
      <c r="D12" s="8"/>
      <c r="E12" s="8"/>
      <c r="F12" s="8"/>
      <c r="G12" s="8"/>
      <c r="H12" s="8"/>
      <c r="I12" s="8"/>
      <c r="J12" s="8"/>
      <c r="K12" s="8"/>
      <c r="L12" s="8"/>
      <c r="M12" s="8"/>
      <c r="N12" s="8"/>
      <c r="IB12" s="2"/>
      <c r="IC12" s="2"/>
      <c r="ID12" s="2"/>
      <c r="IE12" s="2"/>
      <c r="IF12" s="2"/>
      <c r="IG12" s="2"/>
      <c r="IH12" s="2"/>
    </row>
    <row r="13" spans="1:247" s="4" customFormat="1" ht="15.75" customHeight="1" x14ac:dyDescent="0.2">
      <c r="A13" s="7"/>
      <c r="B13" s="7"/>
      <c r="C13" s="7"/>
      <c r="D13" s="8"/>
      <c r="E13" s="8"/>
      <c r="F13" s="8"/>
      <c r="G13" s="8"/>
      <c r="H13" s="8"/>
      <c r="I13" s="8"/>
      <c r="J13" s="8"/>
      <c r="K13" s="8"/>
      <c r="L13" s="8"/>
      <c r="M13" s="8"/>
      <c r="N13" s="8"/>
      <c r="O13" s="113"/>
      <c r="IB13" s="2"/>
      <c r="IC13" s="2"/>
      <c r="ID13" s="2"/>
      <c r="IE13" s="2"/>
      <c r="IF13" s="2"/>
      <c r="IG13" s="2"/>
      <c r="IH13" s="2"/>
    </row>
    <row r="14" spans="1:247" s="4" customFormat="1" ht="15.75" customHeight="1" x14ac:dyDescent="0.2">
      <c r="A14" s="7"/>
      <c r="B14" s="7"/>
      <c r="C14" s="7"/>
      <c r="D14" s="8"/>
      <c r="E14" s="8"/>
      <c r="F14" s="8"/>
      <c r="G14" s="8"/>
      <c r="H14" s="8"/>
      <c r="I14" s="8"/>
      <c r="J14" s="8"/>
      <c r="K14" s="8"/>
      <c r="L14" s="8"/>
      <c r="M14" s="8"/>
      <c r="N14" s="8"/>
      <c r="IB14" s="2"/>
      <c r="IC14" s="2"/>
      <c r="ID14" s="2"/>
      <c r="IE14" s="2"/>
      <c r="IF14" s="2"/>
      <c r="IG14" s="2"/>
      <c r="IH14" s="2"/>
    </row>
    <row r="15" spans="1:247" s="4" customFormat="1" ht="15.75" customHeight="1" x14ac:dyDescent="0.2">
      <c r="A15" s="7"/>
      <c r="B15" s="7"/>
      <c r="C15" s="7"/>
      <c r="D15" s="8"/>
      <c r="E15" s="8"/>
      <c r="F15" s="8"/>
      <c r="G15" s="8"/>
      <c r="H15" s="8"/>
      <c r="I15" s="8"/>
      <c r="J15" s="8"/>
      <c r="K15" s="8"/>
      <c r="L15" s="8"/>
      <c r="M15" s="8"/>
      <c r="N15" s="8"/>
      <c r="IB15" s="2"/>
      <c r="IC15" s="2"/>
      <c r="ID15" s="2"/>
      <c r="IE15" s="2"/>
      <c r="IF15" s="2"/>
      <c r="IG15" s="2"/>
      <c r="IH15" s="2"/>
    </row>
    <row r="16" spans="1:247" s="4" customFormat="1" ht="15.75" customHeight="1" x14ac:dyDescent="0.2">
      <c r="A16" s="753" t="s">
        <v>142</v>
      </c>
      <c r="B16" s="753"/>
      <c r="C16" s="753"/>
      <c r="D16" s="753"/>
      <c r="E16" s="8"/>
      <c r="F16" s="8"/>
      <c r="G16" s="8"/>
      <c r="H16" s="8"/>
      <c r="I16" s="8"/>
      <c r="J16" s="8"/>
      <c r="K16" s="8"/>
      <c r="L16" s="8"/>
      <c r="M16" s="8"/>
      <c r="N16" s="8"/>
      <c r="IB16" s="2"/>
      <c r="IC16" s="2"/>
      <c r="ID16" s="2"/>
      <c r="IE16" s="2"/>
      <c r="IF16" s="2"/>
      <c r="IG16" s="2"/>
      <c r="IH16" s="2"/>
    </row>
    <row r="17" spans="1:247" s="4" customFormat="1" ht="13.5" thickBot="1" x14ac:dyDescent="0.25">
      <c r="I17" s="9"/>
      <c r="J17" s="9"/>
      <c r="K17" s="9"/>
      <c r="L17" s="1"/>
      <c r="M17" s="1"/>
      <c r="O17" s="10"/>
      <c r="P17" s="10"/>
      <c r="IL17" s="2"/>
      <c r="IM17" s="2"/>
    </row>
    <row r="18" spans="1:247" s="11" customFormat="1" ht="15.75" customHeight="1" x14ac:dyDescent="0.2">
      <c r="A18" s="754" t="s">
        <v>115</v>
      </c>
      <c r="B18" s="727" t="s">
        <v>5</v>
      </c>
      <c r="C18" s="737" t="s">
        <v>2</v>
      </c>
      <c r="D18" s="739" t="s">
        <v>248</v>
      </c>
      <c r="E18" s="740"/>
      <c r="F18" s="740"/>
      <c r="G18" s="740"/>
      <c r="H18" s="741"/>
      <c r="I18" s="742" t="s">
        <v>249</v>
      </c>
      <c r="J18" s="743"/>
      <c r="K18" s="743"/>
      <c r="L18" s="743"/>
      <c r="M18" s="744"/>
      <c r="N18" s="747" t="s">
        <v>90</v>
      </c>
      <c r="O18" s="749" t="s">
        <v>91</v>
      </c>
      <c r="P18" s="745" t="s">
        <v>125</v>
      </c>
      <c r="Q18" s="751" t="s">
        <v>107</v>
      </c>
    </row>
    <row r="19" spans="1:247" s="11" customFormat="1" ht="39" thickBot="1" x14ac:dyDescent="0.25">
      <c r="A19" s="755"/>
      <c r="B19" s="728"/>
      <c r="C19" s="738"/>
      <c r="D19" s="117" t="s">
        <v>87</v>
      </c>
      <c r="E19" s="116" t="s">
        <v>133</v>
      </c>
      <c r="F19" s="116" t="s">
        <v>134</v>
      </c>
      <c r="G19" s="116" t="s">
        <v>88</v>
      </c>
      <c r="H19" s="118" t="s">
        <v>89</v>
      </c>
      <c r="I19" s="117" t="s">
        <v>87</v>
      </c>
      <c r="J19" s="116" t="s">
        <v>133</v>
      </c>
      <c r="K19" s="116" t="s">
        <v>134</v>
      </c>
      <c r="L19" s="116" t="s">
        <v>88</v>
      </c>
      <c r="M19" s="118" t="s">
        <v>89</v>
      </c>
      <c r="N19" s="748"/>
      <c r="O19" s="750"/>
      <c r="P19" s="746"/>
      <c r="Q19" s="752"/>
    </row>
    <row r="20" spans="1:247" ht="12.75" customHeight="1" x14ac:dyDescent="0.2">
      <c r="A20" s="730" t="str">
        <f>+'B) Reajuste Tarifas y Ocupación'!A12</f>
        <v>Jardín Infantil Mar y Cielo</v>
      </c>
      <c r="B20" s="717" t="str">
        <f>+'B) Reajuste Tarifas y Ocupación'!B12</f>
        <v>Media jornada</v>
      </c>
      <c r="C20" s="323" t="s">
        <v>250</v>
      </c>
      <c r="D20" s="126">
        <f t="shared" ref="D20:F21" si="1">+I20</f>
        <v>100100</v>
      </c>
      <c r="E20" s="121">
        <f t="shared" si="1"/>
        <v>135100</v>
      </c>
      <c r="F20" s="121">
        <f t="shared" si="1"/>
        <v>140100</v>
      </c>
      <c r="G20" s="121">
        <f t="shared" ref="G20:H21" si="2">+L20</f>
        <v>156600</v>
      </c>
      <c r="H20" s="127">
        <f t="shared" si="2"/>
        <v>185100</v>
      </c>
      <c r="I20" s="126">
        <f>+'B) Reajuste Tarifas y Ocupación'!M12</f>
        <v>100100</v>
      </c>
      <c r="J20" s="121">
        <f>+'B) Reajuste Tarifas y Ocupación'!N12</f>
        <v>135100</v>
      </c>
      <c r="K20" s="121">
        <f>+'B) Reajuste Tarifas y Ocupación'!O12</f>
        <v>140100</v>
      </c>
      <c r="L20" s="121">
        <f>+'B) Reajuste Tarifas y Ocupación'!P12</f>
        <v>156600</v>
      </c>
      <c r="M20" s="127">
        <f>+'B) Reajuste Tarifas y Ocupación'!Q12</f>
        <v>185100</v>
      </c>
      <c r="N20" s="132"/>
      <c r="O20" s="122"/>
      <c r="P20" s="135">
        <f>+'B) Reajuste Tarifas y Ocupación'!C12</f>
        <v>89300</v>
      </c>
      <c r="Q20" s="720"/>
    </row>
    <row r="21" spans="1:247" x14ac:dyDescent="0.2">
      <c r="A21" s="731"/>
      <c r="B21" s="718"/>
      <c r="C21" s="115" t="s">
        <v>7</v>
      </c>
      <c r="D21" s="128">
        <f t="shared" si="1"/>
        <v>1</v>
      </c>
      <c r="E21" s="120">
        <f t="shared" si="1"/>
        <v>1</v>
      </c>
      <c r="F21" s="120">
        <f t="shared" si="1"/>
        <v>0</v>
      </c>
      <c r="G21" s="120">
        <f t="shared" si="2"/>
        <v>0</v>
      </c>
      <c r="H21" s="129">
        <f t="shared" si="2"/>
        <v>0</v>
      </c>
      <c r="I21" s="128">
        <f>+'B) Reajuste Tarifas y Ocupación'!C27</f>
        <v>1</v>
      </c>
      <c r="J21" s="120">
        <f>+'B) Reajuste Tarifas y Ocupación'!D27</f>
        <v>1</v>
      </c>
      <c r="K21" s="120">
        <f>+'B) Reajuste Tarifas y Ocupación'!E27</f>
        <v>0</v>
      </c>
      <c r="L21" s="120">
        <f>+'B) Reajuste Tarifas y Ocupación'!F27</f>
        <v>0</v>
      </c>
      <c r="M21" s="129">
        <f>+'B) Reajuste Tarifas y Ocupación'!G27</f>
        <v>0</v>
      </c>
      <c r="N21" s="133"/>
      <c r="O21" s="119"/>
      <c r="P21" s="136">
        <v>0</v>
      </c>
      <c r="Q21" s="716"/>
    </row>
    <row r="22" spans="1:247" ht="13.5" thickBot="1" x14ac:dyDescent="0.25">
      <c r="A22" s="731"/>
      <c r="B22" s="719"/>
      <c r="C22" s="123" t="s">
        <v>9</v>
      </c>
      <c r="D22" s="130">
        <f>D21*D20</f>
        <v>100100</v>
      </c>
      <c r="E22" s="124">
        <f>E21*E20</f>
        <v>135100</v>
      </c>
      <c r="F22" s="124">
        <f t="shared" ref="F22" si="3">F21*F20</f>
        <v>0</v>
      </c>
      <c r="G22" s="124">
        <f t="shared" ref="G22:H22" si="4">G21*G20</f>
        <v>0</v>
      </c>
      <c r="H22" s="131">
        <f t="shared" si="4"/>
        <v>0</v>
      </c>
      <c r="I22" s="174">
        <f>I21*I20*10</f>
        <v>1001000</v>
      </c>
      <c r="J22" s="175">
        <f t="shared" ref="J22:M22" si="5">J21*J20*10</f>
        <v>1351000</v>
      </c>
      <c r="K22" s="175">
        <f t="shared" ref="K22" si="6">K21*K20*10</f>
        <v>0</v>
      </c>
      <c r="L22" s="175">
        <f t="shared" si="5"/>
        <v>0</v>
      </c>
      <c r="M22" s="176">
        <f t="shared" si="5"/>
        <v>0</v>
      </c>
      <c r="N22" s="134">
        <f>SUM(D22:H22)</f>
        <v>235200</v>
      </c>
      <c r="O22" s="125">
        <f>SUM(I22:M22)</f>
        <v>2352000</v>
      </c>
      <c r="P22" s="137">
        <f>P21*P20</f>
        <v>0</v>
      </c>
      <c r="Q22" s="138">
        <f>N22+O22+P22</f>
        <v>2587200</v>
      </c>
    </row>
    <row r="23" spans="1:247" ht="12.75" customHeight="1" x14ac:dyDescent="0.2">
      <c r="A23" s="731"/>
      <c r="B23" s="717" t="str">
        <f>+'B) Reajuste Tarifas y Ocupación'!B13</f>
        <v>Media Jornada extendida</v>
      </c>
      <c r="C23" s="323" t="s">
        <v>250</v>
      </c>
      <c r="D23" s="126">
        <f t="shared" ref="D23" si="7">+I23</f>
        <v>156400</v>
      </c>
      <c r="E23" s="121">
        <f t="shared" ref="E23" si="8">+J23</f>
        <v>211100</v>
      </c>
      <c r="F23" s="121">
        <f t="shared" ref="F23" si="9">+K23</f>
        <v>218900</v>
      </c>
      <c r="G23" s="121">
        <f t="shared" ref="G23" si="10">+L23</f>
        <v>195500</v>
      </c>
      <c r="H23" s="253">
        <f t="shared" ref="H23" si="11">+M23</f>
        <v>234400</v>
      </c>
      <c r="I23" s="254">
        <f>+'B) Reajuste Tarifas y Ocupación'!M13</f>
        <v>156400</v>
      </c>
      <c r="J23" s="252">
        <f>+'B) Reajuste Tarifas y Ocupación'!N13</f>
        <v>211100</v>
      </c>
      <c r="K23" s="252">
        <f>+'B) Reajuste Tarifas y Ocupación'!O13</f>
        <v>218900</v>
      </c>
      <c r="L23" s="252">
        <f>+'B) Reajuste Tarifas y Ocupación'!P13</f>
        <v>195500</v>
      </c>
      <c r="M23" s="529">
        <f>+'B) Reajuste Tarifas y Ocupación'!Q13</f>
        <v>234400</v>
      </c>
      <c r="N23" s="132"/>
      <c r="O23" s="122"/>
      <c r="P23" s="135"/>
      <c r="Q23" s="720"/>
    </row>
    <row r="24" spans="1:247" x14ac:dyDescent="0.2">
      <c r="A24" s="731"/>
      <c r="B24" s="718"/>
      <c r="C24" s="115" t="s">
        <v>7</v>
      </c>
      <c r="D24" s="128">
        <f>+I24</f>
        <v>5</v>
      </c>
      <c r="E24" s="120">
        <f t="shared" ref="E24" si="12">+J24</f>
        <v>0</v>
      </c>
      <c r="F24" s="120">
        <f t="shared" ref="F24" si="13">+K24</f>
        <v>0</v>
      </c>
      <c r="G24" s="120">
        <f t="shared" ref="G24" si="14">+L24</f>
        <v>0</v>
      </c>
      <c r="H24" s="528">
        <f t="shared" ref="H24" si="15">+M24</f>
        <v>0</v>
      </c>
      <c r="I24" s="259">
        <f>+'B) Reajuste Tarifas y Ocupación'!C28</f>
        <v>5</v>
      </c>
      <c r="J24" s="257">
        <f>+'B) Reajuste Tarifas y Ocupación'!D28</f>
        <v>0</v>
      </c>
      <c r="K24" s="257">
        <f>+'B) Reajuste Tarifas y Ocupación'!E28</f>
        <v>0</v>
      </c>
      <c r="L24" s="257">
        <f>+'B) Reajuste Tarifas y Ocupación'!F28</f>
        <v>0</v>
      </c>
      <c r="M24" s="260">
        <f>+'B) Reajuste Tarifas y Ocupación'!G28</f>
        <v>0</v>
      </c>
      <c r="N24" s="133"/>
      <c r="O24" s="119"/>
      <c r="P24" s="136">
        <v>0</v>
      </c>
      <c r="Q24" s="716"/>
    </row>
    <row r="25" spans="1:247" ht="13.5" thickBot="1" x14ac:dyDescent="0.25">
      <c r="A25" s="731"/>
      <c r="B25" s="719"/>
      <c r="C25" s="123" t="s">
        <v>9</v>
      </c>
      <c r="D25" s="130">
        <f>D24*D23</f>
        <v>782000</v>
      </c>
      <c r="E25" s="124">
        <f>E24*E23</f>
        <v>0</v>
      </c>
      <c r="F25" s="124">
        <f t="shared" ref="F25:H25" si="16">F24*F23</f>
        <v>0</v>
      </c>
      <c r="G25" s="124">
        <f t="shared" si="16"/>
        <v>0</v>
      </c>
      <c r="H25" s="137">
        <f t="shared" si="16"/>
        <v>0</v>
      </c>
      <c r="I25" s="130">
        <f>I24*I23*10</f>
        <v>7820000</v>
      </c>
      <c r="J25" s="124">
        <f t="shared" ref="J25:M25" si="17">J24*J23*10</f>
        <v>0</v>
      </c>
      <c r="K25" s="124">
        <f t="shared" si="17"/>
        <v>0</v>
      </c>
      <c r="L25" s="124">
        <f t="shared" si="17"/>
        <v>0</v>
      </c>
      <c r="M25" s="131">
        <f t="shared" si="17"/>
        <v>0</v>
      </c>
      <c r="N25" s="134">
        <f>SUM(D25:H25)</f>
        <v>782000</v>
      </c>
      <c r="O25" s="125">
        <f>SUM(I25:M25)</f>
        <v>7820000</v>
      </c>
      <c r="P25" s="137">
        <f>P24*P23</f>
        <v>0</v>
      </c>
      <c r="Q25" s="138">
        <f>N25+O25+P25</f>
        <v>8602000</v>
      </c>
    </row>
    <row r="26" spans="1:247" ht="12.75" customHeight="1" x14ac:dyDescent="0.2">
      <c r="A26" s="731"/>
      <c r="B26" s="717" t="str">
        <f>+'B) Reajuste Tarifas y Ocupación'!B14</f>
        <v xml:space="preserve">Doble jornada </v>
      </c>
      <c r="C26" s="323" t="s">
        <v>250</v>
      </c>
      <c r="D26" s="126">
        <f t="shared" ref="D26:D27" si="18">+I26</f>
        <v>141400</v>
      </c>
      <c r="E26" s="121">
        <f t="shared" ref="E26:E27" si="19">+J26</f>
        <v>190900</v>
      </c>
      <c r="F26" s="121">
        <f t="shared" ref="F26:F27" si="20">+K26</f>
        <v>197900</v>
      </c>
      <c r="G26" s="121">
        <f t="shared" ref="G26:G27" si="21">+L26</f>
        <v>212200</v>
      </c>
      <c r="H26" s="173">
        <f t="shared" ref="H26:H27" si="22">+M26</f>
        <v>248700</v>
      </c>
      <c r="I26" s="480">
        <f>+'B) Reajuste Tarifas y Ocupación'!M14</f>
        <v>141400</v>
      </c>
      <c r="J26" s="478">
        <f>+'B) Reajuste Tarifas y Ocupación'!N14</f>
        <v>190900</v>
      </c>
      <c r="K26" s="478">
        <f>+'B) Reajuste Tarifas y Ocupación'!O14</f>
        <v>197900</v>
      </c>
      <c r="L26" s="478">
        <f>+'B) Reajuste Tarifas y Ocupación'!P14</f>
        <v>212200</v>
      </c>
      <c r="M26" s="481">
        <f>+'B) Reajuste Tarifas y Ocupación'!Q14</f>
        <v>248700</v>
      </c>
      <c r="N26" s="132"/>
      <c r="O26" s="122"/>
      <c r="P26" s="135">
        <f>+'B) Reajuste Tarifas y Ocupación'!C14</f>
        <v>126200</v>
      </c>
      <c r="Q26" s="720"/>
    </row>
    <row r="27" spans="1:247" x14ac:dyDescent="0.2">
      <c r="A27" s="731"/>
      <c r="B27" s="718"/>
      <c r="C27" s="115" t="s">
        <v>7</v>
      </c>
      <c r="D27" s="128">
        <f t="shared" si="18"/>
        <v>0</v>
      </c>
      <c r="E27" s="120">
        <f t="shared" si="19"/>
        <v>0</v>
      </c>
      <c r="F27" s="120">
        <f t="shared" si="20"/>
        <v>0</v>
      </c>
      <c r="G27" s="120">
        <f t="shared" si="21"/>
        <v>0</v>
      </c>
      <c r="H27" s="177">
        <f t="shared" si="22"/>
        <v>0</v>
      </c>
      <c r="I27" s="128">
        <f>+'B) Reajuste Tarifas y Ocupación'!C29</f>
        <v>0</v>
      </c>
      <c r="J27" s="120">
        <f>+'B) Reajuste Tarifas y Ocupación'!D29</f>
        <v>0</v>
      </c>
      <c r="K27" s="120">
        <f>+'B) Reajuste Tarifas y Ocupación'!E29</f>
        <v>0</v>
      </c>
      <c r="L27" s="120">
        <f>+'B) Reajuste Tarifas y Ocupación'!F29</f>
        <v>0</v>
      </c>
      <c r="M27" s="129">
        <f>+'B) Reajuste Tarifas y Ocupación'!G29</f>
        <v>0</v>
      </c>
      <c r="N27" s="133"/>
      <c r="O27" s="119"/>
      <c r="P27" s="136">
        <v>0</v>
      </c>
      <c r="Q27" s="716"/>
    </row>
    <row r="28" spans="1:247" ht="13.5" thickBot="1" x14ac:dyDescent="0.25">
      <c r="A28" s="731"/>
      <c r="B28" s="719"/>
      <c r="C28" s="123" t="s">
        <v>9</v>
      </c>
      <c r="D28" s="130">
        <f>D27*D26</f>
        <v>0</v>
      </c>
      <c r="E28" s="124">
        <f>E27*E26</f>
        <v>0</v>
      </c>
      <c r="F28" s="124">
        <f t="shared" ref="F28:H28" si="23">F27*F26</f>
        <v>0</v>
      </c>
      <c r="G28" s="124">
        <f t="shared" si="23"/>
        <v>0</v>
      </c>
      <c r="H28" s="137">
        <f t="shared" si="23"/>
        <v>0</v>
      </c>
      <c r="I28" s="130">
        <f>I27*I26*10</f>
        <v>0</v>
      </c>
      <c r="J28" s="124">
        <f t="shared" ref="J28:M28" si="24">J27*J26*10</f>
        <v>0</v>
      </c>
      <c r="K28" s="124">
        <f t="shared" si="24"/>
        <v>0</v>
      </c>
      <c r="L28" s="124">
        <f t="shared" si="24"/>
        <v>0</v>
      </c>
      <c r="M28" s="131">
        <f t="shared" si="24"/>
        <v>0</v>
      </c>
      <c r="N28" s="134">
        <f>SUM(D28:H28)</f>
        <v>0</v>
      </c>
      <c r="O28" s="125">
        <f>SUM(I28:M28)</f>
        <v>0</v>
      </c>
      <c r="P28" s="137">
        <f>P27*P26</f>
        <v>0</v>
      </c>
      <c r="Q28" s="138">
        <f>N28+O28+P28</f>
        <v>0</v>
      </c>
    </row>
    <row r="29" spans="1:247" x14ac:dyDescent="0.2">
      <c r="A29" s="731"/>
      <c r="B29" s="717" t="str">
        <f>+'B) Reajuste Tarifas y Ocupación'!B15</f>
        <v>Jornada completa</v>
      </c>
      <c r="C29" s="323" t="s">
        <v>250</v>
      </c>
      <c r="D29" s="126">
        <f t="shared" ref="D29:F30" si="25">+I29</f>
        <v>212900</v>
      </c>
      <c r="E29" s="121">
        <f t="shared" si="25"/>
        <v>287400</v>
      </c>
      <c r="F29" s="121">
        <f t="shared" si="25"/>
        <v>298000</v>
      </c>
      <c r="G29" s="121">
        <f t="shared" ref="G29:H30" si="26">+L29</f>
        <v>266100</v>
      </c>
      <c r="H29" s="127">
        <f t="shared" si="26"/>
        <v>276700</v>
      </c>
      <c r="I29" s="178">
        <f>+'B) Reajuste Tarifas y Ocupación'!M15</f>
        <v>212900</v>
      </c>
      <c r="J29" s="179">
        <f>+'B) Reajuste Tarifas y Ocupación'!N15</f>
        <v>287400</v>
      </c>
      <c r="K29" s="179">
        <f>+'B) Reajuste Tarifas y Ocupación'!O15</f>
        <v>298000</v>
      </c>
      <c r="L29" s="179">
        <f>+'B) Reajuste Tarifas y Ocupación'!P15</f>
        <v>266100</v>
      </c>
      <c r="M29" s="180">
        <f>+'B) Reajuste Tarifas y Ocupación'!Q15</f>
        <v>276700</v>
      </c>
      <c r="N29" s="132"/>
      <c r="O29" s="122"/>
      <c r="P29" s="135">
        <f>+'B) Reajuste Tarifas y Ocupación'!C15</f>
        <v>193500</v>
      </c>
      <c r="Q29" s="720"/>
    </row>
    <row r="30" spans="1:247" x14ac:dyDescent="0.2">
      <c r="A30" s="731"/>
      <c r="B30" s="718"/>
      <c r="C30" s="115" t="s">
        <v>7</v>
      </c>
      <c r="D30" s="128">
        <f t="shared" si="25"/>
        <v>30</v>
      </c>
      <c r="E30" s="120">
        <f t="shared" si="25"/>
        <v>0</v>
      </c>
      <c r="F30" s="120">
        <f t="shared" si="25"/>
        <v>0</v>
      </c>
      <c r="G30" s="120">
        <f t="shared" si="26"/>
        <v>0</v>
      </c>
      <c r="H30" s="129">
        <f t="shared" si="26"/>
        <v>0</v>
      </c>
      <c r="I30" s="128">
        <f>+'B) Reajuste Tarifas y Ocupación'!C30</f>
        <v>30</v>
      </c>
      <c r="J30" s="120">
        <f>+'B) Reajuste Tarifas y Ocupación'!D30</f>
        <v>0</v>
      </c>
      <c r="K30" s="120">
        <f>+'B) Reajuste Tarifas y Ocupación'!E30</f>
        <v>0</v>
      </c>
      <c r="L30" s="120">
        <f>+'B) Reajuste Tarifas y Ocupación'!F30</f>
        <v>0</v>
      </c>
      <c r="M30" s="129">
        <f>+'B) Reajuste Tarifas y Ocupación'!G30</f>
        <v>0</v>
      </c>
      <c r="N30" s="133"/>
      <c r="O30" s="119"/>
      <c r="P30" s="136">
        <v>0</v>
      </c>
      <c r="Q30" s="716"/>
    </row>
    <row r="31" spans="1:247" ht="13.5" thickBot="1" x14ac:dyDescent="0.25">
      <c r="A31" s="731"/>
      <c r="B31" s="718"/>
      <c r="C31" s="391" t="s">
        <v>9</v>
      </c>
      <c r="D31" s="392">
        <f t="shared" ref="D31:H31" si="27">D30*D29</f>
        <v>6387000</v>
      </c>
      <c r="E31" s="393">
        <f t="shared" si="27"/>
        <v>0</v>
      </c>
      <c r="F31" s="393">
        <f t="shared" ref="F31" si="28">F30*F29</f>
        <v>0</v>
      </c>
      <c r="G31" s="393">
        <f t="shared" si="27"/>
        <v>0</v>
      </c>
      <c r="H31" s="394">
        <f t="shared" si="27"/>
        <v>0</v>
      </c>
      <c r="I31" s="392">
        <f t="shared" ref="I31:M31" si="29">I30*I29*10</f>
        <v>63870000</v>
      </c>
      <c r="J31" s="393">
        <f t="shared" si="29"/>
        <v>0</v>
      </c>
      <c r="K31" s="393">
        <f t="shared" ref="K31" si="30">K30*K29*10</f>
        <v>0</v>
      </c>
      <c r="L31" s="393">
        <f t="shared" si="29"/>
        <v>0</v>
      </c>
      <c r="M31" s="394">
        <f t="shared" si="29"/>
        <v>0</v>
      </c>
      <c r="N31" s="395">
        <f>SUM(D31:H31)</f>
        <v>6387000</v>
      </c>
      <c r="O31" s="396">
        <f>SUM(I31:M31)</f>
        <v>63870000</v>
      </c>
      <c r="P31" s="397">
        <f>P30*P29</f>
        <v>0</v>
      </c>
      <c r="Q31" s="398">
        <f>N31+O31+P31</f>
        <v>70257000</v>
      </c>
    </row>
    <row r="32" spans="1:247" ht="15.75" thickBot="1" x14ac:dyDescent="0.25">
      <c r="A32" s="732"/>
      <c r="B32" s="729" t="s">
        <v>10</v>
      </c>
      <c r="C32" s="726"/>
      <c r="D32" s="189">
        <f>+D22+D25+D28+D31</f>
        <v>7269100</v>
      </c>
      <c r="E32" s="190">
        <f t="shared" ref="E32:Q32" si="31">+E22+E25+E28+E31</f>
        <v>135100</v>
      </c>
      <c r="F32" s="190">
        <f t="shared" si="31"/>
        <v>0</v>
      </c>
      <c r="G32" s="190">
        <f t="shared" si="31"/>
        <v>0</v>
      </c>
      <c r="H32" s="282">
        <f t="shared" si="31"/>
        <v>0</v>
      </c>
      <c r="I32" s="189">
        <f t="shared" si="31"/>
        <v>72691000</v>
      </c>
      <c r="J32" s="190">
        <f t="shared" si="31"/>
        <v>1351000</v>
      </c>
      <c r="K32" s="190">
        <f t="shared" si="31"/>
        <v>0</v>
      </c>
      <c r="L32" s="190">
        <f t="shared" si="31"/>
        <v>0</v>
      </c>
      <c r="M32" s="282">
        <f t="shared" si="31"/>
        <v>0</v>
      </c>
      <c r="N32" s="189">
        <f t="shared" si="31"/>
        <v>7404200</v>
      </c>
      <c r="O32" s="190">
        <f t="shared" si="31"/>
        <v>74042000</v>
      </c>
      <c r="P32" s="282">
        <f t="shared" si="31"/>
        <v>0</v>
      </c>
      <c r="Q32" s="484">
        <f t="shared" si="31"/>
        <v>81446200</v>
      </c>
    </row>
    <row r="33" spans="1:17" ht="12.75" customHeight="1" x14ac:dyDescent="0.2">
      <c r="A33" s="723" t="str">
        <f>+'B) Reajuste Tarifas y Ocupación'!A16</f>
        <v>Sala Cuna Mar y Cielo Diurna</v>
      </c>
      <c r="B33" s="717" t="str">
        <f>+'[1]B) Reajuste Tarifas y Ocupación'!B15</f>
        <v>Diurna</v>
      </c>
      <c r="C33" s="323" t="s">
        <v>250</v>
      </c>
      <c r="D33" s="262"/>
      <c r="E33" s="478">
        <f t="shared" ref="E33:H34" si="32">+J33</f>
        <v>537000</v>
      </c>
      <c r="F33" s="478">
        <f t="shared" si="32"/>
        <v>556900</v>
      </c>
      <c r="G33" s="478">
        <f t="shared" si="32"/>
        <v>497200</v>
      </c>
      <c r="H33" s="479">
        <f>+M33</f>
        <v>596600</v>
      </c>
      <c r="I33" s="480">
        <f>+'B) Reajuste Tarifas y Ocupación'!M16</f>
        <v>397800</v>
      </c>
      <c r="J33" s="478">
        <f>+'B) Reajuste Tarifas y Ocupación'!N16</f>
        <v>537000</v>
      </c>
      <c r="K33" s="478">
        <f>+'B) Reajuste Tarifas y Ocupación'!O16</f>
        <v>556900</v>
      </c>
      <c r="L33" s="478">
        <f>+'B) Reajuste Tarifas y Ocupación'!P16</f>
        <v>497200</v>
      </c>
      <c r="M33" s="481">
        <f>+'B) Reajuste Tarifas y Ocupación'!Q16</f>
        <v>596600</v>
      </c>
      <c r="N33" s="482"/>
      <c r="O33" s="483"/>
      <c r="P33" s="483"/>
      <c r="Q33" s="715"/>
    </row>
    <row r="34" spans="1:17" ht="12.75" customHeight="1" x14ac:dyDescent="0.2">
      <c r="A34" s="724"/>
      <c r="B34" s="718"/>
      <c r="C34" s="115" t="s">
        <v>7</v>
      </c>
      <c r="D34" s="250"/>
      <c r="E34" s="257">
        <f t="shared" si="32"/>
        <v>0</v>
      </c>
      <c r="F34" s="257">
        <f t="shared" si="32"/>
        <v>0</v>
      </c>
      <c r="G34" s="257">
        <f t="shared" si="32"/>
        <v>0</v>
      </c>
      <c r="H34" s="258">
        <f t="shared" si="32"/>
        <v>0</v>
      </c>
      <c r="I34" s="259">
        <f>+'B) Reajuste Tarifas y Ocupación'!C31</f>
        <v>12</v>
      </c>
      <c r="J34" s="257">
        <f>+'B) Reajuste Tarifas y Ocupación'!D31</f>
        <v>0</v>
      </c>
      <c r="K34" s="257">
        <f>+'B) Reajuste Tarifas y Ocupación'!E31</f>
        <v>0</v>
      </c>
      <c r="L34" s="257">
        <f>+'B) Reajuste Tarifas y Ocupación'!F31</f>
        <v>0</v>
      </c>
      <c r="M34" s="260">
        <f>+'B) Reajuste Tarifas y Ocupación'!G31</f>
        <v>0</v>
      </c>
      <c r="N34" s="133"/>
      <c r="O34" s="261"/>
      <c r="P34" s="261"/>
      <c r="Q34" s="716"/>
    </row>
    <row r="35" spans="1:17" ht="13.5" customHeight="1" thickBot="1" x14ac:dyDescent="0.25">
      <c r="A35" s="724"/>
      <c r="B35" s="719"/>
      <c r="C35" s="123" t="s">
        <v>9</v>
      </c>
      <c r="D35" s="130">
        <f>D34*D33</f>
        <v>0</v>
      </c>
      <c r="E35" s="124">
        <f>E34*E33</f>
        <v>0</v>
      </c>
      <c r="F35" s="124">
        <f>F34*F33</f>
        <v>0</v>
      </c>
      <c r="G35" s="124">
        <f>G34*G33</f>
        <v>0</v>
      </c>
      <c r="H35" s="137">
        <f>H34*H33</f>
        <v>0</v>
      </c>
      <c r="I35" s="130">
        <f>I34*I33*12</f>
        <v>57283200</v>
      </c>
      <c r="J35" s="124">
        <f>J34*J33*12</f>
        <v>0</v>
      </c>
      <c r="K35" s="124">
        <f>K34*K33*12</f>
        <v>0</v>
      </c>
      <c r="L35" s="124">
        <f>L34*L33*12</f>
        <v>0</v>
      </c>
      <c r="M35" s="131">
        <f>M34*M33*12</f>
        <v>0</v>
      </c>
      <c r="N35" s="134">
        <f>SUM(D35:H35)</f>
        <v>0</v>
      </c>
      <c r="O35" s="125">
        <f>SUM(I35:M35)</f>
        <v>57283200</v>
      </c>
      <c r="P35" s="137">
        <f>P34*P33</f>
        <v>0</v>
      </c>
      <c r="Q35" s="138">
        <f>N35+O35+P35</f>
        <v>57283200</v>
      </c>
    </row>
    <row r="36" spans="1:17" ht="12.75" customHeight="1" x14ac:dyDescent="0.2">
      <c r="A36" s="724"/>
      <c r="B36" s="717" t="str">
        <f>+'[1]B) Reajuste Tarifas y Ocupación'!B16</f>
        <v>Nocturna</v>
      </c>
      <c r="C36" s="323" t="s">
        <v>250</v>
      </c>
      <c r="D36" s="250"/>
      <c r="E36" s="248"/>
      <c r="F36" s="248"/>
      <c r="G36" s="248"/>
      <c r="H36" s="249"/>
      <c r="I36" s="262"/>
      <c r="J36" s="263"/>
      <c r="K36" s="263"/>
      <c r="L36" s="263"/>
      <c r="M36" s="264"/>
      <c r="N36" s="255"/>
      <c r="O36" s="256"/>
      <c r="P36" s="256"/>
      <c r="Q36" s="720"/>
    </row>
    <row r="37" spans="1:17" ht="12.75" customHeight="1" x14ac:dyDescent="0.2">
      <c r="A37" s="724"/>
      <c r="B37" s="718"/>
      <c r="C37" s="115" t="s">
        <v>7</v>
      </c>
      <c r="D37" s="250"/>
      <c r="E37" s="265"/>
      <c r="F37" s="265"/>
      <c r="G37" s="265"/>
      <c r="H37" s="266"/>
      <c r="I37" s="267"/>
      <c r="J37" s="265"/>
      <c r="K37" s="265"/>
      <c r="L37" s="265"/>
      <c r="M37" s="268"/>
      <c r="N37" s="133"/>
      <c r="O37" s="261"/>
      <c r="P37" s="261"/>
      <c r="Q37" s="716"/>
    </row>
    <row r="38" spans="1:17" ht="13.5" customHeight="1" thickBot="1" x14ac:dyDescent="0.25">
      <c r="A38" s="724"/>
      <c r="B38" s="719"/>
      <c r="C38" s="123" t="s">
        <v>9</v>
      </c>
      <c r="D38" s="130">
        <f>D37*D36</f>
        <v>0</v>
      </c>
      <c r="E38" s="124">
        <f>E37*E36</f>
        <v>0</v>
      </c>
      <c r="F38" s="124">
        <f>F37*F36</f>
        <v>0</v>
      </c>
      <c r="G38" s="124">
        <f>G37*G36</f>
        <v>0</v>
      </c>
      <c r="H38" s="137">
        <f>H37*H36</f>
        <v>0</v>
      </c>
      <c r="I38" s="174">
        <f>I37*I36*12</f>
        <v>0</v>
      </c>
      <c r="J38" s="175">
        <f>J37*J36*12</f>
        <v>0</v>
      </c>
      <c r="K38" s="175">
        <f>K37*K36*12</f>
        <v>0</v>
      </c>
      <c r="L38" s="175">
        <f>L37*L36*12</f>
        <v>0</v>
      </c>
      <c r="M38" s="176">
        <f>M37*M36*12</f>
        <v>0</v>
      </c>
      <c r="N38" s="134">
        <f>SUM(D38:H38)</f>
        <v>0</v>
      </c>
      <c r="O38" s="125">
        <f>SUM(I38:M38)</f>
        <v>0</v>
      </c>
      <c r="P38" s="137">
        <f>P37*P36</f>
        <v>0</v>
      </c>
      <c r="Q38" s="138">
        <f>N38+O38+P38</f>
        <v>0</v>
      </c>
    </row>
    <row r="39" spans="1:17" ht="12.75" customHeight="1" x14ac:dyDescent="0.2">
      <c r="A39" s="724"/>
      <c r="B39" s="717" t="str">
        <f>+'[1]B) Reajuste Tarifas y Ocupación'!B17</f>
        <v>Media Jornada</v>
      </c>
      <c r="C39" s="323" t="s">
        <v>250</v>
      </c>
      <c r="D39" s="247"/>
      <c r="E39" s="252">
        <f t="shared" ref="E39:E40" si="33">+J39</f>
        <v>0</v>
      </c>
      <c r="F39" s="252">
        <f t="shared" ref="F39:F40" si="34">+K39</f>
        <v>0</v>
      </c>
      <c r="G39" s="252">
        <f t="shared" ref="G39:G40" si="35">+L39</f>
        <v>0</v>
      </c>
      <c r="H39" s="253">
        <f>+M39</f>
        <v>0</v>
      </c>
      <c r="I39" s="254">
        <f>+'B) Reajuste Tarifas y Ocupación'!M22</f>
        <v>0</v>
      </c>
      <c r="J39" s="252">
        <f>+'B) Reajuste Tarifas y Ocupación'!N22</f>
        <v>0</v>
      </c>
      <c r="K39" s="252">
        <f>+'B) Reajuste Tarifas y Ocupación'!O22</f>
        <v>0</v>
      </c>
      <c r="L39" s="252">
        <f>+'B) Reajuste Tarifas y Ocupación'!P22</f>
        <v>0</v>
      </c>
      <c r="M39" s="127">
        <f>+'B) Reajuste Tarifas y Ocupación'!Q22</f>
        <v>0</v>
      </c>
      <c r="N39" s="255"/>
      <c r="O39" s="256"/>
      <c r="P39" s="256"/>
      <c r="Q39" s="720"/>
    </row>
    <row r="40" spans="1:17" ht="12.75" customHeight="1" x14ac:dyDescent="0.2">
      <c r="A40" s="724"/>
      <c r="B40" s="718"/>
      <c r="C40" s="115" t="s">
        <v>7</v>
      </c>
      <c r="D40" s="250"/>
      <c r="E40" s="257">
        <f t="shared" si="33"/>
        <v>0</v>
      </c>
      <c r="F40" s="257">
        <f t="shared" si="34"/>
        <v>0</v>
      </c>
      <c r="G40" s="257">
        <f t="shared" si="35"/>
        <v>0</v>
      </c>
      <c r="H40" s="258">
        <f t="shared" ref="H40" si="36">+M40</f>
        <v>0</v>
      </c>
      <c r="I40" s="259">
        <f>+'B) Reajuste Tarifas y Ocupación'!C33</f>
        <v>0</v>
      </c>
      <c r="J40" s="257">
        <f>+'B) Reajuste Tarifas y Ocupación'!D33</f>
        <v>0</v>
      </c>
      <c r="K40" s="257">
        <f>+'B) Reajuste Tarifas y Ocupación'!E33</f>
        <v>0</v>
      </c>
      <c r="L40" s="257">
        <f>+'B) Reajuste Tarifas y Ocupación'!F33</f>
        <v>0</v>
      </c>
      <c r="M40" s="260">
        <f>+'B) Reajuste Tarifas y Ocupación'!G33</f>
        <v>0</v>
      </c>
      <c r="N40" s="133"/>
      <c r="O40" s="261"/>
      <c r="P40" s="261"/>
      <c r="Q40" s="716"/>
    </row>
    <row r="41" spans="1:17" ht="13.5" customHeight="1" thickBot="1" x14ac:dyDescent="0.25">
      <c r="A41" s="724"/>
      <c r="B41" s="719"/>
      <c r="C41" s="123" t="s">
        <v>9</v>
      </c>
      <c r="D41" s="130">
        <f>D40*D39</f>
        <v>0</v>
      </c>
      <c r="E41" s="124">
        <f>E40*E39</f>
        <v>0</v>
      </c>
      <c r="F41" s="124">
        <f>F40*F39</f>
        <v>0</v>
      </c>
      <c r="G41" s="124">
        <f>G40*G39</f>
        <v>0</v>
      </c>
      <c r="H41" s="137">
        <f>H40*H39</f>
        <v>0</v>
      </c>
      <c r="I41" s="130">
        <f>I40*I39*12</f>
        <v>0</v>
      </c>
      <c r="J41" s="124">
        <f>J40*J39*12</f>
        <v>0</v>
      </c>
      <c r="K41" s="124">
        <f>K40*K39*12</f>
        <v>0</v>
      </c>
      <c r="L41" s="124">
        <f>L40*L39*12</f>
        <v>0</v>
      </c>
      <c r="M41" s="131">
        <f>M40*M39*12</f>
        <v>0</v>
      </c>
      <c r="N41" s="134">
        <f>SUM(D41:H41)</f>
        <v>0</v>
      </c>
      <c r="O41" s="125">
        <f>SUM(I41:M41)</f>
        <v>0</v>
      </c>
      <c r="P41" s="137">
        <f>P40*P39</f>
        <v>0</v>
      </c>
      <c r="Q41" s="138">
        <f>N41+O41+P41</f>
        <v>0</v>
      </c>
    </row>
    <row r="42" spans="1:17" ht="15.75" customHeight="1" thickBot="1" x14ac:dyDescent="0.25">
      <c r="A42" s="725"/>
      <c r="B42" s="726" t="s">
        <v>10</v>
      </c>
      <c r="C42" s="726"/>
      <c r="D42" s="181">
        <f>+D35+D41+D38</f>
        <v>0</v>
      </c>
      <c r="E42" s="182">
        <f t="shared" ref="E42:P42" si="37">+E35+E41+E38</f>
        <v>0</v>
      </c>
      <c r="F42" s="182">
        <f>+F35+F41+F38</f>
        <v>0</v>
      </c>
      <c r="G42" s="182">
        <f t="shared" si="37"/>
        <v>0</v>
      </c>
      <c r="H42" s="183">
        <f t="shared" si="37"/>
        <v>0</v>
      </c>
      <c r="I42" s="181">
        <f>+I35+I41+I38</f>
        <v>57283200</v>
      </c>
      <c r="J42" s="182">
        <f>+J35+J41+J38</f>
        <v>0</v>
      </c>
      <c r="K42" s="182">
        <f t="shared" si="37"/>
        <v>0</v>
      </c>
      <c r="L42" s="182">
        <f t="shared" si="37"/>
        <v>0</v>
      </c>
      <c r="M42" s="184">
        <f>+M35+M41+M38</f>
        <v>0</v>
      </c>
      <c r="N42" s="185">
        <f t="shared" si="37"/>
        <v>0</v>
      </c>
      <c r="O42" s="186">
        <f t="shared" si="37"/>
        <v>57283200</v>
      </c>
      <c r="P42" s="187">
        <f t="shared" si="37"/>
        <v>0</v>
      </c>
      <c r="Q42" s="188">
        <f>+Q35+Q41+Q38</f>
        <v>57283200</v>
      </c>
    </row>
    <row r="43" spans="1:17" ht="15" customHeight="1" thickBot="1" x14ac:dyDescent="0.25">
      <c r="A43" s="721" t="s">
        <v>8</v>
      </c>
      <c r="B43" s="722"/>
      <c r="C43" s="722"/>
      <c r="D43" s="189">
        <f>+D32+D42</f>
        <v>7269100</v>
      </c>
      <c r="E43" s="190">
        <f>+E32+E42</f>
        <v>135100</v>
      </c>
      <c r="F43" s="190">
        <f>+F32+F42</f>
        <v>0</v>
      </c>
      <c r="G43" s="190">
        <f>+G32+G42</f>
        <v>0</v>
      </c>
      <c r="H43" s="282">
        <f>+H32+H42</f>
        <v>0</v>
      </c>
      <c r="I43" s="189">
        <f t="shared" ref="I43:M43" si="38">+I32+I42</f>
        <v>129974200</v>
      </c>
      <c r="J43" s="190">
        <f t="shared" si="38"/>
        <v>1351000</v>
      </c>
      <c r="K43" s="190">
        <f t="shared" si="38"/>
        <v>0</v>
      </c>
      <c r="L43" s="190">
        <f t="shared" si="38"/>
        <v>0</v>
      </c>
      <c r="M43" s="191">
        <f t="shared" si="38"/>
        <v>0</v>
      </c>
      <c r="N43" s="189">
        <f t="shared" ref="N43" si="39">+N32+N42</f>
        <v>7404200</v>
      </c>
      <c r="O43" s="190">
        <f>+O32+O42</f>
        <v>131325200</v>
      </c>
      <c r="P43" s="191">
        <f>+P32+P42</f>
        <v>0</v>
      </c>
      <c r="Q43" s="192">
        <f>+Q32+Q42</f>
        <v>138729400</v>
      </c>
    </row>
  </sheetData>
  <mergeCells count="32">
    <mergeCell ref="Q23:Q24"/>
    <mergeCell ref="Q29:Q30"/>
    <mergeCell ref="C4:D4"/>
    <mergeCell ref="E4:G4"/>
    <mergeCell ref="C18:C19"/>
    <mergeCell ref="D18:H18"/>
    <mergeCell ref="I18:M18"/>
    <mergeCell ref="Q26:Q27"/>
    <mergeCell ref="P18:P19"/>
    <mergeCell ref="N18:N19"/>
    <mergeCell ref="O18:O19"/>
    <mergeCell ref="Q18:Q19"/>
    <mergeCell ref="Q20:Q21"/>
    <mergeCell ref="A6:D6"/>
    <mergeCell ref="A16:D16"/>
    <mergeCell ref="A18:A19"/>
    <mergeCell ref="B18:B19"/>
    <mergeCell ref="B26:B28"/>
    <mergeCell ref="B32:C32"/>
    <mergeCell ref="A20:A32"/>
    <mergeCell ref="B20:B22"/>
    <mergeCell ref="B23:B25"/>
    <mergeCell ref="A43:C43"/>
    <mergeCell ref="B29:B31"/>
    <mergeCell ref="A33:A42"/>
    <mergeCell ref="B33:B35"/>
    <mergeCell ref="B42:C42"/>
    <mergeCell ref="Q33:Q34"/>
    <mergeCell ref="B36:B38"/>
    <mergeCell ref="Q36:Q37"/>
    <mergeCell ref="B39:B41"/>
    <mergeCell ref="Q39:Q40"/>
  </mergeCells>
  <conditionalFormatting sqref="B9:I11 C12:N12 D13:N15 E16:N16">
    <cfRule type="cellIs" dxfId="4" priority="7" stopIfTrue="1" operator="lessThan">
      <formula>0</formula>
    </cfRule>
  </conditionalFormatting>
  <pageMargins left="0.19652777777777777" right="0.19652777777777777" top="0.27500000000000002" bottom="0.19652777777777777" header="0.19652777777777777" footer="0.51180555555555551"/>
  <pageSetup firstPageNumber="0" fitToHeight="14" orientation="landscape" horizontalDpi="300" verticalDpi="300" r:id="rId1"/>
  <headerFooter alignWithMargins="0">
    <oddHeader>&amp;LSEPT - 2004&amp;CDIRECTIVA D.B.S.A.ORDINARIA&amp;R02-BS/0307/02Pag &amp;P de &amp;N</oddHeader>
  </headerFooter>
  <ignoredErrors>
    <ignoredError sqref="D21:H21 D20:H20 J20 D29:Q29 I22:P22 J21:O21 L20:Q20 Q21 D31:P31 D30:O30 Q30" unlockedFormula="1"/>
    <ignoredError sqref="F22:H22" formula="1" unlockedFormula="1"/>
    <ignoredError sqref="D22:E2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autoPageBreaks="0"/>
  </sheetPr>
  <dimension ref="A1:IV33"/>
  <sheetViews>
    <sheetView showGridLines="0" tabSelected="1" topLeftCell="A4" zoomScale="80" zoomScaleNormal="80" workbookViewId="0">
      <selection activeCell="H12" sqref="H12:H18"/>
    </sheetView>
  </sheetViews>
  <sheetFormatPr baseColWidth="10" defaultColWidth="11.42578125" defaultRowHeight="12.75" x14ac:dyDescent="0.2"/>
  <cols>
    <col min="1" max="1" width="56.42578125" customWidth="1"/>
    <col min="2" max="2" width="33.85546875" customWidth="1"/>
    <col min="3" max="3" width="12.28515625" customWidth="1"/>
    <col min="4" max="4" width="13.7109375" bestFit="1" customWidth="1"/>
    <col min="5" max="5" width="15.42578125" bestFit="1" customWidth="1"/>
    <col min="6" max="6" width="14.42578125" customWidth="1"/>
    <col min="7" max="7" width="14.85546875" customWidth="1"/>
    <col min="8" max="8" width="11.85546875" bestFit="1" customWidth="1"/>
    <col min="9" max="9" width="14.42578125" bestFit="1" customWidth="1"/>
    <col min="10" max="10" width="15.140625" customWidth="1"/>
    <col min="11" max="12" width="11.85546875" customWidth="1"/>
    <col min="13" max="13" width="14" customWidth="1"/>
    <col min="14" max="14" width="14.42578125" customWidth="1"/>
    <col min="15" max="15" width="15.28515625" customWidth="1"/>
    <col min="16" max="18" width="11.85546875" customWidth="1"/>
    <col min="19" max="19" width="32.7109375" customWidth="1"/>
    <col min="20" max="20" width="33" bestFit="1" customWidth="1"/>
    <col min="21" max="21" width="13.85546875" customWidth="1"/>
    <col min="22" max="22" width="14.42578125" bestFit="1" customWidth="1"/>
    <col min="23" max="23" width="14.42578125" customWidth="1"/>
    <col min="24" max="24" width="12.85546875" bestFit="1" customWidth="1"/>
  </cols>
  <sheetData>
    <row r="1" spans="1:256" s="4" customFormat="1" x14ac:dyDescent="0.2">
      <c r="A1" s="3"/>
      <c r="F1" s="31" t="s">
        <v>196</v>
      </c>
      <c r="S1" s="3"/>
      <c r="IU1" s="2"/>
      <c r="IV1" s="2"/>
    </row>
    <row r="2" spans="1:256" s="4" customFormat="1" x14ac:dyDescent="0.2">
      <c r="A2" s="5"/>
      <c r="F2" s="31" t="s">
        <v>189</v>
      </c>
      <c r="S2" s="5"/>
      <c r="IU2" s="2"/>
      <c r="IV2" s="2"/>
    </row>
    <row r="3" spans="1:256" s="4" customFormat="1" x14ac:dyDescent="0.2">
      <c r="A3" s="2"/>
      <c r="S3" s="2"/>
      <c r="IU3" s="2"/>
      <c r="IV3" s="2"/>
    </row>
    <row r="4" spans="1:256" s="4" customFormat="1" ht="13.5" thickBot="1" x14ac:dyDescent="0.25">
      <c r="A4" s="2"/>
      <c r="B4" s="16"/>
      <c r="S4" s="2"/>
      <c r="T4" s="16"/>
      <c r="IL4" s="2"/>
      <c r="IM4" s="2"/>
      <c r="IN4" s="2"/>
      <c r="IO4" s="2"/>
      <c r="IP4" s="2"/>
      <c r="IQ4" s="2"/>
    </row>
    <row r="5" spans="1:256" s="4" customFormat="1" ht="18" customHeight="1" thickBot="1" x14ac:dyDescent="0.25">
      <c r="A5" s="2"/>
      <c r="B5" s="16"/>
      <c r="C5" s="733" t="s">
        <v>0</v>
      </c>
      <c r="D5" s="792"/>
      <c r="E5" s="6"/>
      <c r="F5" s="763" t="s">
        <v>244</v>
      </c>
      <c r="G5" s="764"/>
      <c r="S5" s="2"/>
      <c r="T5" s="16"/>
      <c r="V5" s="1"/>
      <c r="W5" s="1"/>
      <c r="IL5" s="2"/>
      <c r="IM5" s="2"/>
      <c r="IN5" s="2"/>
      <c r="IO5" s="2"/>
      <c r="IP5" s="2"/>
      <c r="IQ5" s="2"/>
    </row>
    <row r="6" spans="1:256" s="4" customFormat="1" ht="18" customHeight="1" x14ac:dyDescent="0.2">
      <c r="A6" s="2"/>
      <c r="B6" s="16"/>
      <c r="C6" s="6"/>
      <c r="D6" s="6"/>
      <c r="E6" s="6"/>
      <c r="F6" s="31"/>
      <c r="G6" s="31"/>
      <c r="S6" s="2"/>
      <c r="T6" s="16"/>
      <c r="V6" s="1"/>
      <c r="W6" s="1"/>
      <c r="IL6" s="2"/>
      <c r="IM6" s="2"/>
      <c r="IN6" s="2"/>
      <c r="IO6" s="2"/>
      <c r="IP6" s="2"/>
      <c r="IQ6" s="2"/>
    </row>
    <row r="7" spans="1:256" s="4" customFormat="1" ht="18" customHeight="1" x14ac:dyDescent="0.2">
      <c r="A7" s="2"/>
      <c r="B7" s="16"/>
      <c r="C7" s="6"/>
      <c r="D7" s="6"/>
      <c r="E7" s="6"/>
      <c r="F7" s="31"/>
      <c r="G7" s="31"/>
      <c r="S7" s="2"/>
      <c r="T7" s="16"/>
      <c r="V7" s="36"/>
      <c r="W7" s="36"/>
      <c r="IL7" s="2"/>
      <c r="IM7" s="2"/>
      <c r="IN7" s="2"/>
      <c r="IO7" s="2"/>
      <c r="IP7" s="2"/>
      <c r="IQ7" s="2"/>
    </row>
    <row r="8" spans="1:256" s="4" customFormat="1" ht="15.75" x14ac:dyDescent="0.2">
      <c r="A8" s="773" t="s">
        <v>143</v>
      </c>
      <c r="B8" s="773"/>
      <c r="C8" s="773"/>
      <c r="D8" s="773"/>
      <c r="E8" s="55"/>
      <c r="F8" s="31"/>
      <c r="G8" s="31"/>
      <c r="IL8" s="2"/>
      <c r="IM8" s="2"/>
      <c r="IN8" s="2"/>
      <c r="IO8" s="2"/>
      <c r="IP8" s="2"/>
      <c r="IQ8" s="2"/>
    </row>
    <row r="9" spans="1:256" ht="13.5" customHeight="1" thickBot="1" x14ac:dyDescent="0.25"/>
    <row r="10" spans="1:256" ht="15.75" customHeight="1" thickBot="1" x14ac:dyDescent="0.25">
      <c r="A10" s="774" t="s">
        <v>132</v>
      </c>
      <c r="B10" s="768" t="s">
        <v>5</v>
      </c>
      <c r="C10" s="770" t="s">
        <v>245</v>
      </c>
      <c r="D10" s="771"/>
      <c r="E10" s="771"/>
      <c r="F10" s="771"/>
      <c r="G10" s="772"/>
      <c r="H10" s="786" t="s">
        <v>109</v>
      </c>
      <c r="I10" s="787"/>
      <c r="J10" s="787"/>
      <c r="K10" s="787"/>
      <c r="L10" s="788"/>
      <c r="M10" s="783" t="s">
        <v>251</v>
      </c>
      <c r="N10" s="784"/>
      <c r="O10" s="784"/>
      <c r="P10" s="784"/>
      <c r="Q10" s="785"/>
      <c r="R10" s="12"/>
    </row>
    <row r="11" spans="1:256" ht="79.5" customHeight="1" thickBot="1" x14ac:dyDescent="0.25">
      <c r="A11" s="775"/>
      <c r="B11" s="769"/>
      <c r="C11" s="194" t="s">
        <v>87</v>
      </c>
      <c r="D11" s="195" t="s">
        <v>133</v>
      </c>
      <c r="E11" s="195" t="s">
        <v>134</v>
      </c>
      <c r="F11" s="195" t="s">
        <v>88</v>
      </c>
      <c r="G11" s="374" t="s">
        <v>89</v>
      </c>
      <c r="H11" s="333" t="s">
        <v>87</v>
      </c>
      <c r="I11" s="384" t="s">
        <v>133</v>
      </c>
      <c r="J11" s="384" t="s">
        <v>134</v>
      </c>
      <c r="K11" s="200" t="s">
        <v>88</v>
      </c>
      <c r="L11" s="201" t="s">
        <v>89</v>
      </c>
      <c r="M11" s="488" t="s">
        <v>87</v>
      </c>
      <c r="N11" s="489" t="s">
        <v>133</v>
      </c>
      <c r="O11" s="489" t="s">
        <v>134</v>
      </c>
      <c r="P11" s="489" t="s">
        <v>88</v>
      </c>
      <c r="Q11" s="490" t="s">
        <v>89</v>
      </c>
      <c r="R11" s="12"/>
    </row>
    <row r="12" spans="1:256" ht="13.5" customHeight="1" x14ac:dyDescent="0.2">
      <c r="A12" s="789" t="s">
        <v>202</v>
      </c>
      <c r="B12" s="468" t="s">
        <v>126</v>
      </c>
      <c r="C12" s="466">
        <v>89300</v>
      </c>
      <c r="D12" s="193">
        <v>120600</v>
      </c>
      <c r="E12" s="193">
        <v>125000</v>
      </c>
      <c r="F12" s="193">
        <v>139800</v>
      </c>
      <c r="G12" s="375">
        <v>165200</v>
      </c>
      <c r="H12" s="385">
        <v>0.12</v>
      </c>
      <c r="I12" s="370">
        <f>+H12</f>
        <v>0.12</v>
      </c>
      <c r="J12" s="370">
        <f>+H12</f>
        <v>0.12</v>
      </c>
      <c r="K12" s="370">
        <f>+H12</f>
        <v>0.12</v>
      </c>
      <c r="L12" s="457">
        <f>+H12</f>
        <v>0.12</v>
      </c>
      <c r="M12" s="485">
        <f>CEILING(C12*(1+H12),100)</f>
        <v>100100</v>
      </c>
      <c r="N12" s="486">
        <f>+CEILING(C12*(1.35)*(1+I12),100)</f>
        <v>135100</v>
      </c>
      <c r="O12" s="486">
        <f>+CEILING(C12*(1.4)*(1+J12),100)</f>
        <v>140100</v>
      </c>
      <c r="P12" s="486">
        <f t="shared" ref="P12:Q15" si="0">+CEILING(F12*(1+K12),100)</f>
        <v>156600</v>
      </c>
      <c r="Q12" s="487">
        <f t="shared" si="0"/>
        <v>185100</v>
      </c>
      <c r="R12" s="46"/>
    </row>
    <row r="13" spans="1:256" ht="13.5" customHeight="1" x14ac:dyDescent="0.2">
      <c r="A13" s="790"/>
      <c r="B13" s="469" t="s">
        <v>247</v>
      </c>
      <c r="C13" s="466">
        <v>139600</v>
      </c>
      <c r="D13" s="193">
        <v>188400</v>
      </c>
      <c r="E13" s="193">
        <v>195400</v>
      </c>
      <c r="F13" s="193">
        <v>174500</v>
      </c>
      <c r="G13" s="375">
        <v>209200</v>
      </c>
      <c r="H13" s="196">
        <v>0.12</v>
      </c>
      <c r="I13" s="197">
        <f>+H13</f>
        <v>0.12</v>
      </c>
      <c r="J13" s="197">
        <f>+H13</f>
        <v>0.12</v>
      </c>
      <c r="K13" s="197">
        <f>+H13</f>
        <v>0.12</v>
      </c>
      <c r="L13" s="386">
        <f>+H13</f>
        <v>0.12</v>
      </c>
      <c r="M13" s="379">
        <f>CEILING(C13*(1+H13),100)</f>
        <v>156400</v>
      </c>
      <c r="N13" s="202">
        <f t="shared" ref="N13:N16" si="1">+CEILING(C13*(1.35)*(1+I13),100)</f>
        <v>211100</v>
      </c>
      <c r="O13" s="202">
        <f t="shared" ref="O13:O16" si="2">+CEILING(C13*(1.4)*(1+J13),100)</f>
        <v>218900</v>
      </c>
      <c r="P13" s="202">
        <f>+CEILING(F13*(1+K13),100)</f>
        <v>195500</v>
      </c>
      <c r="Q13" s="203">
        <f t="shared" si="0"/>
        <v>234400</v>
      </c>
      <c r="R13" s="46"/>
    </row>
    <row r="14" spans="1:256" ht="13.5" customHeight="1" x14ac:dyDescent="0.2">
      <c r="A14" s="790"/>
      <c r="B14" s="469" t="s">
        <v>203</v>
      </c>
      <c r="C14" s="466">
        <v>126200</v>
      </c>
      <c r="D14" s="193">
        <v>170400</v>
      </c>
      <c r="E14" s="193">
        <v>176700</v>
      </c>
      <c r="F14" s="193">
        <v>189400</v>
      </c>
      <c r="G14" s="375">
        <v>222000</v>
      </c>
      <c r="H14" s="196">
        <v>0.12</v>
      </c>
      <c r="I14" s="197">
        <f>+H14</f>
        <v>0.12</v>
      </c>
      <c r="J14" s="197">
        <f>+H14</f>
        <v>0.12</v>
      </c>
      <c r="K14" s="197">
        <f>+H14</f>
        <v>0.12</v>
      </c>
      <c r="L14" s="386">
        <f t="shared" ref="L14:L18" si="3">+H14</f>
        <v>0.12</v>
      </c>
      <c r="M14" s="379">
        <f>CEILING(C14*(1+H14),100)</f>
        <v>141400</v>
      </c>
      <c r="N14" s="202">
        <f t="shared" si="1"/>
        <v>190900</v>
      </c>
      <c r="O14" s="202">
        <f t="shared" si="2"/>
        <v>197900</v>
      </c>
      <c r="P14" s="202">
        <f t="shared" si="0"/>
        <v>212200</v>
      </c>
      <c r="Q14" s="203">
        <f t="shared" si="0"/>
        <v>248700</v>
      </c>
      <c r="R14" s="46"/>
    </row>
    <row r="15" spans="1:256" ht="13.5" customHeight="1" thickBot="1" x14ac:dyDescent="0.25">
      <c r="A15" s="791"/>
      <c r="B15" s="470" t="s">
        <v>204</v>
      </c>
      <c r="C15" s="467">
        <v>193500</v>
      </c>
      <c r="D15" s="367">
        <v>261200</v>
      </c>
      <c r="E15" s="367">
        <v>270800</v>
      </c>
      <c r="F15" s="367">
        <v>241900</v>
      </c>
      <c r="G15" s="376">
        <v>251500</v>
      </c>
      <c r="H15" s="198">
        <v>0.1</v>
      </c>
      <c r="I15" s="199">
        <f>+H15</f>
        <v>0.1</v>
      </c>
      <c r="J15" s="199">
        <f>+H15</f>
        <v>0.1</v>
      </c>
      <c r="K15" s="199">
        <f>+H15</f>
        <v>0.1</v>
      </c>
      <c r="L15" s="387">
        <f t="shared" si="3"/>
        <v>0.1</v>
      </c>
      <c r="M15" s="380">
        <f>CEILING(C15*(1+H15),100)</f>
        <v>212900</v>
      </c>
      <c r="N15" s="368">
        <f t="shared" si="1"/>
        <v>287400</v>
      </c>
      <c r="O15" s="368">
        <f t="shared" si="2"/>
        <v>298000</v>
      </c>
      <c r="P15" s="368">
        <f t="shared" si="0"/>
        <v>266100</v>
      </c>
      <c r="Q15" s="369">
        <f t="shared" si="0"/>
        <v>276700</v>
      </c>
    </row>
    <row r="16" spans="1:256" ht="12.75" customHeight="1" x14ac:dyDescent="0.2">
      <c r="A16" s="780" t="s">
        <v>237</v>
      </c>
      <c r="B16" s="475" t="s">
        <v>214</v>
      </c>
      <c r="C16" s="291">
        <v>368300</v>
      </c>
      <c r="D16" s="292">
        <v>497200</v>
      </c>
      <c r="E16" s="292">
        <v>515600</v>
      </c>
      <c r="F16" s="292">
        <v>460300</v>
      </c>
      <c r="G16" s="377">
        <v>552400</v>
      </c>
      <c r="H16" s="461">
        <v>0.08</v>
      </c>
      <c r="I16" s="462">
        <f t="shared" ref="I16:I18" si="4">+H16</f>
        <v>0.08</v>
      </c>
      <c r="J16" s="462">
        <f t="shared" ref="J16:J18" si="5">+H16</f>
        <v>0.08</v>
      </c>
      <c r="K16" s="462">
        <f t="shared" ref="K16:K18" si="6">+H16</f>
        <v>0.08</v>
      </c>
      <c r="L16" s="463">
        <f t="shared" si="3"/>
        <v>0.08</v>
      </c>
      <c r="M16" s="381">
        <f>CEILING(C16*(1+H16),100)</f>
        <v>397800</v>
      </c>
      <c r="N16" s="292">
        <f t="shared" si="1"/>
        <v>537000</v>
      </c>
      <c r="O16" s="292">
        <f t="shared" si="2"/>
        <v>556900</v>
      </c>
      <c r="P16" s="292">
        <f>+CEILING(F16*(1+K16),100)</f>
        <v>497200</v>
      </c>
      <c r="Q16" s="371">
        <f>+CEILING(G16*(1+L16),100)</f>
        <v>596600</v>
      </c>
    </row>
    <row r="17" spans="1:17" x14ac:dyDescent="0.2">
      <c r="A17" s="781"/>
      <c r="B17" s="476" t="s">
        <v>215</v>
      </c>
      <c r="C17" s="372"/>
      <c r="D17" s="366"/>
      <c r="E17" s="366"/>
      <c r="F17" s="366"/>
      <c r="G17" s="378"/>
      <c r="H17" s="372">
        <v>0</v>
      </c>
      <c r="I17" s="366"/>
      <c r="J17" s="366"/>
      <c r="K17" s="366"/>
      <c r="L17" s="373"/>
      <c r="M17" s="382"/>
      <c r="N17" s="366"/>
      <c r="O17" s="366"/>
      <c r="P17" s="366"/>
      <c r="Q17" s="373"/>
    </row>
    <row r="18" spans="1:17" ht="13.5" thickBot="1" x14ac:dyDescent="0.25">
      <c r="A18" s="782"/>
      <c r="B18" s="477" t="s">
        <v>216</v>
      </c>
      <c r="C18" s="388">
        <v>221200</v>
      </c>
      <c r="D18" s="389">
        <v>298600</v>
      </c>
      <c r="E18" s="389">
        <v>309600</v>
      </c>
      <c r="F18" s="389">
        <v>331500</v>
      </c>
      <c r="G18" s="390">
        <v>442000</v>
      </c>
      <c r="H18" s="198">
        <v>0.08</v>
      </c>
      <c r="I18" s="199">
        <f t="shared" si="4"/>
        <v>0.08</v>
      </c>
      <c r="J18" s="199">
        <f t="shared" si="5"/>
        <v>0.08</v>
      </c>
      <c r="K18" s="199">
        <f t="shared" si="6"/>
        <v>0.08</v>
      </c>
      <c r="L18" s="387">
        <f t="shared" si="3"/>
        <v>0.08</v>
      </c>
      <c r="M18" s="383">
        <f>CEILING(C18*(1+H18),100)</f>
        <v>238900</v>
      </c>
      <c r="N18" s="204">
        <f>+CEILING(C18*(1.35)*(1+I18),100)</f>
        <v>322600</v>
      </c>
      <c r="O18" s="204">
        <f>+CEILING(C18*(1.4)*(1+J18),100)</f>
        <v>334500</v>
      </c>
      <c r="P18" s="204">
        <f>+CEILING(F18*(1+K18),100)</f>
        <v>358100</v>
      </c>
      <c r="Q18" s="205">
        <f>+CEILING(G18*(1+L18),100)</f>
        <v>477400</v>
      </c>
    </row>
    <row r="19" spans="1:17" ht="12.75" customHeight="1" x14ac:dyDescent="0.2"/>
    <row r="22" spans="1:17" x14ac:dyDescent="0.2">
      <c r="D22" s="59"/>
    </row>
    <row r="23" spans="1:17" ht="15.75" x14ac:dyDescent="0.2">
      <c r="A23" s="773" t="s">
        <v>144</v>
      </c>
      <c r="B23" s="773"/>
      <c r="C23" s="773"/>
      <c r="D23" s="773"/>
      <c r="E23" s="773"/>
      <c r="F23" s="773"/>
      <c r="G23" s="4"/>
      <c r="H23" s="4"/>
    </row>
    <row r="24" spans="1:17" ht="13.5" thickBot="1" x14ac:dyDescent="0.25"/>
    <row r="25" spans="1:17" ht="16.5" thickBot="1" x14ac:dyDescent="0.25">
      <c r="A25" s="778" t="s">
        <v>132</v>
      </c>
      <c r="B25" s="776" t="s">
        <v>5</v>
      </c>
      <c r="C25" s="765" t="s">
        <v>252</v>
      </c>
      <c r="D25" s="766"/>
      <c r="E25" s="766"/>
      <c r="F25" s="766"/>
      <c r="G25" s="766"/>
      <c r="H25" s="767"/>
    </row>
    <row r="26" spans="1:17" ht="64.5" thickBot="1" x14ac:dyDescent="0.25">
      <c r="A26" s="779"/>
      <c r="B26" s="777"/>
      <c r="C26" s="353" t="s">
        <v>87</v>
      </c>
      <c r="D26" s="51" t="s">
        <v>133</v>
      </c>
      <c r="E26" s="51" t="s">
        <v>134</v>
      </c>
      <c r="F26" s="51" t="s">
        <v>88</v>
      </c>
      <c r="G26" s="357" t="s">
        <v>89</v>
      </c>
      <c r="H26" s="362" t="s">
        <v>131</v>
      </c>
    </row>
    <row r="27" spans="1:17" ht="20.100000000000001" customHeight="1" x14ac:dyDescent="0.2">
      <c r="A27" s="759" t="str">
        <f>+A12</f>
        <v>Jardín Infantil Mar y Cielo</v>
      </c>
      <c r="B27" s="348" t="str">
        <f>+B12</f>
        <v>Media jornada</v>
      </c>
      <c r="C27" s="354">
        <v>1</v>
      </c>
      <c r="D27" s="251">
        <v>1</v>
      </c>
      <c r="E27" s="251"/>
      <c r="F27" s="251"/>
      <c r="G27" s="358"/>
      <c r="H27" s="363">
        <f>SUM(C27:G27)</f>
        <v>2</v>
      </c>
    </row>
    <row r="28" spans="1:17" ht="20.100000000000001" customHeight="1" x14ac:dyDescent="0.2">
      <c r="A28" s="760"/>
      <c r="B28" s="464" t="s">
        <v>247</v>
      </c>
      <c r="C28" s="472">
        <v>5</v>
      </c>
      <c r="D28" s="471"/>
      <c r="E28" s="471"/>
      <c r="F28" s="471"/>
      <c r="G28" s="473"/>
      <c r="H28" s="474">
        <f>SUM(C28:G28)</f>
        <v>5</v>
      </c>
    </row>
    <row r="29" spans="1:17" ht="20.100000000000001" customHeight="1" thickBot="1" x14ac:dyDescent="0.25">
      <c r="A29" s="761"/>
      <c r="B29" s="349" t="str">
        <f>+B14</f>
        <v xml:space="preserve">Doble jornada </v>
      </c>
      <c r="C29" s="465">
        <v>0</v>
      </c>
      <c r="D29" s="114"/>
      <c r="E29" s="114"/>
      <c r="F29" s="114"/>
      <c r="G29" s="359"/>
      <c r="H29" s="474">
        <f>SUM(C29:G29)</f>
        <v>0</v>
      </c>
    </row>
    <row r="30" spans="1:17" ht="20.100000000000001" customHeight="1" thickBot="1" x14ac:dyDescent="0.25">
      <c r="A30" s="762"/>
      <c r="B30" s="350" t="str">
        <f>+B15</f>
        <v>Jornada completa</v>
      </c>
      <c r="C30" s="356">
        <v>30</v>
      </c>
      <c r="D30" s="58"/>
      <c r="E30" s="58"/>
      <c r="F30" s="58"/>
      <c r="G30" s="361"/>
      <c r="H30" s="365">
        <f t="shared" ref="H30" si="7">SUM(C30:G30)</f>
        <v>30</v>
      </c>
      <c r="I30" s="352">
        <f>SUM(H27:H30)</f>
        <v>37</v>
      </c>
    </row>
    <row r="31" spans="1:17" ht="19.5" customHeight="1" x14ac:dyDescent="0.2">
      <c r="A31" s="756" t="str">
        <f>+A16</f>
        <v>Sala Cuna Mar y Cielo Diurna</v>
      </c>
      <c r="B31" s="348" t="str">
        <f t="shared" ref="B31:B33" si="8">+B16</f>
        <v>Diurna</v>
      </c>
      <c r="C31" s="354">
        <v>12</v>
      </c>
      <c r="D31" s="251"/>
      <c r="E31" s="251"/>
      <c r="F31" s="251"/>
      <c r="G31" s="358"/>
      <c r="H31" s="491">
        <f>SUM(C31:G31)</f>
        <v>12</v>
      </c>
    </row>
    <row r="32" spans="1:17" ht="19.5" customHeight="1" thickBot="1" x14ac:dyDescent="0.25">
      <c r="A32" s="757"/>
      <c r="B32" s="349" t="str">
        <f t="shared" si="8"/>
        <v>Nocturna</v>
      </c>
      <c r="C32" s="355"/>
      <c r="D32" s="347"/>
      <c r="E32" s="347"/>
      <c r="F32" s="347"/>
      <c r="G32" s="360"/>
      <c r="H32" s="364"/>
    </row>
    <row r="33" spans="1:9" ht="19.5" customHeight="1" thickBot="1" x14ac:dyDescent="0.25">
      <c r="A33" s="758"/>
      <c r="B33" s="351" t="str">
        <f t="shared" si="8"/>
        <v>Media Jornada</v>
      </c>
      <c r="C33" s="356"/>
      <c r="D33" s="58"/>
      <c r="E33" s="58"/>
      <c r="F33" s="58"/>
      <c r="G33" s="361"/>
      <c r="H33" s="365">
        <f>SUM(C33:G33)</f>
        <v>0</v>
      </c>
      <c r="I33" s="352">
        <f>SUM(H31:H33)</f>
        <v>12</v>
      </c>
    </row>
  </sheetData>
  <mergeCells count="16">
    <mergeCell ref="M10:Q10"/>
    <mergeCell ref="A23:F23"/>
    <mergeCell ref="H10:L10"/>
    <mergeCell ref="A12:A15"/>
    <mergeCell ref="C5:D5"/>
    <mergeCell ref="A31:A33"/>
    <mergeCell ref="A27:A30"/>
    <mergeCell ref="F5:G5"/>
    <mergeCell ref="C25:H25"/>
    <mergeCell ref="B10:B11"/>
    <mergeCell ref="C10:G10"/>
    <mergeCell ref="A8:D8"/>
    <mergeCell ref="A10:A11"/>
    <mergeCell ref="B25:B26"/>
    <mergeCell ref="A25:A26"/>
    <mergeCell ref="A16:A18"/>
  </mergeCells>
  <pageMargins left="0.7" right="0.7" top="0.75" bottom="0.75" header="0.3" footer="0.3"/>
  <pageSetup paperSize="9" orientation="portrait" r:id="rId1"/>
  <ignoredErrors>
    <ignoredError sqref="K12:L12"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pageSetUpPr fitToPage="1"/>
  </sheetPr>
  <dimension ref="A1:P142"/>
  <sheetViews>
    <sheetView showGridLines="0" topLeftCell="A58" zoomScale="80" zoomScaleNormal="80" workbookViewId="0">
      <selection activeCell="D83" sqref="D83"/>
    </sheetView>
  </sheetViews>
  <sheetFormatPr baseColWidth="10" defaultColWidth="11.42578125" defaultRowHeight="12.75" x14ac:dyDescent="0.2"/>
  <cols>
    <col min="1" max="1" width="30.28515625" style="2" customWidth="1"/>
    <col min="2" max="2" width="21.140625" style="2" customWidth="1"/>
    <col min="3" max="3" width="57.42578125" style="2" bestFit="1" customWidth="1"/>
    <col min="4" max="4" width="17" style="2" customWidth="1"/>
    <col min="5" max="5" width="14.28515625" style="2" customWidth="1"/>
    <col min="6" max="6" width="14.42578125" style="17" customWidth="1"/>
    <col min="7" max="7" width="15.28515625" style="4" bestFit="1" customWidth="1"/>
    <col min="8" max="8" width="23" style="4" customWidth="1"/>
    <col min="9" max="9" width="20.7109375" style="2" hidden="1" customWidth="1"/>
    <col min="10" max="10" width="13.85546875" style="2" bestFit="1" customWidth="1"/>
    <col min="11" max="11" width="16.28515625" style="2" customWidth="1"/>
    <col min="12" max="12" width="11.42578125" style="2"/>
    <col min="13" max="13" width="97.85546875" style="2" customWidth="1"/>
    <col min="14" max="14" width="12.85546875" style="2" bestFit="1" customWidth="1"/>
    <col min="15" max="15" width="15.140625" style="2" customWidth="1"/>
    <col min="16" max="16" width="14.7109375" style="2" customWidth="1"/>
    <col min="17" max="16384" width="11.42578125" style="2"/>
  </cols>
  <sheetData>
    <row r="1" spans="1:16" x14ac:dyDescent="0.2">
      <c r="C1" s="31"/>
      <c r="D1" s="31" t="s">
        <v>197</v>
      </c>
      <c r="E1" s="31"/>
      <c r="F1" s="31"/>
      <c r="G1" s="31"/>
      <c r="H1" s="31"/>
    </row>
    <row r="2" spans="1:16" x14ac:dyDescent="0.2">
      <c r="C2" s="31"/>
      <c r="D2" s="31" t="s">
        <v>205</v>
      </c>
      <c r="E2" s="31"/>
      <c r="F2" s="31"/>
      <c r="G2" s="31"/>
      <c r="H2" s="31"/>
    </row>
    <row r="3" spans="1:16" x14ac:dyDescent="0.2">
      <c r="C3" s="31"/>
      <c r="E3" s="31"/>
      <c r="F3" s="31"/>
      <c r="G3" s="31"/>
      <c r="H3" s="31"/>
    </row>
    <row r="4" spans="1:16" ht="15.75" x14ac:dyDescent="0.2">
      <c r="C4" s="6" t="s">
        <v>0</v>
      </c>
      <c r="D4" s="812" t="s">
        <v>145</v>
      </c>
      <c r="E4" s="813"/>
      <c r="F4" s="31"/>
      <c r="G4" s="31"/>
      <c r="H4" s="31"/>
    </row>
    <row r="5" spans="1:16" x14ac:dyDescent="0.2">
      <c r="B5" s="31"/>
      <c r="C5" s="31"/>
      <c r="D5" s="31"/>
      <c r="E5" s="31"/>
      <c r="F5" s="31"/>
      <c r="G5" s="31"/>
      <c r="H5" s="31"/>
    </row>
    <row r="6" spans="1:16" x14ac:dyDescent="0.2">
      <c r="B6" s="31"/>
      <c r="C6" s="31"/>
      <c r="D6" s="31"/>
      <c r="E6" s="31"/>
      <c r="F6" s="31"/>
      <c r="G6" s="31"/>
      <c r="H6" s="31"/>
    </row>
    <row r="7" spans="1:16" x14ac:dyDescent="0.2">
      <c r="C7" s="4"/>
    </row>
    <row r="8" spans="1:16" ht="15.75" x14ac:dyDescent="0.2">
      <c r="A8" s="773" t="s">
        <v>146</v>
      </c>
      <c r="B8" s="773"/>
      <c r="C8" s="773"/>
      <c r="D8" s="31"/>
      <c r="G8" s="2"/>
    </row>
    <row r="10" spans="1:16" x14ac:dyDescent="0.2">
      <c r="A10" s="816" t="s">
        <v>115</v>
      </c>
      <c r="B10" s="814" t="s">
        <v>76</v>
      </c>
      <c r="C10" s="820" t="s">
        <v>77</v>
      </c>
      <c r="D10" s="818" t="s">
        <v>78</v>
      </c>
      <c r="E10" s="817" t="s">
        <v>79</v>
      </c>
      <c r="F10" s="817"/>
      <c r="G10" s="817"/>
      <c r="H10" s="819" t="s">
        <v>253</v>
      </c>
      <c r="I10" s="801" t="s">
        <v>75</v>
      </c>
      <c r="M10" s="793" t="s">
        <v>219</v>
      </c>
      <c r="N10" s="795" t="s">
        <v>213</v>
      </c>
      <c r="O10" s="795" t="s">
        <v>217</v>
      </c>
      <c r="P10" s="795" t="s">
        <v>218</v>
      </c>
    </row>
    <row r="11" spans="1:16" ht="25.5" x14ac:dyDescent="0.2">
      <c r="A11" s="805"/>
      <c r="B11" s="815"/>
      <c r="C11" s="809"/>
      <c r="D11" s="818"/>
      <c r="E11" s="102" t="s">
        <v>67</v>
      </c>
      <c r="F11" s="103" t="s">
        <v>68</v>
      </c>
      <c r="G11" s="334" t="s">
        <v>6</v>
      </c>
      <c r="H11" s="800"/>
      <c r="I11" s="802"/>
      <c r="M11" s="794"/>
      <c r="N11" s="796"/>
      <c r="O11" s="796"/>
      <c r="P11" s="796"/>
    </row>
    <row r="12" spans="1:16" x14ac:dyDescent="0.2">
      <c r="A12" s="803" t="str">
        <f>+'B) Reajuste Tarifas y Ocupación'!A12</f>
        <v>Jardín Infantil Mar y Cielo</v>
      </c>
      <c r="B12" s="325"/>
      <c r="C12" s="88" t="s">
        <v>11</v>
      </c>
      <c r="D12" s="97">
        <f>SUM(D13,D18)</f>
        <v>34667709.748400003</v>
      </c>
      <c r="E12" s="98"/>
      <c r="F12" s="98"/>
      <c r="G12" s="104">
        <f>SUM(G13,G18)</f>
        <v>2003400</v>
      </c>
      <c r="H12" s="95">
        <f>SUM(H13,H18)</f>
        <v>36671109.748400003</v>
      </c>
      <c r="I12" s="286"/>
      <c r="M12" s="399" t="s">
        <v>11</v>
      </c>
      <c r="N12" s="400"/>
      <c r="O12" s="400"/>
      <c r="P12" s="400"/>
    </row>
    <row r="13" spans="1:16" x14ac:dyDescent="0.2">
      <c r="A13" s="803"/>
      <c r="B13" s="326"/>
      <c r="C13" s="84" t="s">
        <v>12</v>
      </c>
      <c r="D13" s="86">
        <f>SUM(D14:D17)</f>
        <v>4502469.7483999999</v>
      </c>
      <c r="E13" s="87"/>
      <c r="F13" s="87"/>
      <c r="G13" s="105">
        <f>SUM(G14:G17)</f>
        <v>0</v>
      </c>
      <c r="H13" s="91">
        <f>SUM(H14:H17)</f>
        <v>4502469.7483999999</v>
      </c>
      <c r="I13" s="286"/>
      <c r="M13" s="401" t="s">
        <v>16</v>
      </c>
      <c r="N13" s="402"/>
      <c r="O13" s="402"/>
      <c r="P13" s="402"/>
    </row>
    <row r="14" spans="1:16" x14ac:dyDescent="0.2">
      <c r="A14" s="803"/>
      <c r="B14" s="327">
        <v>53103040100000</v>
      </c>
      <c r="C14" s="80" t="s">
        <v>96</v>
      </c>
      <c r="D14" s="110">
        <f>+'F) Remuneraciones'!L11</f>
        <v>4457890.84</v>
      </c>
      <c r="E14" s="106"/>
      <c r="F14" s="107"/>
      <c r="G14" s="96">
        <f>E14*F14</f>
        <v>0</v>
      </c>
      <c r="H14" s="90">
        <f>D14+G14</f>
        <v>4457890.84</v>
      </c>
      <c r="I14" s="286"/>
      <c r="M14" s="403" t="s">
        <v>171</v>
      </c>
      <c r="N14" s="283">
        <v>80000</v>
      </c>
      <c r="O14" s="284">
        <f t="shared" ref="O14:O61" si="0">N14*0.8</f>
        <v>64000</v>
      </c>
      <c r="P14" s="284">
        <f t="shared" ref="P14:P61" si="1">N14*0.2</f>
        <v>16000</v>
      </c>
    </row>
    <row r="15" spans="1:16" x14ac:dyDescent="0.2">
      <c r="A15" s="803"/>
      <c r="B15" s="327">
        <v>53103050000000</v>
      </c>
      <c r="C15" s="80" t="s">
        <v>165</v>
      </c>
      <c r="D15" s="81">
        <v>0</v>
      </c>
      <c r="E15" s="83">
        <v>0</v>
      </c>
      <c r="F15" s="82">
        <v>0</v>
      </c>
      <c r="G15" s="96">
        <f>E15*F15</f>
        <v>0</v>
      </c>
      <c r="H15" s="90">
        <f>D15+G15</f>
        <v>0</v>
      </c>
      <c r="I15" s="286"/>
      <c r="M15" s="404" t="s">
        <v>19</v>
      </c>
      <c r="N15" s="285">
        <v>0</v>
      </c>
      <c r="O15" s="284">
        <f t="shared" si="0"/>
        <v>0</v>
      </c>
      <c r="P15" s="284">
        <f t="shared" si="1"/>
        <v>0</v>
      </c>
    </row>
    <row r="16" spans="1:16" x14ac:dyDescent="0.2">
      <c r="A16" s="803"/>
      <c r="B16" s="328">
        <v>53103040400000</v>
      </c>
      <c r="C16" s="109" t="s">
        <v>166</v>
      </c>
      <c r="D16" s="81">
        <f>+D14*0.01</f>
        <v>44578.9084</v>
      </c>
      <c r="E16" s="83">
        <v>0</v>
      </c>
      <c r="F16" s="82">
        <v>0</v>
      </c>
      <c r="G16" s="96">
        <f>E16*F16</f>
        <v>0</v>
      </c>
      <c r="H16" s="90">
        <f>D16+G16</f>
        <v>44578.9084</v>
      </c>
      <c r="I16" s="286"/>
      <c r="M16" s="404" t="s">
        <v>172</v>
      </c>
      <c r="N16" s="285">
        <v>0</v>
      </c>
      <c r="O16" s="284">
        <f t="shared" si="0"/>
        <v>0</v>
      </c>
      <c r="P16" s="284">
        <f t="shared" si="1"/>
        <v>0</v>
      </c>
    </row>
    <row r="17" spans="1:16" x14ac:dyDescent="0.2">
      <c r="A17" s="803"/>
      <c r="B17" s="327">
        <v>53103080010000</v>
      </c>
      <c r="C17" s="80" t="s">
        <v>167</v>
      </c>
      <c r="D17" s="81">
        <v>0</v>
      </c>
      <c r="E17" s="83">
        <v>0</v>
      </c>
      <c r="F17" s="82">
        <v>0</v>
      </c>
      <c r="G17" s="96">
        <f>E17*F17</f>
        <v>0</v>
      </c>
      <c r="H17" s="90">
        <f>D17+G17</f>
        <v>0</v>
      </c>
      <c r="I17" s="286"/>
      <c r="M17" s="404" t="s">
        <v>208</v>
      </c>
      <c r="N17" s="285">
        <v>80000</v>
      </c>
      <c r="O17" s="284">
        <f t="shared" si="0"/>
        <v>64000</v>
      </c>
      <c r="P17" s="284">
        <f t="shared" si="1"/>
        <v>16000</v>
      </c>
    </row>
    <row r="18" spans="1:16" x14ac:dyDescent="0.2">
      <c r="A18" s="803"/>
      <c r="B18" s="326"/>
      <c r="C18" s="84" t="s">
        <v>16</v>
      </c>
      <c r="D18" s="86">
        <f>SUM(D19:D38)</f>
        <v>30165240</v>
      </c>
      <c r="E18" s="87"/>
      <c r="F18" s="87"/>
      <c r="G18" s="86">
        <f>SUM(G19:G38)</f>
        <v>2003400</v>
      </c>
      <c r="H18" s="91">
        <f>SUM(H19:H38)</f>
        <v>32168640</v>
      </c>
      <c r="I18" s="286"/>
      <c r="J18" s="112"/>
      <c r="M18" s="404" t="s">
        <v>22</v>
      </c>
      <c r="N18" s="285">
        <v>350000</v>
      </c>
      <c r="O18" s="284">
        <f t="shared" si="0"/>
        <v>280000</v>
      </c>
      <c r="P18" s="284">
        <f t="shared" si="1"/>
        <v>70000</v>
      </c>
    </row>
    <row r="19" spans="1:16" x14ac:dyDescent="0.2">
      <c r="A19" s="803"/>
      <c r="B19" s="327">
        <v>53201010100000</v>
      </c>
      <c r="C19" s="79" t="s">
        <v>168</v>
      </c>
      <c r="D19" s="81">
        <f>E19*11*0.5</f>
        <v>257400</v>
      </c>
      <c r="E19" s="83">
        <f>2340*20</f>
        <v>46800</v>
      </c>
      <c r="F19" s="82">
        <v>0.5</v>
      </c>
      <c r="G19" s="96">
        <f t="shared" ref="G19:G38" si="2">E19*F19</f>
        <v>23400</v>
      </c>
      <c r="H19" s="90">
        <f t="shared" ref="H19:H38" si="3">D19+G19</f>
        <v>280800</v>
      </c>
      <c r="I19" s="286"/>
      <c r="M19" s="404" t="s">
        <v>174</v>
      </c>
      <c r="N19" s="285">
        <v>40000</v>
      </c>
      <c r="O19" s="284">
        <f t="shared" si="0"/>
        <v>32000</v>
      </c>
      <c r="P19" s="284">
        <f t="shared" si="1"/>
        <v>8000</v>
      </c>
    </row>
    <row r="20" spans="1:16" x14ac:dyDescent="0.2">
      <c r="A20" s="803"/>
      <c r="B20" s="327">
        <v>53201010100000</v>
      </c>
      <c r="C20" s="79" t="s">
        <v>169</v>
      </c>
      <c r="D20" s="81">
        <f>E20*11*51</f>
        <v>24684000</v>
      </c>
      <c r="E20" s="83">
        <f>2200*20</f>
        <v>44000</v>
      </c>
      <c r="F20" s="82">
        <v>45</v>
      </c>
      <c r="G20" s="96">
        <f t="shared" ref="G20:G21" si="4">E20*F20</f>
        <v>1980000</v>
      </c>
      <c r="H20" s="90">
        <f t="shared" ref="H20:H21" si="5">D20+G20</f>
        <v>26664000</v>
      </c>
      <c r="I20" s="78"/>
      <c r="M20" s="404" t="s">
        <v>24</v>
      </c>
      <c r="N20" s="285">
        <v>1175000</v>
      </c>
      <c r="O20" s="284">
        <f t="shared" si="0"/>
        <v>940000</v>
      </c>
      <c r="P20" s="284">
        <f t="shared" si="1"/>
        <v>235000</v>
      </c>
    </row>
    <row r="21" spans="1:16" x14ac:dyDescent="0.2">
      <c r="A21" s="803"/>
      <c r="B21" s="327">
        <v>53201010100000</v>
      </c>
      <c r="C21" s="79" t="s">
        <v>170</v>
      </c>
      <c r="D21" s="81">
        <v>0</v>
      </c>
      <c r="E21" s="83">
        <v>0</v>
      </c>
      <c r="F21" s="82">
        <v>0</v>
      </c>
      <c r="G21" s="96">
        <f t="shared" si="4"/>
        <v>0</v>
      </c>
      <c r="H21" s="90">
        <f t="shared" si="5"/>
        <v>0</v>
      </c>
      <c r="I21" s="78"/>
      <c r="M21" s="404" t="s">
        <v>25</v>
      </c>
      <c r="N21" s="285">
        <v>1033200</v>
      </c>
      <c r="O21" s="284">
        <f t="shared" si="0"/>
        <v>826560</v>
      </c>
      <c r="P21" s="284">
        <f t="shared" si="1"/>
        <v>206640</v>
      </c>
    </row>
    <row r="22" spans="1:16" x14ac:dyDescent="0.2">
      <c r="A22" s="803"/>
      <c r="B22" s="327">
        <v>53202010100000</v>
      </c>
      <c r="C22" s="80" t="s">
        <v>171</v>
      </c>
      <c r="D22" s="161">
        <f>+O14</f>
        <v>64000</v>
      </c>
      <c r="E22" s="96">
        <v>0</v>
      </c>
      <c r="F22" s="405">
        <v>0</v>
      </c>
      <c r="G22" s="96">
        <f t="shared" si="2"/>
        <v>0</v>
      </c>
      <c r="H22" s="90">
        <f t="shared" si="3"/>
        <v>64000</v>
      </c>
      <c r="I22" s="286"/>
      <c r="M22" s="404" t="s">
        <v>26</v>
      </c>
      <c r="N22" s="285">
        <v>1940400</v>
      </c>
      <c r="O22" s="284">
        <f t="shared" si="0"/>
        <v>1552320</v>
      </c>
      <c r="P22" s="284">
        <f t="shared" si="1"/>
        <v>388080</v>
      </c>
    </row>
    <row r="23" spans="1:16" x14ac:dyDescent="0.2">
      <c r="A23" s="803"/>
      <c r="B23" s="327">
        <v>53203010100000</v>
      </c>
      <c r="C23" s="80" t="s">
        <v>19</v>
      </c>
      <c r="D23" s="161">
        <f>+O15</f>
        <v>0</v>
      </c>
      <c r="E23" s="96">
        <v>0</v>
      </c>
      <c r="F23" s="405">
        <v>0</v>
      </c>
      <c r="G23" s="96">
        <f t="shared" si="2"/>
        <v>0</v>
      </c>
      <c r="H23" s="90">
        <f>D23+G23</f>
        <v>0</v>
      </c>
      <c r="I23" s="286"/>
      <c r="M23" s="404" t="s">
        <v>27</v>
      </c>
      <c r="N23" s="285">
        <v>0</v>
      </c>
      <c r="O23" s="284">
        <f t="shared" si="0"/>
        <v>0</v>
      </c>
      <c r="P23" s="284">
        <f t="shared" si="1"/>
        <v>0</v>
      </c>
    </row>
    <row r="24" spans="1:16" x14ac:dyDescent="0.2">
      <c r="A24" s="803"/>
      <c r="B24" s="327">
        <v>53203030000000</v>
      </c>
      <c r="C24" s="80" t="s">
        <v>172</v>
      </c>
      <c r="D24" s="161">
        <f t="shared" ref="D24:D38" si="6">+O16</f>
        <v>0</v>
      </c>
      <c r="E24" s="96">
        <v>0</v>
      </c>
      <c r="F24" s="405">
        <v>0</v>
      </c>
      <c r="G24" s="96">
        <f t="shared" si="2"/>
        <v>0</v>
      </c>
      <c r="H24" s="90">
        <f t="shared" si="3"/>
        <v>0</v>
      </c>
      <c r="I24" s="286"/>
      <c r="M24" s="404" t="s">
        <v>29</v>
      </c>
      <c r="N24" s="285">
        <v>340200</v>
      </c>
      <c r="O24" s="284">
        <f t="shared" si="0"/>
        <v>272160</v>
      </c>
      <c r="P24" s="284">
        <f t="shared" si="1"/>
        <v>68040</v>
      </c>
    </row>
    <row r="25" spans="1:16" x14ac:dyDescent="0.2">
      <c r="A25" s="803"/>
      <c r="B25" s="327">
        <v>53204030000000</v>
      </c>
      <c r="C25" s="80" t="s">
        <v>208</v>
      </c>
      <c r="D25" s="161">
        <f t="shared" si="6"/>
        <v>64000</v>
      </c>
      <c r="E25" s="96">
        <v>0</v>
      </c>
      <c r="F25" s="405">
        <v>0</v>
      </c>
      <c r="G25" s="96">
        <f t="shared" si="2"/>
        <v>0</v>
      </c>
      <c r="H25" s="90">
        <f>D25+G25</f>
        <v>64000</v>
      </c>
      <c r="I25" s="286"/>
      <c r="M25" s="404" t="s">
        <v>30</v>
      </c>
      <c r="N25" s="285">
        <v>0</v>
      </c>
      <c r="O25" s="284">
        <f t="shared" si="0"/>
        <v>0</v>
      </c>
      <c r="P25" s="284">
        <f t="shared" si="1"/>
        <v>0</v>
      </c>
    </row>
    <row r="26" spans="1:16" x14ac:dyDescent="0.2">
      <c r="A26" s="803"/>
      <c r="B26" s="327">
        <v>53204100100001</v>
      </c>
      <c r="C26" s="80" t="s">
        <v>22</v>
      </c>
      <c r="D26" s="161">
        <f t="shared" si="6"/>
        <v>280000</v>
      </c>
      <c r="E26" s="96">
        <v>0</v>
      </c>
      <c r="F26" s="405">
        <v>0</v>
      </c>
      <c r="G26" s="96">
        <f t="shared" si="2"/>
        <v>0</v>
      </c>
      <c r="H26" s="90">
        <f t="shared" si="3"/>
        <v>280000</v>
      </c>
      <c r="I26" s="286"/>
      <c r="M26" s="404" t="s">
        <v>31</v>
      </c>
      <c r="N26" s="283">
        <v>168000</v>
      </c>
      <c r="O26" s="284">
        <f t="shared" si="0"/>
        <v>134400</v>
      </c>
      <c r="P26" s="284">
        <f t="shared" si="1"/>
        <v>33600</v>
      </c>
    </row>
    <row r="27" spans="1:16" x14ac:dyDescent="0.2">
      <c r="A27" s="803"/>
      <c r="B27" s="327">
        <v>53204130100000</v>
      </c>
      <c r="C27" s="80" t="s">
        <v>174</v>
      </c>
      <c r="D27" s="161">
        <f t="shared" si="6"/>
        <v>32000</v>
      </c>
      <c r="E27" s="96">
        <v>0</v>
      </c>
      <c r="F27" s="405">
        <v>0</v>
      </c>
      <c r="G27" s="96">
        <f t="shared" si="2"/>
        <v>0</v>
      </c>
      <c r="H27" s="90">
        <f t="shared" si="3"/>
        <v>32000</v>
      </c>
      <c r="I27" s="286"/>
      <c r="M27" s="404" t="s">
        <v>175</v>
      </c>
      <c r="N27" s="285">
        <v>0</v>
      </c>
      <c r="O27" s="284">
        <f t="shared" si="0"/>
        <v>0</v>
      </c>
      <c r="P27" s="284">
        <f t="shared" si="1"/>
        <v>0</v>
      </c>
    </row>
    <row r="28" spans="1:16" x14ac:dyDescent="0.2">
      <c r="A28" s="803"/>
      <c r="B28" s="327">
        <v>53205010100000</v>
      </c>
      <c r="C28" s="80" t="s">
        <v>24</v>
      </c>
      <c r="D28" s="161">
        <f t="shared" si="6"/>
        <v>940000</v>
      </c>
      <c r="E28" s="96">
        <v>0</v>
      </c>
      <c r="F28" s="405">
        <v>0</v>
      </c>
      <c r="G28" s="96">
        <f t="shared" si="2"/>
        <v>0</v>
      </c>
      <c r="H28" s="90">
        <f t="shared" si="3"/>
        <v>940000</v>
      </c>
      <c r="I28" s="286"/>
      <c r="M28" s="404" t="s">
        <v>32</v>
      </c>
      <c r="N28" s="285">
        <v>0</v>
      </c>
      <c r="O28" s="284">
        <f t="shared" si="0"/>
        <v>0</v>
      </c>
      <c r="P28" s="284">
        <f t="shared" si="1"/>
        <v>0</v>
      </c>
    </row>
    <row r="29" spans="1:16" x14ac:dyDescent="0.2">
      <c r="A29" s="803"/>
      <c r="B29" s="327">
        <v>53205020100000</v>
      </c>
      <c r="C29" s="80" t="s">
        <v>25</v>
      </c>
      <c r="D29" s="161">
        <f t="shared" si="6"/>
        <v>826560</v>
      </c>
      <c r="E29" s="96">
        <v>0</v>
      </c>
      <c r="F29" s="405">
        <v>0</v>
      </c>
      <c r="G29" s="96">
        <f t="shared" si="2"/>
        <v>0</v>
      </c>
      <c r="H29" s="90">
        <f t="shared" si="3"/>
        <v>826560</v>
      </c>
      <c r="I29" s="286"/>
      <c r="M29" s="403" t="s">
        <v>176</v>
      </c>
      <c r="N29" s="285">
        <v>630000</v>
      </c>
      <c r="O29" s="284">
        <f t="shared" si="0"/>
        <v>504000</v>
      </c>
      <c r="P29" s="284">
        <f t="shared" si="1"/>
        <v>126000</v>
      </c>
    </row>
    <row r="30" spans="1:16" x14ac:dyDescent="0.2">
      <c r="A30" s="803"/>
      <c r="B30" s="327">
        <v>53205030100000</v>
      </c>
      <c r="C30" s="80" t="s">
        <v>26</v>
      </c>
      <c r="D30" s="161">
        <f t="shared" si="6"/>
        <v>1552320</v>
      </c>
      <c r="E30" s="96">
        <v>0</v>
      </c>
      <c r="F30" s="405">
        <v>0</v>
      </c>
      <c r="G30" s="96">
        <f t="shared" si="2"/>
        <v>0</v>
      </c>
      <c r="H30" s="90">
        <f t="shared" si="3"/>
        <v>1552320</v>
      </c>
      <c r="I30" s="286"/>
      <c r="M30" s="404" t="s">
        <v>177</v>
      </c>
      <c r="N30" s="283">
        <v>693000</v>
      </c>
      <c r="O30" s="284">
        <f t="shared" si="0"/>
        <v>554400</v>
      </c>
      <c r="P30" s="284">
        <f t="shared" si="1"/>
        <v>138600</v>
      </c>
    </row>
    <row r="31" spans="1:16" x14ac:dyDescent="0.2">
      <c r="A31" s="803"/>
      <c r="B31" s="327">
        <v>53205050100000</v>
      </c>
      <c r="C31" s="80" t="s">
        <v>27</v>
      </c>
      <c r="D31" s="161">
        <f t="shared" si="6"/>
        <v>0</v>
      </c>
      <c r="E31" s="96">
        <v>0</v>
      </c>
      <c r="F31" s="405">
        <v>0</v>
      </c>
      <c r="G31" s="96">
        <f t="shared" si="2"/>
        <v>0</v>
      </c>
      <c r="H31" s="90">
        <f t="shared" si="3"/>
        <v>0</v>
      </c>
      <c r="I31" s="286"/>
      <c r="M31" s="406" t="s">
        <v>34</v>
      </c>
      <c r="N31" s="407"/>
      <c r="O31" s="407"/>
      <c r="P31" s="407"/>
    </row>
    <row r="32" spans="1:16" x14ac:dyDescent="0.2">
      <c r="A32" s="803"/>
      <c r="B32" s="327">
        <v>53205070100000</v>
      </c>
      <c r="C32" s="80" t="s">
        <v>29</v>
      </c>
      <c r="D32" s="161">
        <f t="shared" si="6"/>
        <v>272160</v>
      </c>
      <c r="E32" s="96">
        <v>0</v>
      </c>
      <c r="F32" s="405">
        <v>0</v>
      </c>
      <c r="G32" s="96">
        <f t="shared" si="2"/>
        <v>0</v>
      </c>
      <c r="H32" s="90">
        <f t="shared" si="3"/>
        <v>272160</v>
      </c>
      <c r="I32" s="286"/>
      <c r="M32" s="408" t="s">
        <v>35</v>
      </c>
      <c r="N32" s="409"/>
      <c r="O32" s="409"/>
      <c r="P32" s="409"/>
    </row>
    <row r="33" spans="1:16" x14ac:dyDescent="0.2">
      <c r="A33" s="803"/>
      <c r="B33" s="327">
        <v>53208010100000</v>
      </c>
      <c r="C33" s="80" t="s">
        <v>30</v>
      </c>
      <c r="D33" s="161">
        <f t="shared" si="6"/>
        <v>0</v>
      </c>
      <c r="E33" s="96">
        <v>0</v>
      </c>
      <c r="F33" s="405">
        <v>0</v>
      </c>
      <c r="G33" s="96">
        <f t="shared" si="2"/>
        <v>0</v>
      </c>
      <c r="H33" s="90">
        <f t="shared" si="3"/>
        <v>0</v>
      </c>
      <c r="I33" s="286"/>
      <c r="M33" s="404" t="s">
        <v>41</v>
      </c>
      <c r="N33" s="285">
        <v>300000</v>
      </c>
      <c r="O33" s="284">
        <f t="shared" si="0"/>
        <v>240000</v>
      </c>
      <c r="P33" s="284">
        <f t="shared" si="1"/>
        <v>60000</v>
      </c>
    </row>
    <row r="34" spans="1:16" x14ac:dyDescent="0.2">
      <c r="A34" s="803"/>
      <c r="B34" s="327">
        <v>53208070100001</v>
      </c>
      <c r="C34" s="80" t="s">
        <v>31</v>
      </c>
      <c r="D34" s="161">
        <f t="shared" si="6"/>
        <v>134400</v>
      </c>
      <c r="E34" s="96">
        <v>0</v>
      </c>
      <c r="F34" s="405">
        <v>0</v>
      </c>
      <c r="G34" s="96">
        <f t="shared" si="2"/>
        <v>0</v>
      </c>
      <c r="H34" s="90">
        <f t="shared" si="3"/>
        <v>134400</v>
      </c>
      <c r="I34" s="286"/>
      <c r="M34" s="403" t="s">
        <v>180</v>
      </c>
      <c r="N34" s="285">
        <v>0</v>
      </c>
      <c r="O34" s="284">
        <f t="shared" si="0"/>
        <v>0</v>
      </c>
      <c r="P34" s="284">
        <f t="shared" si="1"/>
        <v>0</v>
      </c>
    </row>
    <row r="35" spans="1:16" x14ac:dyDescent="0.2">
      <c r="A35" s="803"/>
      <c r="B35" s="327">
        <v>53208100100001</v>
      </c>
      <c r="C35" s="80" t="s">
        <v>175</v>
      </c>
      <c r="D35" s="161">
        <f t="shared" si="6"/>
        <v>0</v>
      </c>
      <c r="E35" s="96">
        <v>0</v>
      </c>
      <c r="F35" s="405">
        <v>0</v>
      </c>
      <c r="G35" s="96">
        <f t="shared" si="2"/>
        <v>0</v>
      </c>
      <c r="H35" s="90">
        <f t="shared" si="3"/>
        <v>0</v>
      </c>
      <c r="I35" s="286"/>
      <c r="M35" s="408" t="s">
        <v>42</v>
      </c>
      <c r="N35" s="409"/>
      <c r="O35" s="409"/>
      <c r="P35" s="409"/>
    </row>
    <row r="36" spans="1:16" x14ac:dyDescent="0.2">
      <c r="A36" s="803"/>
      <c r="B36" s="327">
        <v>53211030000000</v>
      </c>
      <c r="C36" s="80" t="s">
        <v>32</v>
      </c>
      <c r="D36" s="161">
        <f t="shared" si="6"/>
        <v>0</v>
      </c>
      <c r="E36" s="96">
        <v>0</v>
      </c>
      <c r="F36" s="405">
        <v>0</v>
      </c>
      <c r="G36" s="96">
        <f t="shared" si="2"/>
        <v>0</v>
      </c>
      <c r="H36" s="90">
        <f t="shared" si="3"/>
        <v>0</v>
      </c>
      <c r="I36" s="286"/>
      <c r="M36" s="404" t="s">
        <v>44</v>
      </c>
      <c r="N36" s="285">
        <v>1500000</v>
      </c>
      <c r="O36" s="284">
        <f t="shared" si="0"/>
        <v>1200000</v>
      </c>
      <c r="P36" s="284">
        <f t="shared" si="1"/>
        <v>300000</v>
      </c>
    </row>
    <row r="37" spans="1:16" x14ac:dyDescent="0.2">
      <c r="A37" s="803"/>
      <c r="B37" s="327">
        <v>53212020100000</v>
      </c>
      <c r="C37" s="80" t="s">
        <v>176</v>
      </c>
      <c r="D37" s="161">
        <f t="shared" si="6"/>
        <v>504000</v>
      </c>
      <c r="E37" s="96">
        <v>0</v>
      </c>
      <c r="F37" s="405">
        <v>0</v>
      </c>
      <c r="G37" s="96">
        <f t="shared" si="2"/>
        <v>0</v>
      </c>
      <c r="H37" s="90">
        <f t="shared" si="3"/>
        <v>504000</v>
      </c>
      <c r="I37" s="286"/>
      <c r="M37" s="408" t="s">
        <v>45</v>
      </c>
      <c r="N37" s="408"/>
      <c r="O37" s="410"/>
      <c r="P37" s="410"/>
    </row>
    <row r="38" spans="1:16" x14ac:dyDescent="0.2">
      <c r="A38" s="803"/>
      <c r="B38" s="327">
        <v>53214020000000</v>
      </c>
      <c r="C38" s="80" t="s">
        <v>177</v>
      </c>
      <c r="D38" s="161">
        <f t="shared" si="6"/>
        <v>554400</v>
      </c>
      <c r="E38" s="96">
        <v>0</v>
      </c>
      <c r="F38" s="405">
        <v>0</v>
      </c>
      <c r="G38" s="96">
        <f t="shared" si="2"/>
        <v>0</v>
      </c>
      <c r="H38" s="90">
        <f t="shared" si="3"/>
        <v>554400</v>
      </c>
      <c r="I38" s="286"/>
      <c r="M38" s="404" t="s">
        <v>47</v>
      </c>
      <c r="N38" s="285">
        <v>693000</v>
      </c>
      <c r="O38" s="284">
        <f t="shared" si="0"/>
        <v>554400</v>
      </c>
      <c r="P38" s="284">
        <f t="shared" si="1"/>
        <v>138600</v>
      </c>
    </row>
    <row r="39" spans="1:16" x14ac:dyDescent="0.2">
      <c r="A39" s="803"/>
      <c r="B39" s="325"/>
      <c r="C39" s="88" t="s">
        <v>34</v>
      </c>
      <c r="D39" s="97">
        <v>0</v>
      </c>
      <c r="E39" s="98"/>
      <c r="F39" s="98"/>
      <c r="G39" s="97">
        <f>SUM(G40,G45,G47,G56,G65,G73)</f>
        <v>1796562</v>
      </c>
      <c r="H39" s="92">
        <f>SUM(H40,H45,H47,H56,H65,H73)</f>
        <v>10271251.6</v>
      </c>
      <c r="I39" s="286"/>
      <c r="M39" s="404" t="s">
        <v>207</v>
      </c>
      <c r="N39" s="285">
        <v>60000</v>
      </c>
      <c r="O39" s="284">
        <f t="shared" si="0"/>
        <v>48000</v>
      </c>
      <c r="P39" s="284">
        <f t="shared" si="1"/>
        <v>12000</v>
      </c>
    </row>
    <row r="40" spans="1:16" x14ac:dyDescent="0.2">
      <c r="A40" s="803"/>
      <c r="B40" s="326"/>
      <c r="C40" s="84" t="s">
        <v>35</v>
      </c>
      <c r="D40" s="86">
        <f>SUM(D41:D44)</f>
        <v>510000</v>
      </c>
      <c r="E40" s="87"/>
      <c r="F40" s="87"/>
      <c r="G40" s="99">
        <f>SUM(G41:G44)</f>
        <v>270000</v>
      </c>
      <c r="H40" s="93">
        <f>SUM(H41:H44)</f>
        <v>780000</v>
      </c>
      <c r="I40" s="286"/>
      <c r="M40" s="404" t="s">
        <v>49</v>
      </c>
      <c r="N40" s="285"/>
      <c r="O40" s="284">
        <f>N40*0.8</f>
        <v>0</v>
      </c>
      <c r="P40" s="284">
        <f>N40*0.2</f>
        <v>0</v>
      </c>
    </row>
    <row r="41" spans="1:16" x14ac:dyDescent="0.2">
      <c r="A41" s="803"/>
      <c r="B41" s="327">
        <v>53202020100000</v>
      </c>
      <c r="C41" s="80" t="s">
        <v>178</v>
      </c>
      <c r="D41" s="81">
        <v>270000</v>
      </c>
      <c r="E41" s="83">
        <v>30000</v>
      </c>
      <c r="F41" s="82">
        <v>9</v>
      </c>
      <c r="G41" s="96">
        <f>E41*F41</f>
        <v>270000</v>
      </c>
      <c r="H41" s="90">
        <f t="shared" ref="H41:H74" si="7">D41+G41</f>
        <v>540000</v>
      </c>
      <c r="I41" s="286"/>
      <c r="M41" s="404" t="s">
        <v>50</v>
      </c>
      <c r="N41" s="285">
        <v>1260000</v>
      </c>
      <c r="O41" s="284">
        <f>N41*0.8</f>
        <v>1008000</v>
      </c>
      <c r="P41" s="284">
        <f>N41*0.2</f>
        <v>252000</v>
      </c>
    </row>
    <row r="42" spans="1:16" x14ac:dyDescent="0.2">
      <c r="A42" s="803"/>
      <c r="B42" s="327">
        <v>53202030000000</v>
      </c>
      <c r="C42" s="80" t="s">
        <v>179</v>
      </c>
      <c r="D42" s="81">
        <v>0</v>
      </c>
      <c r="E42" s="83">
        <v>0</v>
      </c>
      <c r="F42" s="82">
        <v>0</v>
      </c>
      <c r="G42" s="96">
        <f t="shared" ref="G42:G74" si="8">E42*F42</f>
        <v>0</v>
      </c>
      <c r="H42" s="90">
        <f t="shared" si="7"/>
        <v>0</v>
      </c>
      <c r="I42" s="286"/>
      <c r="M42" s="404" t="s">
        <v>51</v>
      </c>
      <c r="N42" s="285">
        <v>380000</v>
      </c>
      <c r="O42" s="284">
        <f t="shared" si="0"/>
        <v>304000</v>
      </c>
      <c r="P42" s="284">
        <f t="shared" si="1"/>
        <v>76000</v>
      </c>
    </row>
    <row r="43" spans="1:16" x14ac:dyDescent="0.2">
      <c r="A43" s="803"/>
      <c r="B43" s="327">
        <v>53211020000000</v>
      </c>
      <c r="C43" s="80" t="s">
        <v>41</v>
      </c>
      <c r="D43" s="161">
        <f>+O33</f>
        <v>240000</v>
      </c>
      <c r="E43" s="96">
        <v>0</v>
      </c>
      <c r="F43" s="405">
        <v>0</v>
      </c>
      <c r="G43" s="96">
        <f t="shared" si="8"/>
        <v>0</v>
      </c>
      <c r="H43" s="90">
        <f t="shared" si="7"/>
        <v>240000</v>
      </c>
      <c r="I43" s="286"/>
      <c r="M43" s="404" t="s">
        <v>52</v>
      </c>
      <c r="N43" s="283">
        <v>120000</v>
      </c>
      <c r="O43" s="284">
        <f t="shared" ref="O43" si="9">N43*0.8</f>
        <v>96000</v>
      </c>
      <c r="P43" s="284">
        <f t="shared" ref="P43" si="10">N43*0.2</f>
        <v>24000</v>
      </c>
    </row>
    <row r="44" spans="1:16" x14ac:dyDescent="0.2">
      <c r="A44" s="803"/>
      <c r="B44" s="327">
        <v>53101040600000</v>
      </c>
      <c r="C44" s="80" t="s">
        <v>180</v>
      </c>
      <c r="D44" s="161">
        <f>+O34</f>
        <v>0</v>
      </c>
      <c r="E44" s="96">
        <v>0</v>
      </c>
      <c r="F44" s="405">
        <v>0</v>
      </c>
      <c r="G44" s="96">
        <f t="shared" si="8"/>
        <v>0</v>
      </c>
      <c r="H44" s="90">
        <f t="shared" si="7"/>
        <v>0</v>
      </c>
      <c r="I44" s="286"/>
      <c r="M44" s="403" t="s">
        <v>181</v>
      </c>
      <c r="N44" s="283">
        <v>80000</v>
      </c>
      <c r="O44" s="284">
        <f t="shared" si="0"/>
        <v>64000</v>
      </c>
      <c r="P44" s="284">
        <f t="shared" si="1"/>
        <v>16000</v>
      </c>
    </row>
    <row r="45" spans="1:16" x14ac:dyDescent="0.2">
      <c r="A45" s="803"/>
      <c r="B45" s="326"/>
      <c r="C45" s="84" t="s">
        <v>42</v>
      </c>
      <c r="D45" s="86">
        <f>SUM(D46:D46)</f>
        <v>1200000</v>
      </c>
      <c r="E45" s="87"/>
      <c r="F45" s="87"/>
      <c r="G45" s="99">
        <f>SUM(G46:G46)</f>
        <v>0</v>
      </c>
      <c r="H45" s="93">
        <f>SUM(H46:H46)</f>
        <v>1200000</v>
      </c>
      <c r="I45" s="286"/>
      <c r="M45" s="404" t="s">
        <v>173</v>
      </c>
      <c r="N45" s="285">
        <v>0</v>
      </c>
      <c r="O45" s="284">
        <f t="shared" si="0"/>
        <v>0</v>
      </c>
      <c r="P45" s="284">
        <f t="shared" si="1"/>
        <v>0</v>
      </c>
    </row>
    <row r="46" spans="1:16" x14ac:dyDescent="0.2">
      <c r="A46" s="803"/>
      <c r="B46" s="329">
        <v>53205990000000</v>
      </c>
      <c r="C46" s="80" t="s">
        <v>44</v>
      </c>
      <c r="D46" s="161">
        <f>+O36</f>
        <v>1200000</v>
      </c>
      <c r="E46" s="96">
        <v>0</v>
      </c>
      <c r="F46" s="405">
        <v>0</v>
      </c>
      <c r="G46" s="96">
        <f t="shared" si="8"/>
        <v>0</v>
      </c>
      <c r="H46" s="90">
        <f t="shared" si="7"/>
        <v>1200000</v>
      </c>
      <c r="I46" s="286"/>
      <c r="M46" s="408" t="s">
        <v>55</v>
      </c>
      <c r="N46" s="408"/>
      <c r="O46" s="410"/>
      <c r="P46" s="410"/>
    </row>
    <row r="47" spans="1:16" x14ac:dyDescent="0.2">
      <c r="A47" s="803"/>
      <c r="B47" s="326"/>
      <c r="C47" s="84" t="s">
        <v>45</v>
      </c>
      <c r="D47" s="86">
        <f>SUM(D48:D55)</f>
        <v>2074400</v>
      </c>
      <c r="E47" s="87"/>
      <c r="F47" s="87"/>
      <c r="G47" s="86">
        <f>SUM(G48:G55)</f>
        <v>0</v>
      </c>
      <c r="H47" s="91">
        <f>SUM(H48:H55)</f>
        <v>2074400</v>
      </c>
      <c r="I47" s="286"/>
      <c r="M47" s="404" t="s">
        <v>56</v>
      </c>
      <c r="N47" s="285">
        <v>0</v>
      </c>
      <c r="O47" s="284">
        <f t="shared" si="0"/>
        <v>0</v>
      </c>
      <c r="P47" s="284">
        <f t="shared" si="1"/>
        <v>0</v>
      </c>
    </row>
    <row r="48" spans="1:16" x14ac:dyDescent="0.2">
      <c r="A48" s="803"/>
      <c r="B48" s="327">
        <v>53204010000000</v>
      </c>
      <c r="C48" s="80" t="s">
        <v>47</v>
      </c>
      <c r="D48" s="161">
        <f>+O38</f>
        <v>554400</v>
      </c>
      <c r="E48" s="161">
        <v>0</v>
      </c>
      <c r="F48" s="405">
        <v>0</v>
      </c>
      <c r="G48" s="96">
        <f t="shared" si="8"/>
        <v>0</v>
      </c>
      <c r="H48" s="90">
        <f t="shared" si="7"/>
        <v>554400</v>
      </c>
      <c r="I48" s="286"/>
      <c r="M48" s="404" t="s">
        <v>57</v>
      </c>
      <c r="N48" s="285">
        <v>0</v>
      </c>
      <c r="O48" s="284">
        <f t="shared" si="0"/>
        <v>0</v>
      </c>
      <c r="P48" s="284">
        <f t="shared" si="1"/>
        <v>0</v>
      </c>
    </row>
    <row r="49" spans="1:16" x14ac:dyDescent="0.2">
      <c r="A49" s="803"/>
      <c r="B49" s="329">
        <v>53204040200000</v>
      </c>
      <c r="C49" s="80" t="s">
        <v>207</v>
      </c>
      <c r="D49" s="161">
        <f t="shared" ref="D49:D55" si="11">+O39</f>
        <v>48000</v>
      </c>
      <c r="E49" s="161">
        <v>0</v>
      </c>
      <c r="F49" s="405">
        <v>0</v>
      </c>
      <c r="G49" s="96">
        <f t="shared" si="8"/>
        <v>0</v>
      </c>
      <c r="H49" s="90">
        <f t="shared" si="7"/>
        <v>48000</v>
      </c>
      <c r="I49" s="286"/>
      <c r="M49" s="404" t="s">
        <v>164</v>
      </c>
      <c r="N49" s="285">
        <v>0</v>
      </c>
      <c r="O49" s="284">
        <f t="shared" si="0"/>
        <v>0</v>
      </c>
      <c r="P49" s="284">
        <f t="shared" si="1"/>
        <v>0</v>
      </c>
    </row>
    <row r="50" spans="1:16" x14ac:dyDescent="0.2">
      <c r="A50" s="803"/>
      <c r="B50" s="327">
        <v>53204060000000</v>
      </c>
      <c r="C50" s="80" t="s">
        <v>49</v>
      </c>
      <c r="D50" s="161">
        <f t="shared" si="11"/>
        <v>0</v>
      </c>
      <c r="E50" s="161">
        <v>0</v>
      </c>
      <c r="F50" s="405">
        <v>0</v>
      </c>
      <c r="G50" s="96">
        <f t="shared" si="8"/>
        <v>0</v>
      </c>
      <c r="H50" s="90">
        <f t="shared" si="7"/>
        <v>0</v>
      </c>
      <c r="I50" s="286"/>
      <c r="M50" s="404" t="s">
        <v>182</v>
      </c>
      <c r="N50" s="285">
        <v>350000</v>
      </c>
      <c r="O50" s="284">
        <f t="shared" si="0"/>
        <v>280000</v>
      </c>
      <c r="P50" s="284">
        <f t="shared" si="1"/>
        <v>70000</v>
      </c>
    </row>
    <row r="51" spans="1:16" x14ac:dyDescent="0.2">
      <c r="A51" s="803"/>
      <c r="B51" s="327">
        <v>53204070000000</v>
      </c>
      <c r="C51" s="80" t="s">
        <v>50</v>
      </c>
      <c r="D51" s="161">
        <f t="shared" si="11"/>
        <v>1008000</v>
      </c>
      <c r="E51" s="161">
        <v>0</v>
      </c>
      <c r="F51" s="405">
        <v>0</v>
      </c>
      <c r="G51" s="96">
        <f t="shared" si="8"/>
        <v>0</v>
      </c>
      <c r="H51" s="90">
        <f t="shared" si="7"/>
        <v>1008000</v>
      </c>
      <c r="I51" s="286"/>
      <c r="M51" s="404" t="s">
        <v>185</v>
      </c>
      <c r="N51" s="285">
        <v>100000</v>
      </c>
      <c r="O51" s="284">
        <f t="shared" si="0"/>
        <v>80000</v>
      </c>
      <c r="P51" s="284">
        <f t="shared" si="1"/>
        <v>20000</v>
      </c>
    </row>
    <row r="52" spans="1:16" x14ac:dyDescent="0.2">
      <c r="A52" s="803"/>
      <c r="B52" s="327">
        <v>53204080000000</v>
      </c>
      <c r="C52" s="80" t="s">
        <v>51</v>
      </c>
      <c r="D52" s="161">
        <f t="shared" si="11"/>
        <v>304000</v>
      </c>
      <c r="E52" s="161">
        <v>0</v>
      </c>
      <c r="F52" s="405">
        <v>0</v>
      </c>
      <c r="G52" s="96">
        <f t="shared" si="8"/>
        <v>0</v>
      </c>
      <c r="H52" s="90">
        <f t="shared" si="7"/>
        <v>304000</v>
      </c>
      <c r="I52" s="286"/>
      <c r="M52" s="404" t="s">
        <v>183</v>
      </c>
      <c r="N52" s="285">
        <v>50000</v>
      </c>
      <c r="O52" s="284">
        <f t="shared" si="0"/>
        <v>40000</v>
      </c>
      <c r="P52" s="284">
        <f t="shared" si="1"/>
        <v>10000</v>
      </c>
    </row>
    <row r="53" spans="1:16" x14ac:dyDescent="0.2">
      <c r="A53" s="803"/>
      <c r="B53" s="327">
        <v>53214010000000</v>
      </c>
      <c r="C53" s="80" t="s">
        <v>52</v>
      </c>
      <c r="D53" s="161">
        <f t="shared" si="11"/>
        <v>96000</v>
      </c>
      <c r="E53" s="161">
        <v>0</v>
      </c>
      <c r="F53" s="405">
        <v>0</v>
      </c>
      <c r="G53" s="96">
        <f t="shared" si="8"/>
        <v>0</v>
      </c>
      <c r="H53" s="90">
        <f t="shared" si="7"/>
        <v>96000</v>
      </c>
      <c r="I53" s="286"/>
      <c r="M53" s="404" t="s">
        <v>64</v>
      </c>
      <c r="N53" s="285">
        <v>1309112</v>
      </c>
      <c r="O53" s="284">
        <f t="shared" si="0"/>
        <v>1047289.6000000001</v>
      </c>
      <c r="P53" s="284">
        <f t="shared" si="1"/>
        <v>261822.40000000002</v>
      </c>
    </row>
    <row r="54" spans="1:16" x14ac:dyDescent="0.2">
      <c r="A54" s="803"/>
      <c r="B54" s="327">
        <v>53214040000000</v>
      </c>
      <c r="C54" s="80" t="s">
        <v>181</v>
      </c>
      <c r="D54" s="161">
        <f t="shared" si="11"/>
        <v>64000</v>
      </c>
      <c r="E54" s="161">
        <v>0</v>
      </c>
      <c r="F54" s="405">
        <v>0</v>
      </c>
      <c r="G54" s="96">
        <f t="shared" si="8"/>
        <v>0</v>
      </c>
      <c r="H54" s="90">
        <f t="shared" si="7"/>
        <v>64000</v>
      </c>
      <c r="I54" s="286"/>
      <c r="M54" s="408" t="s">
        <v>65</v>
      </c>
      <c r="N54" s="410"/>
      <c r="O54" s="410"/>
      <c r="P54" s="410"/>
    </row>
    <row r="55" spans="1:16" x14ac:dyDescent="0.2">
      <c r="A55" s="803"/>
      <c r="B55" s="328">
        <v>53204020100000</v>
      </c>
      <c r="C55" s="80" t="s">
        <v>173</v>
      </c>
      <c r="D55" s="161">
        <f t="shared" si="11"/>
        <v>0</v>
      </c>
      <c r="E55" s="161">
        <v>0</v>
      </c>
      <c r="F55" s="405">
        <v>0</v>
      </c>
      <c r="G55" s="96">
        <f t="shared" si="8"/>
        <v>0</v>
      </c>
      <c r="H55" s="90">
        <f t="shared" si="7"/>
        <v>0</v>
      </c>
      <c r="I55" s="286"/>
      <c r="M55" s="404" t="s">
        <v>100</v>
      </c>
      <c r="N55" s="285">
        <v>250000</v>
      </c>
      <c r="O55" s="284">
        <f t="shared" si="0"/>
        <v>200000</v>
      </c>
      <c r="P55" s="284">
        <f t="shared" si="1"/>
        <v>50000</v>
      </c>
    </row>
    <row r="56" spans="1:16" x14ac:dyDescent="0.2">
      <c r="A56" s="803"/>
      <c r="B56" s="326"/>
      <c r="C56" s="84" t="s">
        <v>55</v>
      </c>
      <c r="D56" s="86">
        <f>SUM(D57:D64)</f>
        <v>1447289.6</v>
      </c>
      <c r="E56" s="87"/>
      <c r="F56" s="87"/>
      <c r="G56" s="86">
        <f>SUM(G57:G64)</f>
        <v>234062</v>
      </c>
      <c r="H56" s="91">
        <f>SUM(H57:H64)</f>
        <v>1681351.6</v>
      </c>
      <c r="I56" s="286"/>
      <c r="M56" s="404" t="s">
        <v>101</v>
      </c>
      <c r="N56" s="285">
        <v>0</v>
      </c>
      <c r="O56" s="284">
        <f t="shared" si="0"/>
        <v>0</v>
      </c>
      <c r="P56" s="284">
        <f t="shared" si="1"/>
        <v>0</v>
      </c>
    </row>
    <row r="57" spans="1:16" x14ac:dyDescent="0.2">
      <c r="A57" s="803"/>
      <c r="B57" s="327">
        <v>53207010000000</v>
      </c>
      <c r="C57" s="80" t="s">
        <v>56</v>
      </c>
      <c r="D57" s="161">
        <f>+O47</f>
        <v>0</v>
      </c>
      <c r="E57" s="161">
        <v>0</v>
      </c>
      <c r="F57" s="405">
        <v>0</v>
      </c>
      <c r="G57" s="96">
        <f t="shared" si="8"/>
        <v>0</v>
      </c>
      <c r="H57" s="90">
        <f t="shared" si="7"/>
        <v>0</v>
      </c>
      <c r="I57" s="286"/>
      <c r="M57" s="404" t="s">
        <v>186</v>
      </c>
      <c r="N57" s="285">
        <v>1800000</v>
      </c>
      <c r="O57" s="284">
        <f t="shared" si="0"/>
        <v>1440000</v>
      </c>
      <c r="P57" s="284">
        <f t="shared" si="1"/>
        <v>360000</v>
      </c>
    </row>
    <row r="58" spans="1:16" x14ac:dyDescent="0.2">
      <c r="A58" s="803"/>
      <c r="B58" s="327">
        <v>53207020000000</v>
      </c>
      <c r="C58" s="80" t="s">
        <v>57</v>
      </c>
      <c r="D58" s="161">
        <f t="shared" ref="D58:D60" si="12">+O48</f>
        <v>0</v>
      </c>
      <c r="E58" s="161">
        <v>0</v>
      </c>
      <c r="F58" s="405">
        <v>0</v>
      </c>
      <c r="G58" s="96">
        <f t="shared" si="8"/>
        <v>0</v>
      </c>
      <c r="H58" s="90">
        <f t="shared" si="7"/>
        <v>0</v>
      </c>
      <c r="I58" s="286"/>
      <c r="M58" s="404" t="s">
        <v>103</v>
      </c>
      <c r="N58" s="285">
        <v>0</v>
      </c>
      <c r="O58" s="284">
        <f t="shared" si="0"/>
        <v>0</v>
      </c>
      <c r="P58" s="284">
        <f t="shared" si="1"/>
        <v>0</v>
      </c>
    </row>
    <row r="59" spans="1:16" x14ac:dyDescent="0.2">
      <c r="A59" s="803"/>
      <c r="B59" s="327">
        <v>53208020000000</v>
      </c>
      <c r="C59" s="80" t="s">
        <v>164</v>
      </c>
      <c r="D59" s="161">
        <f t="shared" si="12"/>
        <v>0</v>
      </c>
      <c r="E59" s="161">
        <v>0</v>
      </c>
      <c r="F59" s="405">
        <v>0</v>
      </c>
      <c r="G59" s="96">
        <f t="shared" si="8"/>
        <v>0</v>
      </c>
      <c r="H59" s="90">
        <f t="shared" si="7"/>
        <v>0</v>
      </c>
      <c r="I59" s="286"/>
      <c r="M59" s="403" t="s">
        <v>187</v>
      </c>
      <c r="N59" s="285">
        <v>0</v>
      </c>
      <c r="O59" s="284">
        <f t="shared" si="0"/>
        <v>0</v>
      </c>
      <c r="P59" s="284">
        <f t="shared" si="1"/>
        <v>0</v>
      </c>
    </row>
    <row r="60" spans="1:16" x14ac:dyDescent="0.2">
      <c r="A60" s="803"/>
      <c r="B60" s="327">
        <v>53208990000000</v>
      </c>
      <c r="C60" s="80" t="s">
        <v>182</v>
      </c>
      <c r="D60" s="161">
        <f t="shared" si="12"/>
        <v>280000</v>
      </c>
      <c r="E60" s="161">
        <v>0</v>
      </c>
      <c r="F60" s="405">
        <v>0</v>
      </c>
      <c r="G60" s="96">
        <f t="shared" si="8"/>
        <v>0</v>
      </c>
      <c r="H60" s="90">
        <f t="shared" si="7"/>
        <v>280000</v>
      </c>
      <c r="I60" s="286"/>
      <c r="M60" s="404" t="s">
        <v>105</v>
      </c>
      <c r="N60" s="285">
        <v>160000</v>
      </c>
      <c r="O60" s="284">
        <f t="shared" si="0"/>
        <v>128000</v>
      </c>
      <c r="P60" s="284">
        <f t="shared" si="1"/>
        <v>32000</v>
      </c>
    </row>
    <row r="61" spans="1:16" x14ac:dyDescent="0.2">
      <c r="A61" s="803"/>
      <c r="B61" s="328">
        <v>53210020300000</v>
      </c>
      <c r="C61" s="80" t="s">
        <v>184</v>
      </c>
      <c r="D61" s="161">
        <v>0</v>
      </c>
      <c r="E61" s="530">
        <v>6326</v>
      </c>
      <c r="F61" s="405">
        <f>+'B) Reajuste Tarifas y Ocupación'!I30</f>
        <v>37</v>
      </c>
      <c r="G61" s="96">
        <f t="shared" si="8"/>
        <v>234062</v>
      </c>
      <c r="H61" s="90">
        <f t="shared" si="7"/>
        <v>234062</v>
      </c>
      <c r="I61" s="286"/>
      <c r="M61" s="404" t="s">
        <v>206</v>
      </c>
      <c r="N61" s="285">
        <v>0</v>
      </c>
      <c r="O61" s="284">
        <f t="shared" si="0"/>
        <v>0</v>
      </c>
      <c r="P61" s="284">
        <f t="shared" si="1"/>
        <v>0</v>
      </c>
    </row>
    <row r="62" spans="1:16" x14ac:dyDescent="0.2">
      <c r="A62" s="803"/>
      <c r="B62" s="327">
        <v>53208990000000</v>
      </c>
      <c r="C62" s="80" t="s">
        <v>185</v>
      </c>
      <c r="D62" s="161">
        <f>+O51</f>
        <v>80000</v>
      </c>
      <c r="E62" s="161">
        <v>0</v>
      </c>
      <c r="F62" s="405">
        <v>0</v>
      </c>
      <c r="G62" s="96">
        <f t="shared" si="8"/>
        <v>0</v>
      </c>
      <c r="H62" s="90">
        <f t="shared" si="7"/>
        <v>80000</v>
      </c>
      <c r="I62" s="286"/>
    </row>
    <row r="63" spans="1:16" x14ac:dyDescent="0.2">
      <c r="A63" s="803"/>
      <c r="B63" s="327">
        <v>53209990000000</v>
      </c>
      <c r="C63" s="80" t="s">
        <v>183</v>
      </c>
      <c r="D63" s="161">
        <f t="shared" ref="D63" si="13">+O52</f>
        <v>40000</v>
      </c>
      <c r="E63" s="161">
        <v>0</v>
      </c>
      <c r="F63" s="405">
        <v>0</v>
      </c>
      <c r="G63" s="96">
        <f t="shared" si="8"/>
        <v>0</v>
      </c>
      <c r="H63" s="90">
        <f t="shared" si="7"/>
        <v>40000</v>
      </c>
      <c r="I63" s="286"/>
    </row>
    <row r="64" spans="1:16" x14ac:dyDescent="0.2">
      <c r="A64" s="803"/>
      <c r="B64" s="327">
        <v>53210020100000</v>
      </c>
      <c r="C64" s="80" t="s">
        <v>64</v>
      </c>
      <c r="D64" s="161">
        <f>+O53</f>
        <v>1047289.6000000001</v>
      </c>
      <c r="E64" s="161">
        <v>0</v>
      </c>
      <c r="F64" s="405">
        <v>0</v>
      </c>
      <c r="G64" s="96">
        <f t="shared" si="8"/>
        <v>0</v>
      </c>
      <c r="H64" s="90">
        <f t="shared" si="7"/>
        <v>1047289.6000000001</v>
      </c>
      <c r="I64" s="286"/>
    </row>
    <row r="65" spans="1:11" x14ac:dyDescent="0.2">
      <c r="A65" s="803"/>
      <c r="B65" s="326"/>
      <c r="C65" s="84" t="s">
        <v>65</v>
      </c>
      <c r="D65" s="86">
        <f>SUM(D66:D72)</f>
        <v>1768000</v>
      </c>
      <c r="E65" s="87"/>
      <c r="F65" s="87"/>
      <c r="G65" s="86">
        <f>SUM(G66:G72)</f>
        <v>0</v>
      </c>
      <c r="H65" s="91">
        <f>SUM(H66:H72)</f>
        <v>1768000</v>
      </c>
      <c r="I65" s="286"/>
    </row>
    <row r="66" spans="1:11" x14ac:dyDescent="0.2">
      <c r="A66" s="803"/>
      <c r="B66" s="327">
        <v>53206030000000</v>
      </c>
      <c r="C66" s="80" t="s">
        <v>100</v>
      </c>
      <c r="D66" s="161">
        <f>+O55</f>
        <v>200000</v>
      </c>
      <c r="E66" s="161">
        <v>0</v>
      </c>
      <c r="F66" s="405">
        <v>0</v>
      </c>
      <c r="G66" s="96">
        <f t="shared" si="8"/>
        <v>0</v>
      </c>
      <c r="H66" s="90">
        <f t="shared" si="7"/>
        <v>200000</v>
      </c>
      <c r="I66" s="286"/>
    </row>
    <row r="67" spans="1:11" x14ac:dyDescent="0.2">
      <c r="A67" s="803"/>
      <c r="B67" s="327">
        <v>53206040000000</v>
      </c>
      <c r="C67" s="80" t="s">
        <v>101</v>
      </c>
      <c r="D67" s="161">
        <f t="shared" ref="D67:D72" si="14">+O56</f>
        <v>0</v>
      </c>
      <c r="E67" s="161">
        <v>0</v>
      </c>
      <c r="F67" s="405">
        <v>0</v>
      </c>
      <c r="G67" s="96">
        <f t="shared" si="8"/>
        <v>0</v>
      </c>
      <c r="H67" s="90">
        <f t="shared" si="7"/>
        <v>0</v>
      </c>
      <c r="I67" s="286"/>
    </row>
    <row r="68" spans="1:11" x14ac:dyDescent="0.2">
      <c r="A68" s="803"/>
      <c r="B68" s="327">
        <v>53206060000000</v>
      </c>
      <c r="C68" s="80" t="s">
        <v>186</v>
      </c>
      <c r="D68" s="161">
        <f t="shared" si="14"/>
        <v>1440000</v>
      </c>
      <c r="E68" s="161">
        <v>0</v>
      </c>
      <c r="F68" s="405">
        <v>0</v>
      </c>
      <c r="G68" s="96">
        <f t="shared" si="8"/>
        <v>0</v>
      </c>
      <c r="H68" s="90">
        <f t="shared" si="7"/>
        <v>1440000</v>
      </c>
      <c r="I68" s="286"/>
    </row>
    <row r="69" spans="1:11" x14ac:dyDescent="0.2">
      <c r="A69" s="803"/>
      <c r="B69" s="327">
        <v>53206070000000</v>
      </c>
      <c r="C69" s="80" t="s">
        <v>103</v>
      </c>
      <c r="D69" s="161">
        <f t="shared" si="14"/>
        <v>0</v>
      </c>
      <c r="E69" s="161">
        <v>0</v>
      </c>
      <c r="F69" s="405">
        <v>0</v>
      </c>
      <c r="G69" s="96">
        <f t="shared" si="8"/>
        <v>0</v>
      </c>
      <c r="H69" s="90">
        <f t="shared" si="7"/>
        <v>0</v>
      </c>
      <c r="I69" s="286"/>
    </row>
    <row r="70" spans="1:11" x14ac:dyDescent="0.2">
      <c r="A70" s="803"/>
      <c r="B70" s="327">
        <v>53206990000000</v>
      </c>
      <c r="C70" s="80" t="s">
        <v>187</v>
      </c>
      <c r="D70" s="161">
        <f t="shared" si="14"/>
        <v>0</v>
      </c>
      <c r="E70" s="161">
        <v>0</v>
      </c>
      <c r="F70" s="405">
        <v>0</v>
      </c>
      <c r="G70" s="96">
        <f t="shared" si="8"/>
        <v>0</v>
      </c>
      <c r="H70" s="90">
        <f t="shared" si="7"/>
        <v>0</v>
      </c>
      <c r="I70" s="286"/>
    </row>
    <row r="71" spans="1:11" x14ac:dyDescent="0.2">
      <c r="A71" s="803"/>
      <c r="B71" s="327">
        <v>53208030000000</v>
      </c>
      <c r="C71" s="80" t="s">
        <v>105</v>
      </c>
      <c r="D71" s="161">
        <f t="shared" si="14"/>
        <v>128000</v>
      </c>
      <c r="E71" s="161">
        <v>0</v>
      </c>
      <c r="F71" s="405">
        <v>0</v>
      </c>
      <c r="G71" s="96">
        <f t="shared" si="8"/>
        <v>0</v>
      </c>
      <c r="H71" s="90">
        <f t="shared" si="7"/>
        <v>128000</v>
      </c>
      <c r="I71" s="286"/>
    </row>
    <row r="72" spans="1:11" x14ac:dyDescent="0.2">
      <c r="A72" s="803"/>
      <c r="B72" s="327">
        <v>53206990000000</v>
      </c>
      <c r="C72" s="80" t="s">
        <v>206</v>
      </c>
      <c r="D72" s="161">
        <f t="shared" si="14"/>
        <v>0</v>
      </c>
      <c r="E72" s="161">
        <v>0</v>
      </c>
      <c r="F72" s="405">
        <v>0</v>
      </c>
      <c r="G72" s="96">
        <f t="shared" si="8"/>
        <v>0</v>
      </c>
      <c r="H72" s="90">
        <f t="shared" si="7"/>
        <v>0</v>
      </c>
      <c r="I72" s="286"/>
    </row>
    <row r="73" spans="1:11" x14ac:dyDescent="0.2">
      <c r="A73" s="803"/>
      <c r="B73" s="326"/>
      <c r="C73" s="84" t="s">
        <v>66</v>
      </c>
      <c r="D73" s="86">
        <f>SUM(D74:D74)</f>
        <v>1475000</v>
      </c>
      <c r="E73" s="87"/>
      <c r="F73" s="87"/>
      <c r="G73" s="86">
        <f>SUM(G74:G74)</f>
        <v>1292500</v>
      </c>
      <c r="H73" s="91">
        <f>SUM(H74:H74)</f>
        <v>2767500</v>
      </c>
      <c r="I73" s="286"/>
    </row>
    <row r="74" spans="1:11" x14ac:dyDescent="0.2">
      <c r="A74" s="803"/>
      <c r="B74" s="330"/>
      <c r="C74" s="85" t="s">
        <v>209</v>
      </c>
      <c r="D74" s="81">
        <v>1475000</v>
      </c>
      <c r="E74" s="81">
        <f>2500*11</f>
        <v>27500</v>
      </c>
      <c r="F74" s="82">
        <v>47</v>
      </c>
      <c r="G74" s="96">
        <f t="shared" si="8"/>
        <v>1292500</v>
      </c>
      <c r="H74" s="94">
        <f t="shared" si="7"/>
        <v>2767500</v>
      </c>
      <c r="I74" s="287"/>
      <c r="J74" s="332" t="s">
        <v>210</v>
      </c>
      <c r="K74" s="226">
        <f>+H72+H71+H70+H69+H68+H67+H66+H64+H63+H62+H61+H60+H59+H58+H57+H55+H52+H51+H50+H49+H48+H46+H44+H43+H37+H36+H35+H33+H32+H31+H30+H29+H28+H27+H26+H25+H24+H23</f>
        <v>11274791.6</v>
      </c>
    </row>
    <row r="75" spans="1:11" collapsed="1" x14ac:dyDescent="0.2">
      <c r="A75" s="803"/>
      <c r="B75" s="331"/>
      <c r="C75" s="89" t="s">
        <v>106</v>
      </c>
      <c r="D75" s="100">
        <f>SUM(D12,D39)</f>
        <v>34667709.748400003</v>
      </c>
      <c r="E75" s="101"/>
      <c r="F75" s="101"/>
      <c r="G75" s="100">
        <f>SUM(G12,G39)</f>
        <v>3799962</v>
      </c>
      <c r="H75" s="40">
        <f>SUM(H12,H39)</f>
        <v>46942361.348400004</v>
      </c>
      <c r="I75" s="288"/>
      <c r="J75" s="324" t="s">
        <v>211</v>
      </c>
      <c r="K75" s="411">
        <f>+H75-K74</f>
        <v>35667569.748400003</v>
      </c>
    </row>
    <row r="76" spans="1:11" x14ac:dyDescent="0.2">
      <c r="A76" s="804" t="s">
        <v>115</v>
      </c>
      <c r="B76" s="806" t="s">
        <v>76</v>
      </c>
      <c r="C76" s="808" t="s">
        <v>77</v>
      </c>
      <c r="D76" s="810" t="s">
        <v>78</v>
      </c>
      <c r="E76" s="811" t="s">
        <v>79</v>
      </c>
      <c r="F76" s="811"/>
      <c r="G76" s="811"/>
      <c r="H76" s="799" t="s">
        <v>253</v>
      </c>
      <c r="I76" s="801" t="s">
        <v>75</v>
      </c>
    </row>
    <row r="77" spans="1:11" ht="25.5" x14ac:dyDescent="0.2">
      <c r="A77" s="805"/>
      <c r="B77" s="807"/>
      <c r="C77" s="809"/>
      <c r="D77" s="810"/>
      <c r="E77" s="412" t="s">
        <v>67</v>
      </c>
      <c r="F77" s="413" t="s">
        <v>68</v>
      </c>
      <c r="G77" s="414" t="s">
        <v>6</v>
      </c>
      <c r="H77" s="800"/>
      <c r="I77" s="802"/>
    </row>
    <row r="78" spans="1:11" x14ac:dyDescent="0.2">
      <c r="A78" s="803" t="str">
        <f>+'B) Reajuste Tarifas y Ocupación'!A16</f>
        <v>Sala Cuna Mar y Cielo Diurna</v>
      </c>
      <c r="B78" s="325"/>
      <c r="C78" s="406" t="s">
        <v>11</v>
      </c>
      <c r="D78" s="415">
        <f>SUM(D79,D84)</f>
        <v>33546920.664799999</v>
      </c>
      <c r="E78" s="416"/>
      <c r="F78" s="416"/>
      <c r="G78" s="417">
        <f>SUM(G79,G84)</f>
        <v>645000</v>
      </c>
      <c r="H78" s="418">
        <f>SUM(H79,H84)</f>
        <v>34191920.664800003</v>
      </c>
      <c r="I78" s="286"/>
    </row>
    <row r="79" spans="1:11" x14ac:dyDescent="0.2">
      <c r="A79" s="803"/>
      <c r="B79" s="326"/>
      <c r="C79" s="408" t="s">
        <v>12</v>
      </c>
      <c r="D79" s="419">
        <f>SUM(D80:D83)</f>
        <v>24617960.664799999</v>
      </c>
      <c r="E79" s="420"/>
      <c r="F79" s="420"/>
      <c r="G79" s="421">
        <f>SUM(G80:G83)</f>
        <v>0</v>
      </c>
      <c r="H79" s="91">
        <f>SUM(H80:H83)</f>
        <v>24617960.664799999</v>
      </c>
      <c r="I79" s="286"/>
    </row>
    <row r="80" spans="1:11" x14ac:dyDescent="0.2">
      <c r="A80" s="803"/>
      <c r="B80" s="327">
        <v>53103040100000</v>
      </c>
      <c r="C80" s="404" t="s">
        <v>96</v>
      </c>
      <c r="D80" s="422">
        <f>+'F) Remuneraciones'!L26</f>
        <v>24374218.48</v>
      </c>
      <c r="E80" s="423">
        <v>0</v>
      </c>
      <c r="F80" s="424">
        <v>0</v>
      </c>
      <c r="G80" s="425">
        <f>E80*F80</f>
        <v>0</v>
      </c>
      <c r="H80" s="426">
        <f>D80+G80</f>
        <v>24374218.48</v>
      </c>
      <c r="I80" s="286"/>
    </row>
    <row r="81" spans="1:10" x14ac:dyDescent="0.2">
      <c r="A81" s="803"/>
      <c r="B81" s="327">
        <v>53103050000000</v>
      </c>
      <c r="C81" s="404" t="s">
        <v>165</v>
      </c>
      <c r="D81" s="279">
        <v>0</v>
      </c>
      <c r="E81" s="280">
        <v>0</v>
      </c>
      <c r="F81" s="281">
        <v>0</v>
      </c>
      <c r="G81" s="425">
        <f>E81*F81</f>
        <v>0</v>
      </c>
      <c r="H81" s="426">
        <f>D81+G81</f>
        <v>0</v>
      </c>
      <c r="I81" s="286"/>
    </row>
    <row r="82" spans="1:10" x14ac:dyDescent="0.2">
      <c r="A82" s="803"/>
      <c r="B82" s="328">
        <v>53103040400000</v>
      </c>
      <c r="C82" s="109" t="s">
        <v>166</v>
      </c>
      <c r="D82" s="279">
        <f>+D80*0.01</f>
        <v>243742.18480000002</v>
      </c>
      <c r="E82" s="280">
        <v>0</v>
      </c>
      <c r="F82" s="281">
        <v>0</v>
      </c>
      <c r="G82" s="425">
        <f>E82*F82</f>
        <v>0</v>
      </c>
      <c r="H82" s="426">
        <f>D82+G82</f>
        <v>243742.18480000002</v>
      </c>
      <c r="I82" s="286"/>
    </row>
    <row r="83" spans="1:10" x14ac:dyDescent="0.2">
      <c r="A83" s="803"/>
      <c r="B83" s="327">
        <v>53103080010000</v>
      </c>
      <c r="C83" s="404" t="s">
        <v>167</v>
      </c>
      <c r="D83" s="279">
        <v>0</v>
      </c>
      <c r="E83" s="280">
        <v>0</v>
      </c>
      <c r="F83" s="281">
        <v>0</v>
      </c>
      <c r="G83" s="425">
        <f>E83*F83</f>
        <v>0</v>
      </c>
      <c r="H83" s="426">
        <f>D83+G83</f>
        <v>0</v>
      </c>
      <c r="I83" s="286"/>
    </row>
    <row r="84" spans="1:10" x14ac:dyDescent="0.2">
      <c r="A84" s="803"/>
      <c r="B84" s="326"/>
      <c r="C84" s="408" t="s">
        <v>16</v>
      </c>
      <c r="D84" s="419">
        <f>SUM(D85:D104)</f>
        <v>8928960</v>
      </c>
      <c r="E84" s="420"/>
      <c r="F84" s="420"/>
      <c r="G84" s="419">
        <f>SUM(G85:G104)</f>
        <v>645000</v>
      </c>
      <c r="H84" s="91">
        <f>SUM(H85:H104)</f>
        <v>9573960</v>
      </c>
      <c r="I84" s="286"/>
      <c r="J84" s="112"/>
    </row>
    <row r="85" spans="1:10" x14ac:dyDescent="0.2">
      <c r="A85" s="803"/>
      <c r="B85" s="327">
        <v>53201010100000</v>
      </c>
      <c r="C85" s="427" t="s">
        <v>168</v>
      </c>
      <c r="D85" s="279">
        <f>E85*11*2.5</f>
        <v>1287000</v>
      </c>
      <c r="E85" s="280">
        <f>2340*20</f>
        <v>46800</v>
      </c>
      <c r="F85" s="281">
        <v>2.5</v>
      </c>
      <c r="G85" s="425">
        <f t="shared" ref="G85:G104" si="15">E85*F85</f>
        <v>117000</v>
      </c>
      <c r="H85" s="426">
        <f t="shared" ref="H85:H104" si="16">D85+G85</f>
        <v>1404000</v>
      </c>
      <c r="I85" s="286"/>
    </row>
    <row r="86" spans="1:10" x14ac:dyDescent="0.2">
      <c r="A86" s="803"/>
      <c r="B86" s="327">
        <v>53201010100000</v>
      </c>
      <c r="C86" s="427" t="s">
        <v>169</v>
      </c>
      <c r="D86" s="279">
        <f>E86*12*12</f>
        <v>6336000</v>
      </c>
      <c r="E86" s="280">
        <f>2200*20</f>
        <v>44000</v>
      </c>
      <c r="F86" s="281">
        <v>12</v>
      </c>
      <c r="G86" s="425">
        <f t="shared" si="15"/>
        <v>528000</v>
      </c>
      <c r="H86" s="426">
        <f t="shared" si="16"/>
        <v>6864000</v>
      </c>
      <c r="I86" s="78"/>
    </row>
    <row r="87" spans="1:10" x14ac:dyDescent="0.2">
      <c r="A87" s="803"/>
      <c r="B87" s="327">
        <v>53201010100000</v>
      </c>
      <c r="C87" s="427" t="s">
        <v>170</v>
      </c>
      <c r="D87" s="279">
        <v>0</v>
      </c>
      <c r="E87" s="280">
        <v>0</v>
      </c>
      <c r="F87" s="281">
        <v>0</v>
      </c>
      <c r="G87" s="425">
        <f t="shared" si="15"/>
        <v>0</v>
      </c>
      <c r="H87" s="426">
        <f t="shared" si="16"/>
        <v>0</v>
      </c>
      <c r="I87" s="78"/>
    </row>
    <row r="88" spans="1:10" ht="25.5" x14ac:dyDescent="0.2">
      <c r="A88" s="803"/>
      <c r="B88" s="327">
        <v>53202010100000</v>
      </c>
      <c r="C88" s="403" t="s">
        <v>171</v>
      </c>
      <c r="D88" s="428">
        <f>+P14</f>
        <v>16000</v>
      </c>
      <c r="E88" s="425">
        <v>0</v>
      </c>
      <c r="F88" s="429"/>
      <c r="G88" s="425">
        <f t="shared" si="15"/>
        <v>0</v>
      </c>
      <c r="H88" s="426">
        <f t="shared" si="16"/>
        <v>16000</v>
      </c>
      <c r="I88" s="289"/>
    </row>
    <row r="89" spans="1:10" x14ac:dyDescent="0.2">
      <c r="A89" s="803"/>
      <c r="B89" s="327">
        <v>53203010100000</v>
      </c>
      <c r="C89" s="404" t="s">
        <v>19</v>
      </c>
      <c r="D89" s="425">
        <f>+P15</f>
        <v>0</v>
      </c>
      <c r="E89" s="425">
        <v>0</v>
      </c>
      <c r="F89" s="429">
        <v>0</v>
      </c>
      <c r="G89" s="425">
        <f t="shared" si="15"/>
        <v>0</v>
      </c>
      <c r="H89" s="426">
        <f t="shared" si="16"/>
        <v>0</v>
      </c>
      <c r="I89" s="289"/>
    </row>
    <row r="90" spans="1:10" x14ac:dyDescent="0.2">
      <c r="A90" s="803"/>
      <c r="B90" s="327">
        <v>53203030000000</v>
      </c>
      <c r="C90" s="404" t="s">
        <v>172</v>
      </c>
      <c r="D90" s="425">
        <f t="shared" ref="D90:D104" si="17">+P16</f>
        <v>0</v>
      </c>
      <c r="E90" s="425">
        <v>0</v>
      </c>
      <c r="F90" s="429">
        <v>0</v>
      </c>
      <c r="G90" s="425">
        <f t="shared" si="15"/>
        <v>0</v>
      </c>
      <c r="H90" s="426">
        <f t="shared" si="16"/>
        <v>0</v>
      </c>
      <c r="I90" s="289"/>
    </row>
    <row r="91" spans="1:10" x14ac:dyDescent="0.2">
      <c r="A91" s="803"/>
      <c r="B91" s="327">
        <v>53204030000000</v>
      </c>
      <c r="C91" s="404" t="s">
        <v>208</v>
      </c>
      <c r="D91" s="425">
        <f t="shared" si="17"/>
        <v>16000</v>
      </c>
      <c r="E91" s="425">
        <v>0</v>
      </c>
      <c r="F91" s="429">
        <v>0</v>
      </c>
      <c r="G91" s="425">
        <f t="shared" si="15"/>
        <v>0</v>
      </c>
      <c r="H91" s="426">
        <f>D91+G91</f>
        <v>16000</v>
      </c>
      <c r="I91" s="289"/>
    </row>
    <row r="92" spans="1:10" x14ac:dyDescent="0.2">
      <c r="A92" s="803"/>
      <c r="B92" s="327">
        <v>53204100100001</v>
      </c>
      <c r="C92" s="404" t="s">
        <v>22</v>
      </c>
      <c r="D92" s="425">
        <f t="shared" si="17"/>
        <v>70000</v>
      </c>
      <c r="E92" s="425">
        <v>0</v>
      </c>
      <c r="F92" s="429">
        <v>0</v>
      </c>
      <c r="G92" s="425">
        <f t="shared" si="15"/>
        <v>0</v>
      </c>
      <c r="H92" s="426">
        <f t="shared" si="16"/>
        <v>70000</v>
      </c>
      <c r="I92" s="289"/>
    </row>
    <row r="93" spans="1:10" x14ac:dyDescent="0.2">
      <c r="A93" s="803"/>
      <c r="B93" s="327">
        <v>53204130100000</v>
      </c>
      <c r="C93" s="404" t="s">
        <v>174</v>
      </c>
      <c r="D93" s="425">
        <f t="shared" si="17"/>
        <v>8000</v>
      </c>
      <c r="E93" s="425">
        <v>0</v>
      </c>
      <c r="F93" s="429">
        <v>0</v>
      </c>
      <c r="G93" s="425">
        <f t="shared" si="15"/>
        <v>0</v>
      </c>
      <c r="H93" s="426">
        <f t="shared" si="16"/>
        <v>8000</v>
      </c>
      <c r="I93" s="289"/>
    </row>
    <row r="94" spans="1:10" x14ac:dyDescent="0.2">
      <c r="A94" s="803"/>
      <c r="B94" s="327">
        <v>53205010100000</v>
      </c>
      <c r="C94" s="404" t="s">
        <v>24</v>
      </c>
      <c r="D94" s="425">
        <f t="shared" si="17"/>
        <v>235000</v>
      </c>
      <c r="E94" s="425">
        <v>0</v>
      </c>
      <c r="F94" s="429">
        <v>0</v>
      </c>
      <c r="G94" s="425">
        <f t="shared" si="15"/>
        <v>0</v>
      </c>
      <c r="H94" s="426">
        <f t="shared" si="16"/>
        <v>235000</v>
      </c>
      <c r="I94" s="289"/>
    </row>
    <row r="95" spans="1:10" x14ac:dyDescent="0.2">
      <c r="A95" s="803"/>
      <c r="B95" s="327">
        <v>53205020100000</v>
      </c>
      <c r="C95" s="404" t="s">
        <v>25</v>
      </c>
      <c r="D95" s="425">
        <f t="shared" si="17"/>
        <v>206640</v>
      </c>
      <c r="E95" s="425">
        <v>0</v>
      </c>
      <c r="F95" s="429">
        <v>0</v>
      </c>
      <c r="G95" s="425">
        <f t="shared" si="15"/>
        <v>0</v>
      </c>
      <c r="H95" s="426">
        <f t="shared" si="16"/>
        <v>206640</v>
      </c>
      <c r="I95" s="289"/>
    </row>
    <row r="96" spans="1:10" x14ac:dyDescent="0.2">
      <c r="A96" s="803"/>
      <c r="B96" s="327">
        <v>53205030100000</v>
      </c>
      <c r="C96" s="404" t="s">
        <v>26</v>
      </c>
      <c r="D96" s="425">
        <f t="shared" si="17"/>
        <v>388080</v>
      </c>
      <c r="E96" s="425">
        <v>0</v>
      </c>
      <c r="F96" s="429">
        <v>0</v>
      </c>
      <c r="G96" s="425">
        <f t="shared" si="15"/>
        <v>0</v>
      </c>
      <c r="H96" s="426">
        <f t="shared" si="16"/>
        <v>388080</v>
      </c>
      <c r="I96" s="289"/>
    </row>
    <row r="97" spans="1:9" x14ac:dyDescent="0.2">
      <c r="A97" s="803"/>
      <c r="B97" s="327">
        <v>53205050100000</v>
      </c>
      <c r="C97" s="404" t="s">
        <v>27</v>
      </c>
      <c r="D97" s="425">
        <f t="shared" si="17"/>
        <v>0</v>
      </c>
      <c r="E97" s="425">
        <v>0</v>
      </c>
      <c r="F97" s="429">
        <v>0</v>
      </c>
      <c r="G97" s="425">
        <f t="shared" si="15"/>
        <v>0</v>
      </c>
      <c r="H97" s="426">
        <f t="shared" si="16"/>
        <v>0</v>
      </c>
      <c r="I97" s="289"/>
    </row>
    <row r="98" spans="1:9" x14ac:dyDescent="0.2">
      <c r="A98" s="803"/>
      <c r="B98" s="327">
        <v>53205070100000</v>
      </c>
      <c r="C98" s="404" t="s">
        <v>29</v>
      </c>
      <c r="D98" s="425">
        <f t="shared" si="17"/>
        <v>68040</v>
      </c>
      <c r="E98" s="425">
        <v>0</v>
      </c>
      <c r="F98" s="429">
        <v>0</v>
      </c>
      <c r="G98" s="425">
        <f t="shared" si="15"/>
        <v>0</v>
      </c>
      <c r="H98" s="426">
        <f t="shared" si="16"/>
        <v>68040</v>
      </c>
      <c r="I98" s="289"/>
    </row>
    <row r="99" spans="1:9" x14ac:dyDescent="0.2">
      <c r="A99" s="803"/>
      <c r="B99" s="327">
        <v>53208010100000</v>
      </c>
      <c r="C99" s="404" t="s">
        <v>30</v>
      </c>
      <c r="D99" s="425">
        <f t="shared" si="17"/>
        <v>0</v>
      </c>
      <c r="E99" s="425">
        <v>0</v>
      </c>
      <c r="F99" s="429">
        <v>0</v>
      </c>
      <c r="G99" s="425">
        <f t="shared" si="15"/>
        <v>0</v>
      </c>
      <c r="H99" s="426">
        <f t="shared" si="16"/>
        <v>0</v>
      </c>
      <c r="I99" s="289"/>
    </row>
    <row r="100" spans="1:9" x14ac:dyDescent="0.2">
      <c r="A100" s="803"/>
      <c r="B100" s="327">
        <v>53208070100001</v>
      </c>
      <c r="C100" s="404" t="s">
        <v>31</v>
      </c>
      <c r="D100" s="425">
        <f t="shared" si="17"/>
        <v>33600</v>
      </c>
      <c r="E100" s="425">
        <v>0</v>
      </c>
      <c r="F100" s="429">
        <v>0</v>
      </c>
      <c r="G100" s="425">
        <f t="shared" si="15"/>
        <v>0</v>
      </c>
      <c r="H100" s="426">
        <f t="shared" si="16"/>
        <v>33600</v>
      </c>
      <c r="I100" s="289"/>
    </row>
    <row r="101" spans="1:9" x14ac:dyDescent="0.2">
      <c r="A101" s="803"/>
      <c r="B101" s="327">
        <v>53208100100001</v>
      </c>
      <c r="C101" s="404" t="s">
        <v>175</v>
      </c>
      <c r="D101" s="425">
        <f t="shared" si="17"/>
        <v>0</v>
      </c>
      <c r="E101" s="425">
        <v>0</v>
      </c>
      <c r="F101" s="429">
        <v>0</v>
      </c>
      <c r="G101" s="425">
        <f t="shared" si="15"/>
        <v>0</v>
      </c>
      <c r="H101" s="426">
        <f t="shared" si="16"/>
        <v>0</v>
      </c>
      <c r="I101" s="289"/>
    </row>
    <row r="102" spans="1:9" x14ac:dyDescent="0.2">
      <c r="A102" s="803"/>
      <c r="B102" s="327">
        <v>53211030000000</v>
      </c>
      <c r="C102" s="404" t="s">
        <v>32</v>
      </c>
      <c r="D102" s="425">
        <f t="shared" si="17"/>
        <v>0</v>
      </c>
      <c r="E102" s="425">
        <v>0</v>
      </c>
      <c r="F102" s="429">
        <v>0</v>
      </c>
      <c r="G102" s="425">
        <f t="shared" si="15"/>
        <v>0</v>
      </c>
      <c r="H102" s="426">
        <f t="shared" si="16"/>
        <v>0</v>
      </c>
      <c r="I102" s="289"/>
    </row>
    <row r="103" spans="1:9" x14ac:dyDescent="0.2">
      <c r="A103" s="803"/>
      <c r="B103" s="327">
        <v>53212020100000</v>
      </c>
      <c r="C103" s="404" t="s">
        <v>176</v>
      </c>
      <c r="D103" s="425">
        <f t="shared" si="17"/>
        <v>126000</v>
      </c>
      <c r="E103" s="425">
        <v>0</v>
      </c>
      <c r="F103" s="429">
        <v>0</v>
      </c>
      <c r="G103" s="425">
        <f t="shared" si="15"/>
        <v>0</v>
      </c>
      <c r="H103" s="426">
        <f t="shared" si="16"/>
        <v>126000</v>
      </c>
      <c r="I103" s="289"/>
    </row>
    <row r="104" spans="1:9" x14ac:dyDescent="0.2">
      <c r="A104" s="803"/>
      <c r="B104" s="327">
        <v>53214020000000</v>
      </c>
      <c r="C104" s="404" t="s">
        <v>177</v>
      </c>
      <c r="D104" s="425">
        <f t="shared" si="17"/>
        <v>138600</v>
      </c>
      <c r="E104" s="425">
        <v>0</v>
      </c>
      <c r="F104" s="429">
        <v>0</v>
      </c>
      <c r="G104" s="425">
        <f t="shared" si="15"/>
        <v>0</v>
      </c>
      <c r="H104" s="426">
        <f t="shared" si="16"/>
        <v>138600</v>
      </c>
      <c r="I104" s="289"/>
    </row>
    <row r="105" spans="1:9" x14ac:dyDescent="0.2">
      <c r="A105" s="803"/>
      <c r="B105" s="325"/>
      <c r="C105" s="406" t="s">
        <v>34</v>
      </c>
      <c r="D105" s="415">
        <v>0</v>
      </c>
      <c r="E105" s="416"/>
      <c r="F105" s="416"/>
      <c r="G105" s="415">
        <f>SUM(G106,G111,G113,G122,G131,G139)</f>
        <v>665912</v>
      </c>
      <c r="H105" s="92">
        <f>SUM(H106,H111,H113,H122,H131,H139)</f>
        <v>2938334.4</v>
      </c>
      <c r="I105" s="289"/>
    </row>
    <row r="106" spans="1:9" x14ac:dyDescent="0.2">
      <c r="A106" s="803"/>
      <c r="B106" s="326"/>
      <c r="C106" s="408" t="s">
        <v>35</v>
      </c>
      <c r="D106" s="419">
        <f>SUM(D107:D110)</f>
        <v>290000</v>
      </c>
      <c r="E106" s="420"/>
      <c r="F106" s="420"/>
      <c r="G106" s="430">
        <f>SUM(G107:G110)</f>
        <v>230000</v>
      </c>
      <c r="H106" s="431">
        <f>SUM(H107:H110)</f>
        <v>520000</v>
      </c>
      <c r="I106" s="289"/>
    </row>
    <row r="107" spans="1:9" x14ac:dyDescent="0.2">
      <c r="A107" s="803"/>
      <c r="B107" s="327">
        <v>53202020100000</v>
      </c>
      <c r="C107" s="404" t="s">
        <v>178</v>
      </c>
      <c r="D107" s="279">
        <v>150000</v>
      </c>
      <c r="E107" s="280">
        <v>30000</v>
      </c>
      <c r="F107" s="281">
        <v>5</v>
      </c>
      <c r="G107" s="425">
        <f>E107*F107</f>
        <v>150000</v>
      </c>
      <c r="H107" s="426">
        <f t="shared" ref="H107:H140" si="18">D107+G107</f>
        <v>300000</v>
      </c>
      <c r="I107" s="289"/>
    </row>
    <row r="108" spans="1:9" x14ac:dyDescent="0.2">
      <c r="A108" s="803"/>
      <c r="B108" s="327">
        <v>53202030000000</v>
      </c>
      <c r="C108" s="404" t="s">
        <v>179</v>
      </c>
      <c r="D108" s="279">
        <v>80000</v>
      </c>
      <c r="E108" s="280">
        <v>40000</v>
      </c>
      <c r="F108" s="281">
        <v>2</v>
      </c>
      <c r="G108" s="425">
        <f t="shared" ref="G108:G140" si="19">E108*F108</f>
        <v>80000</v>
      </c>
      <c r="H108" s="426">
        <f t="shared" si="18"/>
        <v>160000</v>
      </c>
      <c r="I108" s="289"/>
    </row>
    <row r="109" spans="1:9" x14ac:dyDescent="0.2">
      <c r="A109" s="803"/>
      <c r="B109" s="327">
        <v>53211020000000</v>
      </c>
      <c r="C109" s="404" t="s">
        <v>41</v>
      </c>
      <c r="D109" s="428">
        <f>+P33</f>
        <v>60000</v>
      </c>
      <c r="E109" s="425">
        <v>0</v>
      </c>
      <c r="F109" s="429">
        <v>0</v>
      </c>
      <c r="G109" s="425">
        <f t="shared" si="19"/>
        <v>0</v>
      </c>
      <c r="H109" s="426">
        <f t="shared" si="18"/>
        <v>60000</v>
      </c>
      <c r="I109" s="289"/>
    </row>
    <row r="110" spans="1:9" x14ac:dyDescent="0.2">
      <c r="A110" s="803"/>
      <c r="B110" s="327">
        <v>53101040600000</v>
      </c>
      <c r="C110" s="404" t="s">
        <v>180</v>
      </c>
      <c r="D110" s="428">
        <f>+P34</f>
        <v>0</v>
      </c>
      <c r="E110" s="425">
        <v>0</v>
      </c>
      <c r="F110" s="429">
        <v>0</v>
      </c>
      <c r="G110" s="425">
        <f t="shared" si="19"/>
        <v>0</v>
      </c>
      <c r="H110" s="426">
        <f t="shared" si="18"/>
        <v>0</v>
      </c>
      <c r="I110" s="289"/>
    </row>
    <row r="111" spans="1:9" x14ac:dyDescent="0.2">
      <c r="A111" s="803"/>
      <c r="B111" s="326"/>
      <c r="C111" s="408" t="s">
        <v>42</v>
      </c>
      <c r="D111" s="419">
        <f>SUM(D112:D112)</f>
        <v>300000</v>
      </c>
      <c r="E111" s="420"/>
      <c r="F111" s="420"/>
      <c r="G111" s="430">
        <f>SUM(G112:G112)</f>
        <v>0</v>
      </c>
      <c r="H111" s="431">
        <f>SUM(H112:H112)</f>
        <v>300000</v>
      </c>
      <c r="I111" s="289"/>
    </row>
    <row r="112" spans="1:9" x14ac:dyDescent="0.2">
      <c r="A112" s="803"/>
      <c r="B112" s="329">
        <v>53205990000000</v>
      </c>
      <c r="C112" s="404" t="s">
        <v>44</v>
      </c>
      <c r="D112" s="428">
        <f>+P36</f>
        <v>300000</v>
      </c>
      <c r="E112" s="425">
        <v>0</v>
      </c>
      <c r="F112" s="429">
        <v>0</v>
      </c>
      <c r="G112" s="425">
        <f t="shared" si="19"/>
        <v>0</v>
      </c>
      <c r="H112" s="426">
        <f t="shared" si="18"/>
        <v>300000</v>
      </c>
      <c r="I112" s="289"/>
    </row>
    <row r="113" spans="1:9" x14ac:dyDescent="0.2">
      <c r="A113" s="803"/>
      <c r="B113" s="326"/>
      <c r="C113" s="408" t="s">
        <v>45</v>
      </c>
      <c r="D113" s="419">
        <f>SUM(D114:D121)</f>
        <v>518600</v>
      </c>
      <c r="E113" s="420"/>
      <c r="F113" s="420"/>
      <c r="G113" s="419">
        <f>SUM(G114:G121)</f>
        <v>0</v>
      </c>
      <c r="H113" s="91">
        <f>SUM(H114:H121)</f>
        <v>518600</v>
      </c>
      <c r="I113" s="289"/>
    </row>
    <row r="114" spans="1:9" x14ac:dyDescent="0.2">
      <c r="A114" s="803"/>
      <c r="B114" s="327">
        <v>53204010000000</v>
      </c>
      <c r="C114" s="404" t="s">
        <v>47</v>
      </c>
      <c r="D114" s="428">
        <f>+P38</f>
        <v>138600</v>
      </c>
      <c r="E114" s="428">
        <v>0</v>
      </c>
      <c r="F114" s="429">
        <v>0</v>
      </c>
      <c r="G114" s="425">
        <f t="shared" si="19"/>
        <v>0</v>
      </c>
      <c r="H114" s="426">
        <f t="shared" si="18"/>
        <v>138600</v>
      </c>
      <c r="I114" s="289"/>
    </row>
    <row r="115" spans="1:9" x14ac:dyDescent="0.2">
      <c r="A115" s="803"/>
      <c r="B115" s="329">
        <v>53204040200000</v>
      </c>
      <c r="C115" s="404" t="s">
        <v>207</v>
      </c>
      <c r="D115" s="428">
        <f t="shared" ref="D115:D121" si="20">+P39</f>
        <v>12000</v>
      </c>
      <c r="E115" s="428">
        <v>0</v>
      </c>
      <c r="F115" s="429">
        <v>0</v>
      </c>
      <c r="G115" s="425">
        <f t="shared" si="19"/>
        <v>0</v>
      </c>
      <c r="H115" s="426">
        <f t="shared" si="18"/>
        <v>12000</v>
      </c>
      <c r="I115" s="289"/>
    </row>
    <row r="116" spans="1:9" x14ac:dyDescent="0.2">
      <c r="A116" s="803"/>
      <c r="B116" s="327">
        <v>53204060000000</v>
      </c>
      <c r="C116" s="404" t="s">
        <v>49</v>
      </c>
      <c r="D116" s="428">
        <f t="shared" si="20"/>
        <v>0</v>
      </c>
      <c r="E116" s="428">
        <v>0</v>
      </c>
      <c r="F116" s="429">
        <v>0</v>
      </c>
      <c r="G116" s="425">
        <f t="shared" si="19"/>
        <v>0</v>
      </c>
      <c r="H116" s="426">
        <f t="shared" si="18"/>
        <v>0</v>
      </c>
      <c r="I116" s="289"/>
    </row>
    <row r="117" spans="1:9" x14ac:dyDescent="0.2">
      <c r="A117" s="803"/>
      <c r="B117" s="327">
        <v>53204070000000</v>
      </c>
      <c r="C117" s="404" t="s">
        <v>50</v>
      </c>
      <c r="D117" s="428">
        <f t="shared" si="20"/>
        <v>252000</v>
      </c>
      <c r="E117" s="428">
        <v>0</v>
      </c>
      <c r="F117" s="429">
        <v>0</v>
      </c>
      <c r="G117" s="425">
        <f t="shared" si="19"/>
        <v>0</v>
      </c>
      <c r="H117" s="426">
        <f t="shared" si="18"/>
        <v>252000</v>
      </c>
      <c r="I117" s="289"/>
    </row>
    <row r="118" spans="1:9" x14ac:dyDescent="0.2">
      <c r="A118" s="803"/>
      <c r="B118" s="327">
        <v>53204080000000</v>
      </c>
      <c r="C118" s="404" t="s">
        <v>51</v>
      </c>
      <c r="D118" s="428">
        <f t="shared" si="20"/>
        <v>76000</v>
      </c>
      <c r="E118" s="428">
        <v>0</v>
      </c>
      <c r="F118" s="429">
        <v>0</v>
      </c>
      <c r="G118" s="425">
        <f t="shared" si="19"/>
        <v>0</v>
      </c>
      <c r="H118" s="426">
        <f t="shared" si="18"/>
        <v>76000</v>
      </c>
      <c r="I118" s="289"/>
    </row>
    <row r="119" spans="1:9" x14ac:dyDescent="0.2">
      <c r="A119" s="803"/>
      <c r="B119" s="327">
        <v>53214010000000</v>
      </c>
      <c r="C119" s="404" t="s">
        <v>52</v>
      </c>
      <c r="D119" s="428">
        <f t="shared" si="20"/>
        <v>24000</v>
      </c>
      <c r="E119" s="428">
        <v>0</v>
      </c>
      <c r="F119" s="429">
        <v>0</v>
      </c>
      <c r="G119" s="425">
        <f t="shared" si="19"/>
        <v>0</v>
      </c>
      <c r="H119" s="426">
        <f t="shared" si="18"/>
        <v>24000</v>
      </c>
      <c r="I119" s="289"/>
    </row>
    <row r="120" spans="1:9" x14ac:dyDescent="0.2">
      <c r="A120" s="803"/>
      <c r="B120" s="327">
        <v>53214040000000</v>
      </c>
      <c r="C120" s="404" t="s">
        <v>181</v>
      </c>
      <c r="D120" s="428">
        <f t="shared" si="20"/>
        <v>16000</v>
      </c>
      <c r="E120" s="428">
        <v>0</v>
      </c>
      <c r="F120" s="429">
        <v>0</v>
      </c>
      <c r="G120" s="425">
        <f t="shared" si="19"/>
        <v>0</v>
      </c>
      <c r="H120" s="426">
        <f t="shared" si="18"/>
        <v>16000</v>
      </c>
      <c r="I120" s="289"/>
    </row>
    <row r="121" spans="1:9" x14ac:dyDescent="0.2">
      <c r="A121" s="803"/>
      <c r="B121" s="328">
        <v>53204020100000</v>
      </c>
      <c r="C121" s="404" t="s">
        <v>173</v>
      </c>
      <c r="D121" s="428">
        <f t="shared" si="20"/>
        <v>0</v>
      </c>
      <c r="E121" s="428">
        <v>0</v>
      </c>
      <c r="F121" s="429">
        <v>0</v>
      </c>
      <c r="G121" s="425">
        <f t="shared" si="19"/>
        <v>0</v>
      </c>
      <c r="H121" s="426">
        <f t="shared" si="18"/>
        <v>0</v>
      </c>
      <c r="I121" s="289"/>
    </row>
    <row r="122" spans="1:9" x14ac:dyDescent="0.2">
      <c r="A122" s="803"/>
      <c r="B122" s="326"/>
      <c r="C122" s="408" t="s">
        <v>55</v>
      </c>
      <c r="D122" s="419">
        <f>SUM(D123:D130)</f>
        <v>361822.4</v>
      </c>
      <c r="E122" s="420"/>
      <c r="F122" s="420"/>
      <c r="G122" s="419">
        <f>SUM(G123:G130)</f>
        <v>75912</v>
      </c>
      <c r="H122" s="91">
        <f>SUM(H123:H130)</f>
        <v>437734.40000000002</v>
      </c>
      <c r="I122" s="289"/>
    </row>
    <row r="123" spans="1:9" x14ac:dyDescent="0.2">
      <c r="A123" s="803"/>
      <c r="B123" s="327">
        <v>53207010000000</v>
      </c>
      <c r="C123" s="404" t="s">
        <v>56</v>
      </c>
      <c r="D123" s="428">
        <f>+P47</f>
        <v>0</v>
      </c>
      <c r="E123" s="428">
        <v>0</v>
      </c>
      <c r="F123" s="429">
        <v>0</v>
      </c>
      <c r="G123" s="425">
        <f t="shared" si="19"/>
        <v>0</v>
      </c>
      <c r="H123" s="426">
        <f t="shared" si="18"/>
        <v>0</v>
      </c>
      <c r="I123" s="289"/>
    </row>
    <row r="124" spans="1:9" x14ac:dyDescent="0.2">
      <c r="A124" s="803"/>
      <c r="B124" s="327">
        <v>53207020000000</v>
      </c>
      <c r="C124" s="404" t="s">
        <v>57</v>
      </c>
      <c r="D124" s="428">
        <f t="shared" ref="D124:D126" si="21">+P48</f>
        <v>0</v>
      </c>
      <c r="E124" s="428">
        <v>0</v>
      </c>
      <c r="F124" s="429">
        <v>0</v>
      </c>
      <c r="G124" s="425">
        <f t="shared" si="19"/>
        <v>0</v>
      </c>
      <c r="H124" s="426">
        <f t="shared" si="18"/>
        <v>0</v>
      </c>
      <c r="I124" s="289"/>
    </row>
    <row r="125" spans="1:9" x14ac:dyDescent="0.2">
      <c r="A125" s="803"/>
      <c r="B125" s="327">
        <v>53208020000000</v>
      </c>
      <c r="C125" s="404" t="s">
        <v>164</v>
      </c>
      <c r="D125" s="428">
        <f t="shared" si="21"/>
        <v>0</v>
      </c>
      <c r="E125" s="428">
        <v>0</v>
      </c>
      <c r="F125" s="429">
        <v>0</v>
      </c>
      <c r="G125" s="425">
        <f t="shared" si="19"/>
        <v>0</v>
      </c>
      <c r="H125" s="426">
        <f t="shared" si="18"/>
        <v>0</v>
      </c>
      <c r="I125" s="289"/>
    </row>
    <row r="126" spans="1:9" x14ac:dyDescent="0.2">
      <c r="A126" s="803"/>
      <c r="B126" s="327">
        <v>53208990000000</v>
      </c>
      <c r="C126" s="404" t="s">
        <v>182</v>
      </c>
      <c r="D126" s="428">
        <f t="shared" si="21"/>
        <v>70000</v>
      </c>
      <c r="E126" s="428">
        <v>0</v>
      </c>
      <c r="F126" s="429">
        <v>0</v>
      </c>
      <c r="G126" s="425">
        <f t="shared" si="19"/>
        <v>0</v>
      </c>
      <c r="H126" s="426">
        <f t="shared" si="18"/>
        <v>70000</v>
      </c>
      <c r="I126" s="289"/>
    </row>
    <row r="127" spans="1:9" x14ac:dyDescent="0.2">
      <c r="A127" s="803"/>
      <c r="B127" s="328">
        <v>53210020300000</v>
      </c>
      <c r="C127" s="404" t="s">
        <v>184</v>
      </c>
      <c r="D127" s="428">
        <v>0</v>
      </c>
      <c r="E127" s="531">
        <v>6326</v>
      </c>
      <c r="F127" s="429">
        <f>+'B) Reajuste Tarifas y Ocupación'!I33</f>
        <v>12</v>
      </c>
      <c r="G127" s="425">
        <f t="shared" si="19"/>
        <v>75912</v>
      </c>
      <c r="H127" s="426">
        <f t="shared" si="18"/>
        <v>75912</v>
      </c>
      <c r="I127" s="289"/>
    </row>
    <row r="128" spans="1:9" x14ac:dyDescent="0.2">
      <c r="A128" s="803"/>
      <c r="B128" s="327">
        <v>53208990000000</v>
      </c>
      <c r="C128" s="404" t="s">
        <v>185</v>
      </c>
      <c r="D128" s="428">
        <f>+P51</f>
        <v>20000</v>
      </c>
      <c r="E128" s="428">
        <v>0</v>
      </c>
      <c r="F128" s="429">
        <v>0</v>
      </c>
      <c r="G128" s="425">
        <f t="shared" si="19"/>
        <v>0</v>
      </c>
      <c r="H128" s="426">
        <f t="shared" si="18"/>
        <v>20000</v>
      </c>
      <c r="I128" s="289"/>
    </row>
    <row r="129" spans="1:11" x14ac:dyDescent="0.2">
      <c r="A129" s="803"/>
      <c r="B129" s="327">
        <v>53209990000000</v>
      </c>
      <c r="C129" s="404" t="s">
        <v>183</v>
      </c>
      <c r="D129" s="428">
        <f>+P52</f>
        <v>10000</v>
      </c>
      <c r="E129" s="428">
        <v>0</v>
      </c>
      <c r="F129" s="429">
        <v>0</v>
      </c>
      <c r="G129" s="425">
        <f t="shared" si="19"/>
        <v>0</v>
      </c>
      <c r="H129" s="426">
        <f t="shared" si="18"/>
        <v>10000</v>
      </c>
      <c r="I129" s="289"/>
    </row>
    <row r="130" spans="1:11" x14ac:dyDescent="0.2">
      <c r="A130" s="803"/>
      <c r="B130" s="327">
        <v>53210020100000</v>
      </c>
      <c r="C130" s="404" t="s">
        <v>64</v>
      </c>
      <c r="D130" s="428">
        <f>+P53</f>
        <v>261822.40000000002</v>
      </c>
      <c r="E130" s="428">
        <v>0</v>
      </c>
      <c r="F130" s="429">
        <v>0</v>
      </c>
      <c r="G130" s="425">
        <f t="shared" si="19"/>
        <v>0</v>
      </c>
      <c r="H130" s="426">
        <f t="shared" si="18"/>
        <v>261822.40000000002</v>
      </c>
      <c r="I130" s="289"/>
    </row>
    <row r="131" spans="1:11" x14ac:dyDescent="0.2">
      <c r="A131" s="803"/>
      <c r="B131" s="326"/>
      <c r="C131" s="408" t="s">
        <v>65</v>
      </c>
      <c r="D131" s="419">
        <f>SUM(D132:D138)</f>
        <v>442000</v>
      </c>
      <c r="E131" s="420"/>
      <c r="F131" s="420"/>
      <c r="G131" s="419">
        <f>SUM(G132:G138)</f>
        <v>0</v>
      </c>
      <c r="H131" s="91">
        <f>SUM(H132:H138)</f>
        <v>442000</v>
      </c>
      <c r="I131" s="289"/>
    </row>
    <row r="132" spans="1:11" x14ac:dyDescent="0.2">
      <c r="A132" s="803"/>
      <c r="B132" s="327">
        <v>53206030000000</v>
      </c>
      <c r="C132" s="404" t="s">
        <v>100</v>
      </c>
      <c r="D132" s="428">
        <f>+P55</f>
        <v>50000</v>
      </c>
      <c r="E132" s="428">
        <v>0</v>
      </c>
      <c r="F132" s="429">
        <v>0</v>
      </c>
      <c r="G132" s="425">
        <f t="shared" si="19"/>
        <v>0</v>
      </c>
      <c r="H132" s="426">
        <f t="shared" si="18"/>
        <v>50000</v>
      </c>
      <c r="I132" s="289"/>
    </row>
    <row r="133" spans="1:11" x14ac:dyDescent="0.2">
      <c r="A133" s="803"/>
      <c r="B133" s="327">
        <v>53206040000000</v>
      </c>
      <c r="C133" s="404" t="s">
        <v>101</v>
      </c>
      <c r="D133" s="428">
        <f t="shared" ref="D133:D138" si="22">+P56</f>
        <v>0</v>
      </c>
      <c r="E133" s="428">
        <v>0</v>
      </c>
      <c r="F133" s="429">
        <v>0</v>
      </c>
      <c r="G133" s="425">
        <f t="shared" si="19"/>
        <v>0</v>
      </c>
      <c r="H133" s="426">
        <f t="shared" si="18"/>
        <v>0</v>
      </c>
      <c r="I133" s="289"/>
    </row>
    <row r="134" spans="1:11" x14ac:dyDescent="0.2">
      <c r="A134" s="803"/>
      <c r="B134" s="327">
        <v>53206060000000</v>
      </c>
      <c r="C134" s="404" t="s">
        <v>186</v>
      </c>
      <c r="D134" s="428">
        <f t="shared" si="22"/>
        <v>360000</v>
      </c>
      <c r="E134" s="428">
        <v>0</v>
      </c>
      <c r="F134" s="429">
        <v>0</v>
      </c>
      <c r="G134" s="425">
        <f t="shared" si="19"/>
        <v>0</v>
      </c>
      <c r="H134" s="426">
        <f t="shared" si="18"/>
        <v>360000</v>
      </c>
      <c r="I134" s="289"/>
    </row>
    <row r="135" spans="1:11" x14ac:dyDescent="0.2">
      <c r="A135" s="803"/>
      <c r="B135" s="327">
        <v>53206070000000</v>
      </c>
      <c r="C135" s="404" t="s">
        <v>103</v>
      </c>
      <c r="D135" s="428">
        <f t="shared" si="22"/>
        <v>0</v>
      </c>
      <c r="E135" s="428">
        <v>0</v>
      </c>
      <c r="F135" s="429">
        <v>0</v>
      </c>
      <c r="G135" s="425">
        <f t="shared" si="19"/>
        <v>0</v>
      </c>
      <c r="H135" s="426">
        <f t="shared" si="18"/>
        <v>0</v>
      </c>
      <c r="I135" s="289"/>
    </row>
    <row r="136" spans="1:11" x14ac:dyDescent="0.2">
      <c r="A136" s="803"/>
      <c r="B136" s="327">
        <v>53206990000000</v>
      </c>
      <c r="C136" s="404" t="s">
        <v>187</v>
      </c>
      <c r="D136" s="428">
        <f t="shared" si="22"/>
        <v>0</v>
      </c>
      <c r="E136" s="428">
        <v>0</v>
      </c>
      <c r="F136" s="429">
        <v>0</v>
      </c>
      <c r="G136" s="425">
        <f t="shared" si="19"/>
        <v>0</v>
      </c>
      <c r="H136" s="426">
        <f t="shared" si="18"/>
        <v>0</v>
      </c>
      <c r="I136" s="289"/>
    </row>
    <row r="137" spans="1:11" x14ac:dyDescent="0.2">
      <c r="A137" s="803"/>
      <c r="B137" s="327">
        <v>53208030000000</v>
      </c>
      <c r="C137" s="404" t="s">
        <v>105</v>
      </c>
      <c r="D137" s="428">
        <f t="shared" si="22"/>
        <v>32000</v>
      </c>
      <c r="E137" s="428">
        <v>0</v>
      </c>
      <c r="F137" s="429">
        <v>0</v>
      </c>
      <c r="G137" s="425">
        <f t="shared" si="19"/>
        <v>0</v>
      </c>
      <c r="H137" s="426">
        <f t="shared" si="18"/>
        <v>32000</v>
      </c>
      <c r="I137" s="289"/>
    </row>
    <row r="138" spans="1:11" x14ac:dyDescent="0.2">
      <c r="A138" s="803"/>
      <c r="B138" s="327">
        <v>53206990000000</v>
      </c>
      <c r="C138" s="404" t="s">
        <v>206</v>
      </c>
      <c r="D138" s="428">
        <f t="shared" si="22"/>
        <v>0</v>
      </c>
      <c r="E138" s="428">
        <v>0</v>
      </c>
      <c r="F138" s="429">
        <v>0</v>
      </c>
      <c r="G138" s="425">
        <f t="shared" si="19"/>
        <v>0</v>
      </c>
      <c r="H138" s="426">
        <f t="shared" si="18"/>
        <v>0</v>
      </c>
      <c r="I138" s="286"/>
    </row>
    <row r="139" spans="1:11" x14ac:dyDescent="0.2">
      <c r="A139" s="803"/>
      <c r="B139" s="326"/>
      <c r="C139" s="408" t="s">
        <v>66</v>
      </c>
      <c r="D139" s="419">
        <f>SUM(D140:D140)</f>
        <v>360000</v>
      </c>
      <c r="E139" s="420"/>
      <c r="F139" s="420"/>
      <c r="G139" s="419">
        <f>SUM(G140:G140)</f>
        <v>360000</v>
      </c>
      <c r="H139" s="91">
        <f>SUM(H140:H140)</f>
        <v>720000</v>
      </c>
      <c r="I139" s="286"/>
    </row>
    <row r="140" spans="1:11" x14ac:dyDescent="0.2">
      <c r="A140" s="803"/>
      <c r="B140" s="330"/>
      <c r="C140" s="432" t="s">
        <v>209</v>
      </c>
      <c r="D140" s="279">
        <v>360000</v>
      </c>
      <c r="E140" s="279">
        <f>2500*12</f>
        <v>30000</v>
      </c>
      <c r="F140" s="281">
        <v>12</v>
      </c>
      <c r="G140" s="425">
        <f t="shared" si="19"/>
        <v>360000</v>
      </c>
      <c r="H140" s="433">
        <f t="shared" si="18"/>
        <v>720000</v>
      </c>
      <c r="I140" s="287"/>
      <c r="J140" s="332" t="s">
        <v>210</v>
      </c>
      <c r="K140" s="226">
        <f>+H138+H137+H136+H135+H134+H133+H132+H130+H129+H128+H127+H126+H125+H124+H123+H121+H118+H117+H116+H115+H114+H112+H110+H109+H103+H102+H101+H99+H98+H97+H96+H95+H94+H93+H92+H91+H90+H89</f>
        <v>2836094.4</v>
      </c>
    </row>
    <row r="141" spans="1:11" x14ac:dyDescent="0.2">
      <c r="A141" s="803"/>
      <c r="B141" s="331"/>
      <c r="C141" s="434" t="s">
        <v>106</v>
      </c>
      <c r="D141" s="435">
        <f>SUM(D78,D105)</f>
        <v>33546920.664799999</v>
      </c>
      <c r="E141" s="436"/>
      <c r="F141" s="436"/>
      <c r="G141" s="435">
        <f>SUM(G78,G105)</f>
        <v>1310912</v>
      </c>
      <c r="H141" s="40">
        <f>SUM(H78,H105)</f>
        <v>37130255.064800002</v>
      </c>
      <c r="I141" s="290"/>
      <c r="J141" s="324" t="s">
        <v>211</v>
      </c>
      <c r="K141" s="411">
        <f>+H142-K140</f>
        <v>81236522.0132</v>
      </c>
    </row>
    <row r="142" spans="1:11" ht="15.75" x14ac:dyDescent="0.2">
      <c r="A142" s="797" t="s">
        <v>110</v>
      </c>
      <c r="B142" s="797"/>
      <c r="C142" s="797"/>
      <c r="D142" s="797"/>
      <c r="E142" s="797"/>
      <c r="F142" s="797"/>
      <c r="G142" s="798"/>
      <c r="H142" s="39">
        <f>+H141+H75</f>
        <v>84072616.413200006</v>
      </c>
    </row>
  </sheetData>
  <mergeCells count="23">
    <mergeCell ref="D4:E4"/>
    <mergeCell ref="A8:C8"/>
    <mergeCell ref="A12:A75"/>
    <mergeCell ref="I10:I11"/>
    <mergeCell ref="B10:B11"/>
    <mergeCell ref="A10:A11"/>
    <mergeCell ref="E10:G10"/>
    <mergeCell ref="D10:D11"/>
    <mergeCell ref="H10:H11"/>
    <mergeCell ref="C10:C11"/>
    <mergeCell ref="M10:M11"/>
    <mergeCell ref="N10:N11"/>
    <mergeCell ref="O10:O11"/>
    <mergeCell ref="P10:P11"/>
    <mergeCell ref="A142:G142"/>
    <mergeCell ref="H76:H77"/>
    <mergeCell ref="I76:I77"/>
    <mergeCell ref="A78:A141"/>
    <mergeCell ref="A76:A77"/>
    <mergeCell ref="B76:B77"/>
    <mergeCell ref="C76:C77"/>
    <mergeCell ref="D76:D77"/>
    <mergeCell ref="E76:G76"/>
  </mergeCells>
  <pageMargins left="0.85" right="0.75" top="0.57013888888888886" bottom="0.90972222222222221" header="0" footer="0.51180555555555551"/>
  <pageSetup firstPageNumber="0" fitToHeight="12" orientation="landscape" horizontalDpi="300" verticalDpi="300" r:id="rId1"/>
  <headerFooter alignWithMargins="0">
    <oddHeader>&amp;LSEPT - 2004&amp;CDIRECTIVA D.B.S.A.ORDINARIO&amp;R02-BS/0307/02pag &amp;P de &amp;N</oddHeader>
  </headerFooter>
  <ignoredErrors>
    <ignoredError sqref="G19:H19 G45:H45 G47:H47 G65:H65 G73:H73 G56:H5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U103"/>
  <sheetViews>
    <sheetView showGridLines="0" zoomScale="70" zoomScaleNormal="70" workbookViewId="0">
      <selection activeCell="N36" sqref="N36"/>
    </sheetView>
  </sheetViews>
  <sheetFormatPr baseColWidth="10" defaultColWidth="11.42578125" defaultRowHeight="12.75" x14ac:dyDescent="0.2"/>
  <cols>
    <col min="1" max="1" width="10.42578125" style="564" customWidth="1"/>
    <col min="2" max="2" width="28" style="564" customWidth="1"/>
    <col min="3" max="3" width="28.7109375" style="564" customWidth="1"/>
    <col min="4" max="4" width="24.140625" style="564" customWidth="1"/>
    <col min="5" max="5" width="29.42578125" style="564" customWidth="1"/>
    <col min="6" max="6" width="22.140625" style="564" customWidth="1"/>
    <col min="7" max="7" width="15.7109375" style="564" bestFit="1" customWidth="1"/>
    <col min="8" max="8" width="15" style="564" customWidth="1"/>
    <col min="9" max="9" width="15.140625" style="564" customWidth="1"/>
    <col min="10" max="10" width="17.42578125" style="564" customWidth="1"/>
    <col min="11" max="11" width="19.140625" style="564" customWidth="1"/>
    <col min="12" max="12" width="4.85546875" style="564" customWidth="1"/>
    <col min="13" max="13" width="19.140625" style="564" customWidth="1"/>
    <col min="14" max="14" width="16.140625" style="564" customWidth="1"/>
    <col min="15" max="15" width="17.140625" style="564" customWidth="1"/>
    <col min="16" max="16" width="14.85546875" style="564" customWidth="1"/>
    <col min="17" max="17" width="17.7109375" style="564" customWidth="1"/>
    <col min="18" max="18" width="17.140625" style="564" customWidth="1"/>
    <col min="19" max="19" width="17.42578125" style="564" customWidth="1"/>
    <col min="20" max="20" width="15.28515625" style="564" customWidth="1"/>
    <col min="21" max="21" width="2.42578125" style="564" customWidth="1"/>
    <col min="22" max="22" width="19.85546875" style="564" bestFit="1" customWidth="1"/>
    <col min="23" max="23" width="52.140625" style="564" bestFit="1" customWidth="1"/>
    <col min="24" max="24" width="18.28515625" style="564" customWidth="1"/>
    <col min="25" max="25" width="5.7109375" style="564" customWidth="1"/>
    <col min="26" max="26" width="11.42578125" style="564"/>
    <col min="27" max="32" width="14.28515625" style="564" customWidth="1"/>
    <col min="33" max="33" width="11.28515625" style="564" customWidth="1"/>
    <col min="34" max="39" width="14.28515625" style="564" customWidth="1"/>
    <col min="40" max="40" width="11.42578125" style="564"/>
    <col min="41" max="46" width="14.28515625" style="564" customWidth="1"/>
    <col min="47" max="47" width="11.42578125" style="564"/>
    <col min="48" max="16384" width="11.42578125" style="544"/>
  </cols>
  <sheetData>
    <row r="1" spans="1:47" x14ac:dyDescent="0.2">
      <c r="A1" s="542"/>
      <c r="B1" s="542"/>
      <c r="C1" s="542"/>
      <c r="D1" s="542"/>
      <c r="E1" s="543" t="s">
        <v>198</v>
      </c>
      <c r="F1" s="543"/>
      <c r="G1" s="543"/>
      <c r="H1" s="543"/>
      <c r="I1" s="543"/>
      <c r="J1" s="542"/>
      <c r="K1" s="542"/>
      <c r="L1" s="542"/>
      <c r="M1" s="542"/>
      <c r="N1" s="542"/>
      <c r="O1" s="542"/>
      <c r="P1" s="542"/>
      <c r="Q1" s="542"/>
      <c r="R1" s="542"/>
      <c r="S1" s="542"/>
      <c r="T1" s="542"/>
      <c r="U1" s="542"/>
      <c r="V1" s="542"/>
      <c r="W1" s="542"/>
      <c r="X1" s="542"/>
      <c r="Y1" s="542"/>
      <c r="Z1" s="542"/>
      <c r="AA1" s="542"/>
      <c r="AB1" s="542"/>
      <c r="AC1" s="542"/>
      <c r="AD1" s="542"/>
      <c r="AE1" s="542"/>
      <c r="AF1" s="542"/>
      <c r="AG1" s="542"/>
      <c r="AH1" s="542"/>
      <c r="AI1" s="542"/>
      <c r="AJ1" s="542"/>
      <c r="AK1" s="542"/>
      <c r="AL1" s="542"/>
      <c r="AM1" s="542"/>
      <c r="AN1" s="542"/>
      <c r="AO1" s="542"/>
      <c r="AP1" s="542"/>
      <c r="AQ1" s="542"/>
      <c r="AR1" s="542"/>
      <c r="AS1" s="542"/>
      <c r="AT1" s="542"/>
      <c r="AU1" s="542"/>
    </row>
    <row r="2" spans="1:47" x14ac:dyDescent="0.2">
      <c r="A2" s="542"/>
      <c r="B2" s="542"/>
      <c r="C2" s="542"/>
      <c r="D2" s="542"/>
      <c r="E2" s="543" t="s">
        <v>190</v>
      </c>
      <c r="F2" s="543"/>
      <c r="G2" s="543"/>
      <c r="H2" s="543"/>
      <c r="I2" s="543"/>
      <c r="J2" s="542"/>
      <c r="K2" s="542"/>
      <c r="L2" s="542"/>
      <c r="M2" s="542"/>
      <c r="N2" s="545"/>
      <c r="O2" s="545"/>
      <c r="P2" s="545"/>
      <c r="Q2" s="545"/>
      <c r="R2" s="546"/>
      <c r="S2" s="546"/>
      <c r="T2" s="542"/>
      <c r="U2" s="542"/>
      <c r="V2" s="542"/>
      <c r="W2" s="542"/>
      <c r="X2" s="542"/>
      <c r="Y2" s="542"/>
      <c r="Z2" s="542"/>
      <c r="AA2" s="542"/>
      <c r="AB2" s="542"/>
      <c r="AC2" s="542"/>
      <c r="AD2" s="542"/>
      <c r="AE2" s="542"/>
      <c r="AF2" s="542"/>
      <c r="AG2" s="542"/>
      <c r="AH2" s="542"/>
      <c r="AI2" s="542"/>
      <c r="AJ2" s="542"/>
      <c r="AK2" s="542"/>
      <c r="AL2" s="542"/>
      <c r="AM2" s="542"/>
      <c r="AN2" s="542"/>
      <c r="AO2" s="542"/>
      <c r="AP2" s="542"/>
      <c r="AQ2" s="542"/>
      <c r="AR2" s="542"/>
      <c r="AS2" s="542"/>
      <c r="AT2" s="542"/>
      <c r="AU2" s="542"/>
    </row>
    <row r="3" spans="1:47" x14ac:dyDescent="0.2">
      <c r="A3" s="542"/>
      <c r="B3" s="547"/>
      <c r="C3" s="542"/>
      <c r="D3" s="542"/>
      <c r="E3" s="542"/>
      <c r="F3" s="542"/>
      <c r="G3" s="542"/>
      <c r="H3" s="542"/>
      <c r="I3" s="542"/>
      <c r="J3" s="542"/>
      <c r="K3" s="542"/>
      <c r="L3" s="542"/>
      <c r="M3" s="542"/>
      <c r="N3" s="545"/>
      <c r="O3" s="545"/>
      <c r="P3" s="545"/>
      <c r="Q3" s="545"/>
      <c r="R3" s="546"/>
      <c r="S3" s="546"/>
      <c r="T3" s="542"/>
      <c r="U3" s="542"/>
      <c r="V3" s="542"/>
      <c r="W3" s="542"/>
      <c r="X3" s="542"/>
      <c r="Y3" s="542"/>
      <c r="Z3" s="542"/>
      <c r="AA3" s="542"/>
      <c r="AB3" s="542"/>
      <c r="AC3" s="542"/>
      <c r="AD3" s="542"/>
      <c r="AE3" s="542"/>
      <c r="AF3" s="542"/>
      <c r="AG3" s="542"/>
      <c r="AH3" s="542"/>
      <c r="AI3" s="542"/>
      <c r="AJ3" s="542"/>
      <c r="AK3" s="542"/>
      <c r="AL3" s="542"/>
      <c r="AM3" s="542"/>
      <c r="AN3" s="542"/>
      <c r="AO3" s="542"/>
      <c r="AP3" s="542"/>
      <c r="AQ3" s="542"/>
      <c r="AR3" s="542"/>
      <c r="AS3" s="542"/>
      <c r="AT3" s="542"/>
      <c r="AU3" s="542"/>
    </row>
    <row r="4" spans="1:47" ht="15.75" x14ac:dyDescent="0.2">
      <c r="A4" s="542"/>
      <c r="B4" s="547"/>
      <c r="C4" s="542"/>
      <c r="D4" s="548" t="s">
        <v>0</v>
      </c>
      <c r="E4" s="690" t="s">
        <v>244</v>
      </c>
      <c r="F4" s="549"/>
      <c r="G4" s="550"/>
      <c r="H4" s="550"/>
      <c r="I4" s="550"/>
      <c r="J4" s="550"/>
      <c r="K4" s="542"/>
      <c r="L4" s="542"/>
      <c r="M4" s="542"/>
      <c r="N4" s="545"/>
      <c r="O4" s="551"/>
      <c r="P4" s="545"/>
      <c r="Q4" s="545"/>
      <c r="R4" s="546"/>
      <c r="S4" s="552"/>
      <c r="T4" s="542"/>
      <c r="U4" s="542"/>
      <c r="V4" s="542"/>
      <c r="W4" s="542"/>
      <c r="X4" s="542"/>
      <c r="Y4" s="542"/>
      <c r="Z4" s="542"/>
      <c r="AA4" s="542"/>
      <c r="AB4" s="542"/>
      <c r="AC4" s="542"/>
      <c r="AD4" s="542"/>
      <c r="AE4" s="542"/>
      <c r="AF4" s="542"/>
      <c r="AG4" s="542"/>
      <c r="AH4" s="542"/>
      <c r="AI4" s="542"/>
      <c r="AJ4" s="542"/>
      <c r="AK4" s="542"/>
      <c r="AL4" s="542"/>
      <c r="AM4" s="542"/>
      <c r="AN4" s="542"/>
      <c r="AO4" s="542"/>
      <c r="AP4" s="542"/>
      <c r="AQ4" s="542"/>
      <c r="AR4" s="542"/>
      <c r="AS4" s="542"/>
      <c r="AT4" s="542"/>
      <c r="AU4" s="542"/>
    </row>
    <row r="5" spans="1:47" x14ac:dyDescent="0.2">
      <c r="A5" s="542"/>
      <c r="B5" s="547"/>
      <c r="C5" s="542"/>
      <c r="D5" s="553"/>
      <c r="E5" s="543"/>
      <c r="F5" s="543"/>
      <c r="G5" s="543"/>
      <c r="H5" s="543"/>
      <c r="I5" s="543"/>
      <c r="J5" s="543"/>
      <c r="K5" s="542"/>
      <c r="L5" s="542"/>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2"/>
      <c r="AR5" s="542"/>
      <c r="AS5" s="542"/>
      <c r="AT5" s="542"/>
      <c r="AU5" s="542"/>
    </row>
    <row r="6" spans="1:47" ht="13.5" thickBot="1" x14ac:dyDescent="0.25">
      <c r="A6" s="542"/>
      <c r="B6" s="547"/>
      <c r="C6" s="542"/>
      <c r="D6" s="553"/>
      <c r="E6" s="543"/>
      <c r="F6" s="543"/>
      <c r="G6" s="543"/>
      <c r="H6" s="543"/>
      <c r="I6" s="543"/>
      <c r="J6" s="543"/>
      <c r="K6" s="542"/>
      <c r="L6" s="542"/>
      <c r="M6" s="542"/>
      <c r="N6" s="542"/>
      <c r="O6" s="554"/>
      <c r="P6" s="542"/>
      <c r="Q6" s="542"/>
      <c r="R6" s="542"/>
      <c r="S6" s="542"/>
      <c r="T6" s="542"/>
      <c r="U6" s="542"/>
      <c r="V6" s="542"/>
      <c r="W6" s="542"/>
      <c r="X6" s="542"/>
      <c r="Y6" s="542"/>
      <c r="Z6" s="542"/>
      <c r="AA6" s="542"/>
      <c r="AB6" s="542"/>
      <c r="AC6" s="542"/>
      <c r="AD6" s="542"/>
      <c r="AE6" s="542"/>
      <c r="AF6" s="542"/>
      <c r="AG6" s="542"/>
      <c r="AH6" s="542"/>
      <c r="AI6" s="542"/>
      <c r="AJ6" s="542"/>
      <c r="AK6" s="542"/>
      <c r="AL6" s="542"/>
      <c r="AM6" s="542"/>
      <c r="AN6" s="542"/>
      <c r="AO6" s="542"/>
      <c r="AP6" s="542"/>
      <c r="AQ6" s="542"/>
      <c r="AR6" s="542"/>
      <c r="AS6" s="542"/>
      <c r="AT6" s="542"/>
      <c r="AU6" s="542"/>
    </row>
    <row r="7" spans="1:47" x14ac:dyDescent="0.2">
      <c r="A7" s="555"/>
      <c r="B7" s="556"/>
      <c r="C7" s="556"/>
      <c r="D7" s="556"/>
      <c r="E7" s="556"/>
      <c r="F7" s="556"/>
      <c r="G7" s="556"/>
      <c r="H7" s="556"/>
      <c r="I7" s="556"/>
      <c r="J7" s="557"/>
      <c r="K7" s="557"/>
      <c r="L7" s="557"/>
      <c r="M7" s="557"/>
      <c r="N7" s="557"/>
      <c r="O7" s="557"/>
      <c r="P7" s="557"/>
      <c r="Q7" s="557"/>
      <c r="R7" s="557"/>
      <c r="S7" s="555"/>
      <c r="T7" s="555"/>
      <c r="U7" s="555"/>
      <c r="V7" s="555"/>
      <c r="W7" s="555"/>
      <c r="X7" s="555"/>
      <c r="Y7" s="555"/>
      <c r="Z7" s="558"/>
      <c r="AA7" s="559"/>
      <c r="AB7" s="559"/>
      <c r="AC7" s="559"/>
      <c r="AD7" s="559"/>
      <c r="AE7" s="559"/>
      <c r="AF7" s="559"/>
      <c r="AG7" s="559"/>
      <c r="AH7" s="559"/>
      <c r="AI7" s="559"/>
      <c r="AJ7" s="559"/>
      <c r="AK7" s="559"/>
      <c r="AL7" s="559"/>
      <c r="AM7" s="559"/>
      <c r="AN7" s="559"/>
      <c r="AO7" s="559"/>
      <c r="AP7" s="559"/>
      <c r="AQ7" s="559"/>
      <c r="AR7" s="559"/>
      <c r="AS7" s="559"/>
      <c r="AT7" s="559"/>
      <c r="AU7" s="560"/>
    </row>
    <row r="8" spans="1:47" x14ac:dyDescent="0.2">
      <c r="A8" s="555"/>
      <c r="B8" s="556"/>
      <c r="C8" s="556"/>
      <c r="D8" s="556"/>
      <c r="E8" s="556"/>
      <c r="F8" s="556"/>
      <c r="G8" s="556"/>
      <c r="H8" s="556"/>
      <c r="I8" s="556"/>
      <c r="J8" s="557"/>
      <c r="K8" s="557"/>
      <c r="L8" s="557"/>
      <c r="M8" s="557"/>
      <c r="N8" s="557"/>
      <c r="O8" s="557"/>
      <c r="P8" s="557"/>
      <c r="Q8" s="557"/>
      <c r="R8" s="557"/>
      <c r="S8" s="555"/>
      <c r="T8" s="555"/>
      <c r="U8" s="555"/>
      <c r="V8" s="555"/>
      <c r="W8" s="555"/>
      <c r="X8" s="555"/>
      <c r="Y8" s="555"/>
      <c r="Z8" s="561"/>
      <c r="AA8" s="555"/>
      <c r="AB8" s="555"/>
      <c r="AC8" s="555"/>
      <c r="AD8" s="555"/>
      <c r="AE8" s="555"/>
      <c r="AF8" s="555"/>
      <c r="AG8" s="555"/>
      <c r="AH8" s="555"/>
      <c r="AI8" s="555"/>
      <c r="AJ8" s="555"/>
      <c r="AK8" s="555"/>
      <c r="AL8" s="555"/>
      <c r="AM8" s="555"/>
      <c r="AN8" s="555"/>
      <c r="AO8" s="555"/>
      <c r="AP8" s="555"/>
      <c r="AQ8" s="555"/>
      <c r="AR8" s="555"/>
      <c r="AS8" s="555"/>
      <c r="AT8" s="555"/>
      <c r="AU8" s="562"/>
    </row>
    <row r="9" spans="1:47" ht="15.75" x14ac:dyDescent="0.2">
      <c r="A9" s="834" t="s">
        <v>328</v>
      </c>
      <c r="B9" s="834"/>
      <c r="C9" s="834"/>
      <c r="D9" s="834"/>
      <c r="E9" s="834"/>
      <c r="F9" s="834"/>
      <c r="G9" s="834"/>
      <c r="H9" s="834"/>
      <c r="I9" s="563"/>
      <c r="J9" s="563"/>
      <c r="K9" s="563"/>
      <c r="L9" s="563"/>
      <c r="M9" s="861" t="s">
        <v>329</v>
      </c>
      <c r="N9" s="861"/>
      <c r="O9" s="861"/>
      <c r="P9" s="861"/>
      <c r="Q9" s="861"/>
      <c r="R9" s="861"/>
      <c r="S9" s="861"/>
      <c r="V9" s="827" t="s">
        <v>330</v>
      </c>
      <c r="W9" s="827"/>
      <c r="X9" s="827"/>
      <c r="Y9" s="565"/>
      <c r="Z9" s="566"/>
      <c r="AA9" s="827" t="s">
        <v>331</v>
      </c>
      <c r="AB9" s="827"/>
      <c r="AC9" s="827"/>
      <c r="AD9" s="827"/>
      <c r="AE9" s="827"/>
      <c r="AF9" s="827"/>
      <c r="AG9" s="565"/>
      <c r="AH9" s="827" t="s">
        <v>332</v>
      </c>
      <c r="AI9" s="827"/>
      <c r="AJ9" s="827"/>
      <c r="AK9" s="827"/>
      <c r="AL9" s="827"/>
      <c r="AM9" s="827"/>
      <c r="AN9" s="555"/>
      <c r="AO9" s="827" t="s">
        <v>152</v>
      </c>
      <c r="AP9" s="827"/>
      <c r="AQ9" s="827"/>
      <c r="AR9" s="827"/>
      <c r="AS9" s="827"/>
      <c r="AT9" s="827"/>
      <c r="AU9" s="567"/>
    </row>
    <row r="10" spans="1:47" x14ac:dyDescent="0.2">
      <c r="A10" s="555"/>
      <c r="B10" s="547"/>
      <c r="C10" s="553"/>
      <c r="D10" s="553"/>
      <c r="E10" s="543"/>
      <c r="F10" s="543"/>
      <c r="G10" s="543"/>
      <c r="H10" s="543"/>
      <c r="I10" s="543"/>
      <c r="J10" s="543"/>
      <c r="K10" s="555"/>
      <c r="L10" s="555"/>
      <c r="M10" s="861"/>
      <c r="N10" s="861"/>
      <c r="O10" s="861"/>
      <c r="P10" s="861"/>
      <c r="Q10" s="861"/>
      <c r="R10" s="861"/>
      <c r="S10" s="861"/>
      <c r="V10" s="827"/>
      <c r="W10" s="827"/>
      <c r="X10" s="827"/>
      <c r="Y10" s="555"/>
      <c r="Z10" s="561"/>
      <c r="AA10" s="827"/>
      <c r="AB10" s="827"/>
      <c r="AC10" s="827"/>
      <c r="AD10" s="827"/>
      <c r="AE10" s="827"/>
      <c r="AF10" s="827"/>
      <c r="AG10" s="555"/>
      <c r="AH10" s="827"/>
      <c r="AI10" s="827"/>
      <c r="AJ10" s="827"/>
      <c r="AK10" s="827"/>
      <c r="AL10" s="827"/>
      <c r="AM10" s="827"/>
      <c r="AN10" s="555"/>
      <c r="AO10" s="827"/>
      <c r="AP10" s="827"/>
      <c r="AQ10" s="827"/>
      <c r="AR10" s="827"/>
      <c r="AS10" s="827"/>
      <c r="AT10" s="827"/>
      <c r="AU10" s="567"/>
    </row>
    <row r="11" spans="1:47" x14ac:dyDescent="0.2">
      <c r="J11" s="691" t="s">
        <v>4</v>
      </c>
      <c r="K11" s="692">
        <v>0.11</v>
      </c>
      <c r="Z11" s="568"/>
      <c r="AU11" s="567"/>
    </row>
    <row r="12" spans="1:47" ht="13.5" thickBot="1" x14ac:dyDescent="0.25">
      <c r="M12" s="881"/>
      <c r="N12" s="881"/>
      <c r="O12" s="881"/>
      <c r="P12" s="881"/>
      <c r="Q12" s="881"/>
      <c r="R12" s="881"/>
      <c r="Z12" s="568"/>
      <c r="AU12" s="567"/>
    </row>
    <row r="13" spans="1:47" ht="15.75" thickBot="1" x14ac:dyDescent="0.25">
      <c r="A13" s="837" t="s">
        <v>119</v>
      </c>
      <c r="B13" s="838"/>
      <c r="C13" s="841" t="s">
        <v>73</v>
      </c>
      <c r="D13" s="841" t="s">
        <v>74</v>
      </c>
      <c r="E13" s="876" t="s">
        <v>3</v>
      </c>
      <c r="F13" s="876" t="s">
        <v>82</v>
      </c>
      <c r="G13" s="878" t="s">
        <v>254</v>
      </c>
      <c r="H13" s="879"/>
      <c r="I13" s="879"/>
      <c r="J13" s="880"/>
      <c r="K13" s="835" t="s">
        <v>256</v>
      </c>
      <c r="L13" s="569"/>
      <c r="M13" s="866" t="s">
        <v>69</v>
      </c>
      <c r="N13" s="867"/>
      <c r="O13" s="868" t="s">
        <v>70</v>
      </c>
      <c r="P13" s="869"/>
      <c r="Q13" s="868" t="s">
        <v>71</v>
      </c>
      <c r="R13" s="869"/>
      <c r="S13" s="859" t="s">
        <v>138</v>
      </c>
      <c r="V13" s="864" t="s">
        <v>76</v>
      </c>
      <c r="W13" s="862" t="s">
        <v>77</v>
      </c>
      <c r="X13" s="870" t="s">
        <v>257</v>
      </c>
      <c r="Z13" s="568"/>
      <c r="AA13" s="872" t="s">
        <v>69</v>
      </c>
      <c r="AB13" s="873"/>
      <c r="AC13" s="874" t="s">
        <v>70</v>
      </c>
      <c r="AD13" s="875"/>
      <c r="AE13" s="853" t="s">
        <v>71</v>
      </c>
      <c r="AF13" s="854"/>
      <c r="AH13" s="855" t="s">
        <v>69</v>
      </c>
      <c r="AI13" s="856"/>
      <c r="AJ13" s="843" t="s">
        <v>70</v>
      </c>
      <c r="AK13" s="844"/>
      <c r="AL13" s="845" t="s">
        <v>71</v>
      </c>
      <c r="AM13" s="846"/>
      <c r="AO13" s="855" t="s">
        <v>69</v>
      </c>
      <c r="AP13" s="856"/>
      <c r="AQ13" s="843" t="s">
        <v>70</v>
      </c>
      <c r="AR13" s="844"/>
      <c r="AS13" s="845" t="s">
        <v>71</v>
      </c>
      <c r="AT13" s="846"/>
      <c r="AU13" s="567"/>
    </row>
    <row r="14" spans="1:47" ht="46.5" customHeight="1" thickBot="1" x14ac:dyDescent="0.25">
      <c r="A14" s="839"/>
      <c r="B14" s="840"/>
      <c r="C14" s="842"/>
      <c r="D14" s="842"/>
      <c r="E14" s="877"/>
      <c r="F14" s="877"/>
      <c r="G14" s="570" t="s">
        <v>333</v>
      </c>
      <c r="H14" s="570" t="s">
        <v>117</v>
      </c>
      <c r="I14" s="571" t="s">
        <v>118</v>
      </c>
      <c r="J14" s="572" t="s">
        <v>255</v>
      </c>
      <c r="K14" s="836"/>
      <c r="L14" s="569"/>
      <c r="M14" s="573" t="s">
        <v>36</v>
      </c>
      <c r="N14" s="574" t="s">
        <v>37</v>
      </c>
      <c r="O14" s="573" t="s">
        <v>36</v>
      </c>
      <c r="P14" s="575" t="s">
        <v>37</v>
      </c>
      <c r="Q14" s="576" t="s">
        <v>36</v>
      </c>
      <c r="R14" s="577" t="s">
        <v>37</v>
      </c>
      <c r="S14" s="860"/>
      <c r="T14" s="578"/>
      <c r="V14" s="865"/>
      <c r="W14" s="863"/>
      <c r="X14" s="871"/>
      <c r="Z14" s="568"/>
      <c r="AA14" s="579" t="s">
        <v>36</v>
      </c>
      <c r="AB14" s="580" t="s">
        <v>37</v>
      </c>
      <c r="AC14" s="581" t="s">
        <v>36</v>
      </c>
      <c r="AD14" s="582" t="s">
        <v>37</v>
      </c>
      <c r="AE14" s="583" t="s">
        <v>36</v>
      </c>
      <c r="AF14" s="584" t="s">
        <v>37</v>
      </c>
      <c r="AH14" s="693" t="s">
        <v>36</v>
      </c>
      <c r="AI14" s="585" t="s">
        <v>37</v>
      </c>
      <c r="AJ14" s="694" t="s">
        <v>36</v>
      </c>
      <c r="AK14" s="586" t="s">
        <v>37</v>
      </c>
      <c r="AL14" s="695" t="s">
        <v>36</v>
      </c>
      <c r="AM14" s="587" t="s">
        <v>37</v>
      </c>
      <c r="AO14" s="847" t="s">
        <v>139</v>
      </c>
      <c r="AP14" s="848"/>
      <c r="AQ14" s="849" t="s">
        <v>139</v>
      </c>
      <c r="AR14" s="850"/>
      <c r="AS14" s="851" t="s">
        <v>140</v>
      </c>
      <c r="AT14" s="852"/>
      <c r="AU14" s="567"/>
    </row>
    <row r="15" spans="1:47" ht="15.75" customHeight="1" thickBot="1" x14ac:dyDescent="0.25">
      <c r="A15" s="828" t="s">
        <v>135</v>
      </c>
      <c r="B15" s="831" t="s">
        <v>94</v>
      </c>
      <c r="C15" s="696" t="s">
        <v>264</v>
      </c>
      <c r="D15" s="588" t="s">
        <v>265</v>
      </c>
      <c r="E15" s="589" t="s">
        <v>266</v>
      </c>
      <c r="F15" s="697"/>
      <c r="G15" s="590">
        <f>989649*12</f>
        <v>11875788</v>
      </c>
      <c r="H15" s="590">
        <v>330500</v>
      </c>
      <c r="I15" s="698">
        <v>168287</v>
      </c>
      <c r="J15" s="591">
        <f>SUM(G15:I15)</f>
        <v>12374575</v>
      </c>
      <c r="K15" s="592">
        <f>+((G15*(1+$K$11))+H15+I15)</f>
        <v>13680911.680000002</v>
      </c>
      <c r="L15" s="569"/>
      <c r="M15" s="593">
        <v>0.77</v>
      </c>
      <c r="N15" s="594">
        <f t="shared" ref="N15:N61" si="0">+$K15*M15</f>
        <v>10534301.993600002</v>
      </c>
      <c r="O15" s="593">
        <v>0.12</v>
      </c>
      <c r="P15" s="595">
        <f t="shared" ref="P15:P61" si="1">+$K15*O15</f>
        <v>1641709.4016000002</v>
      </c>
      <c r="Q15" s="596">
        <v>0.11</v>
      </c>
      <c r="R15" s="594">
        <f t="shared" ref="R15:R61" si="2">+$K15*Q15</f>
        <v>1504900.2848000003</v>
      </c>
      <c r="S15" s="597">
        <f>+M15+O15+Q15</f>
        <v>1</v>
      </c>
      <c r="T15" s="578"/>
      <c r="V15" s="699"/>
      <c r="W15" s="700" t="s">
        <v>11</v>
      </c>
      <c r="X15" s="701">
        <f>SUM(X16,X20)</f>
        <v>54916695</v>
      </c>
      <c r="Z15" s="568"/>
      <c r="AA15" s="598">
        <f t="shared" ref="AA15:AF15" si="3">+M62</f>
        <v>0.57623750141316821</v>
      </c>
      <c r="AB15" s="599">
        <f t="shared" si="3"/>
        <v>50758527.104000002</v>
      </c>
      <c r="AC15" s="598">
        <f t="shared" si="3"/>
        <v>0.21645165233135447</v>
      </c>
      <c r="AD15" s="600">
        <f t="shared" si="3"/>
        <v>19066386.749600001</v>
      </c>
      <c r="AE15" s="601">
        <f t="shared" si="3"/>
        <v>0.20731084625547741</v>
      </c>
      <c r="AF15" s="600">
        <f t="shared" si="3"/>
        <v>18261208.586399999</v>
      </c>
      <c r="AH15" s="602">
        <f>+AA15</f>
        <v>0.57623750141316821</v>
      </c>
      <c r="AI15" s="603">
        <f>+AH15*X80</f>
        <v>49834918.401015446</v>
      </c>
      <c r="AJ15" s="604">
        <f>+AC15</f>
        <v>0.21645165233135447</v>
      </c>
      <c r="AK15" s="603">
        <f>+AJ15*X80</f>
        <v>18719452.31826162</v>
      </c>
      <c r="AL15" s="605">
        <f>+AE15</f>
        <v>0.20731084625547741</v>
      </c>
      <c r="AM15" s="606">
        <f>+AL15*X80</f>
        <v>17928925.280722946</v>
      </c>
      <c r="AO15" s="857">
        <f>+AI15+AB15+K72</f>
        <v>131995710.70501545</v>
      </c>
      <c r="AP15" s="858"/>
      <c r="AQ15" s="857">
        <f>+AK15+AD15+K83</f>
        <v>37785839.067861617</v>
      </c>
      <c r="AR15" s="858"/>
      <c r="AS15" s="857">
        <f>+AM15+AF15+K91</f>
        <v>36190133.867122948</v>
      </c>
      <c r="AT15" s="858"/>
      <c r="AU15" s="567"/>
    </row>
    <row r="16" spans="1:47" ht="15" customHeight="1" x14ac:dyDescent="0.2">
      <c r="A16" s="829"/>
      <c r="B16" s="832"/>
      <c r="C16" s="702" t="s">
        <v>267</v>
      </c>
      <c r="D16" s="665" t="s">
        <v>268</v>
      </c>
      <c r="E16" s="666" t="s">
        <v>269</v>
      </c>
      <c r="F16" s="666"/>
      <c r="G16" s="644">
        <f>884649*12</f>
        <v>10615788</v>
      </c>
      <c r="H16" s="644">
        <v>330500</v>
      </c>
      <c r="I16" s="645">
        <v>191617</v>
      </c>
      <c r="J16" s="703">
        <f t="shared" ref="J16:J39" si="4">SUM(G16:I16)</f>
        <v>11137905</v>
      </c>
      <c r="K16" s="631">
        <f t="shared" ref="K16:K61" si="5">+((G16*(1+$K$11))+H16+I16)</f>
        <v>12305641.680000002</v>
      </c>
      <c r="L16" s="569"/>
      <c r="M16" s="632">
        <v>0.52</v>
      </c>
      <c r="N16" s="633">
        <f t="shared" si="0"/>
        <v>6398933.6736000013</v>
      </c>
      <c r="O16" s="632">
        <v>0.24</v>
      </c>
      <c r="P16" s="634">
        <f t="shared" si="1"/>
        <v>2953354.0032000002</v>
      </c>
      <c r="Q16" s="635">
        <v>0.24</v>
      </c>
      <c r="R16" s="633">
        <f t="shared" si="2"/>
        <v>2953354.0032000002</v>
      </c>
      <c r="S16" s="636">
        <f t="shared" ref="S16:S61" si="6">+M16+O16+Q16</f>
        <v>1</v>
      </c>
      <c r="T16" s="578"/>
      <c r="V16" s="637"/>
      <c r="W16" s="638" t="s">
        <v>12</v>
      </c>
      <c r="X16" s="639">
        <f>SUM(X17:X19)</f>
        <v>30578594</v>
      </c>
      <c r="Z16" s="568"/>
      <c r="AU16" s="567"/>
    </row>
    <row r="17" spans="1:47" ht="15" customHeight="1" x14ac:dyDescent="0.2">
      <c r="A17" s="829"/>
      <c r="B17" s="832"/>
      <c r="C17" s="702" t="s">
        <v>270</v>
      </c>
      <c r="D17" s="665" t="s">
        <v>271</v>
      </c>
      <c r="E17" s="666" t="s">
        <v>272</v>
      </c>
      <c r="F17" s="666"/>
      <c r="G17" s="644">
        <f>1165851*12</f>
        <v>13990212</v>
      </c>
      <c r="H17" s="644">
        <v>330500</v>
      </c>
      <c r="I17" s="645">
        <v>168287</v>
      </c>
      <c r="J17" s="703">
        <f t="shared" si="4"/>
        <v>14488999</v>
      </c>
      <c r="K17" s="631">
        <f t="shared" si="5"/>
        <v>16027922.320000002</v>
      </c>
      <c r="L17" s="569"/>
      <c r="M17" s="632">
        <v>0.47</v>
      </c>
      <c r="N17" s="633">
        <f t="shared" si="0"/>
        <v>7533123.4904000005</v>
      </c>
      <c r="O17" s="632">
        <v>0.35</v>
      </c>
      <c r="P17" s="634">
        <f t="shared" si="1"/>
        <v>5609772.8120000008</v>
      </c>
      <c r="Q17" s="635">
        <v>0.18</v>
      </c>
      <c r="R17" s="633">
        <f t="shared" si="2"/>
        <v>2885026.0176000004</v>
      </c>
      <c r="S17" s="636">
        <f t="shared" si="6"/>
        <v>1</v>
      </c>
      <c r="T17" s="578"/>
      <c r="V17" s="646">
        <v>53103050000000</v>
      </c>
      <c r="W17" s="647" t="s">
        <v>13</v>
      </c>
      <c r="X17" s="648">
        <v>0</v>
      </c>
      <c r="Z17" s="568"/>
      <c r="AU17" s="567"/>
    </row>
    <row r="18" spans="1:47" ht="15.75" customHeight="1" thickBot="1" x14ac:dyDescent="0.25">
      <c r="A18" s="829"/>
      <c r="B18" s="832"/>
      <c r="C18" s="702" t="s">
        <v>273</v>
      </c>
      <c r="D18" s="665" t="s">
        <v>274</v>
      </c>
      <c r="E18" s="666" t="s">
        <v>275</v>
      </c>
      <c r="F18" s="674"/>
      <c r="G18" s="644">
        <f>1490565*12</f>
        <v>17886780</v>
      </c>
      <c r="H18" s="644">
        <v>165270</v>
      </c>
      <c r="I18" s="645">
        <v>172957</v>
      </c>
      <c r="J18" s="703">
        <f t="shared" si="4"/>
        <v>18225007</v>
      </c>
      <c r="K18" s="631">
        <f t="shared" si="5"/>
        <v>20192552.800000001</v>
      </c>
      <c r="L18" s="569"/>
      <c r="M18" s="632">
        <v>0.61</v>
      </c>
      <c r="N18" s="633">
        <f t="shared" si="0"/>
        <v>12317457.208000001</v>
      </c>
      <c r="O18" s="632">
        <v>0.08</v>
      </c>
      <c r="P18" s="634">
        <f t="shared" si="1"/>
        <v>1615404.2240000002</v>
      </c>
      <c r="Q18" s="635">
        <v>0.31</v>
      </c>
      <c r="R18" s="633">
        <f t="shared" si="2"/>
        <v>6259691.3679999998</v>
      </c>
      <c r="S18" s="636">
        <f t="shared" si="6"/>
        <v>1</v>
      </c>
      <c r="T18" s="578"/>
      <c r="V18" s="646">
        <v>53103060000000</v>
      </c>
      <c r="W18" s="647" t="s">
        <v>14</v>
      </c>
      <c r="X18" s="648">
        <v>0</v>
      </c>
      <c r="Z18" s="607"/>
      <c r="AA18" s="608"/>
      <c r="AB18" s="608"/>
      <c r="AC18" s="608"/>
      <c r="AD18" s="608"/>
      <c r="AE18" s="608"/>
      <c r="AF18" s="608"/>
      <c r="AG18" s="608"/>
      <c r="AH18" s="608"/>
      <c r="AI18" s="608"/>
      <c r="AJ18" s="608"/>
      <c r="AK18" s="608"/>
      <c r="AL18" s="608"/>
      <c r="AM18" s="608"/>
      <c r="AN18" s="608"/>
      <c r="AO18" s="608"/>
      <c r="AP18" s="608"/>
      <c r="AQ18" s="608"/>
      <c r="AR18" s="608"/>
      <c r="AS18" s="608"/>
      <c r="AT18" s="608"/>
      <c r="AU18" s="609"/>
    </row>
    <row r="19" spans="1:47" ht="15" customHeight="1" x14ac:dyDescent="0.2">
      <c r="A19" s="829"/>
      <c r="B19" s="832"/>
      <c r="C19" s="702"/>
      <c r="D19" s="665"/>
      <c r="E19" s="666"/>
      <c r="F19" s="674"/>
      <c r="G19" s="644">
        <v>0</v>
      </c>
      <c r="H19" s="644">
        <v>0</v>
      </c>
      <c r="I19" s="645">
        <v>0</v>
      </c>
      <c r="J19" s="703">
        <f t="shared" si="4"/>
        <v>0</v>
      </c>
      <c r="K19" s="631">
        <f t="shared" si="5"/>
        <v>0</v>
      </c>
      <c r="L19" s="569"/>
      <c r="M19" s="632">
        <v>0</v>
      </c>
      <c r="N19" s="633">
        <f t="shared" si="0"/>
        <v>0</v>
      </c>
      <c r="O19" s="632">
        <v>0</v>
      </c>
      <c r="P19" s="634">
        <f t="shared" si="1"/>
        <v>0</v>
      </c>
      <c r="Q19" s="635">
        <v>0</v>
      </c>
      <c r="R19" s="633">
        <f t="shared" si="2"/>
        <v>0</v>
      </c>
      <c r="S19" s="636">
        <f t="shared" si="6"/>
        <v>0</v>
      </c>
      <c r="V19" s="646">
        <v>53103080010000</v>
      </c>
      <c r="W19" s="647" t="s">
        <v>15</v>
      </c>
      <c r="X19" s="648">
        <f>28225079+2101515+252000</f>
        <v>30578594</v>
      </c>
    </row>
    <row r="20" spans="1:47" ht="15" customHeight="1" x14ac:dyDescent="0.2">
      <c r="A20" s="829"/>
      <c r="B20" s="832"/>
      <c r="C20" s="702"/>
      <c r="D20" s="665"/>
      <c r="E20" s="666"/>
      <c r="F20" s="674"/>
      <c r="G20" s="644">
        <v>0</v>
      </c>
      <c r="H20" s="644">
        <v>0</v>
      </c>
      <c r="I20" s="645">
        <v>0</v>
      </c>
      <c r="J20" s="703">
        <f t="shared" si="4"/>
        <v>0</v>
      </c>
      <c r="K20" s="631">
        <f t="shared" si="5"/>
        <v>0</v>
      </c>
      <c r="L20" s="569"/>
      <c r="M20" s="632">
        <v>0</v>
      </c>
      <c r="N20" s="633">
        <f t="shared" si="0"/>
        <v>0</v>
      </c>
      <c r="O20" s="632">
        <v>0</v>
      </c>
      <c r="P20" s="634">
        <f t="shared" si="1"/>
        <v>0</v>
      </c>
      <c r="Q20" s="635">
        <v>0</v>
      </c>
      <c r="R20" s="633">
        <f t="shared" si="2"/>
        <v>0</v>
      </c>
      <c r="S20" s="636">
        <f t="shared" si="6"/>
        <v>0</v>
      </c>
      <c r="V20" s="637"/>
      <c r="W20" s="638" t="s">
        <v>16</v>
      </c>
      <c r="X20" s="610">
        <f>SUM(X21:X39)</f>
        <v>24338101</v>
      </c>
    </row>
    <row r="21" spans="1:47" ht="15" customHeight="1" x14ac:dyDescent="0.2">
      <c r="A21" s="829"/>
      <c r="B21" s="832"/>
      <c r="C21" s="702"/>
      <c r="D21" s="665"/>
      <c r="E21" s="666"/>
      <c r="F21" s="674"/>
      <c r="G21" s="644">
        <v>0</v>
      </c>
      <c r="H21" s="644">
        <v>0</v>
      </c>
      <c r="I21" s="645">
        <v>0</v>
      </c>
      <c r="J21" s="703">
        <f t="shared" si="4"/>
        <v>0</v>
      </c>
      <c r="K21" s="631">
        <f t="shared" si="5"/>
        <v>0</v>
      </c>
      <c r="L21" s="569"/>
      <c r="M21" s="632">
        <v>0</v>
      </c>
      <c r="N21" s="633">
        <f t="shared" si="0"/>
        <v>0</v>
      </c>
      <c r="O21" s="632">
        <v>0</v>
      </c>
      <c r="P21" s="634">
        <f t="shared" si="1"/>
        <v>0</v>
      </c>
      <c r="Q21" s="635">
        <v>0</v>
      </c>
      <c r="R21" s="633">
        <f t="shared" si="2"/>
        <v>0</v>
      </c>
      <c r="S21" s="636">
        <f t="shared" si="6"/>
        <v>0</v>
      </c>
      <c r="V21" s="646">
        <v>53201010100000</v>
      </c>
      <c r="W21" s="647" t="s">
        <v>17</v>
      </c>
      <c r="X21" s="648">
        <v>5511600</v>
      </c>
    </row>
    <row r="22" spans="1:47" ht="15" customHeight="1" x14ac:dyDescent="0.2">
      <c r="A22" s="829"/>
      <c r="B22" s="832"/>
      <c r="C22" s="702"/>
      <c r="D22" s="665"/>
      <c r="E22" s="666"/>
      <c r="F22" s="674"/>
      <c r="G22" s="644">
        <v>0</v>
      </c>
      <c r="H22" s="644">
        <v>0</v>
      </c>
      <c r="I22" s="645">
        <v>0</v>
      </c>
      <c r="J22" s="703">
        <f t="shared" si="4"/>
        <v>0</v>
      </c>
      <c r="K22" s="631">
        <f t="shared" si="5"/>
        <v>0</v>
      </c>
      <c r="L22" s="569"/>
      <c r="M22" s="632">
        <v>0</v>
      </c>
      <c r="N22" s="633">
        <f t="shared" si="0"/>
        <v>0</v>
      </c>
      <c r="O22" s="632">
        <v>0</v>
      </c>
      <c r="P22" s="634">
        <f t="shared" si="1"/>
        <v>0</v>
      </c>
      <c r="Q22" s="635">
        <v>0</v>
      </c>
      <c r="R22" s="633">
        <f t="shared" si="2"/>
        <v>0</v>
      </c>
      <c r="S22" s="636">
        <f t="shared" si="6"/>
        <v>0</v>
      </c>
      <c r="V22" s="646">
        <v>53202010100000</v>
      </c>
      <c r="W22" s="647" t="s">
        <v>18</v>
      </c>
      <c r="X22" s="648">
        <v>175158</v>
      </c>
    </row>
    <row r="23" spans="1:47" ht="15" customHeight="1" x14ac:dyDescent="0.2">
      <c r="A23" s="829"/>
      <c r="B23" s="832"/>
      <c r="C23" s="702"/>
      <c r="D23" s="665"/>
      <c r="E23" s="666"/>
      <c r="F23" s="674"/>
      <c r="G23" s="644">
        <v>0</v>
      </c>
      <c r="H23" s="644">
        <v>0</v>
      </c>
      <c r="I23" s="645">
        <v>0</v>
      </c>
      <c r="J23" s="703">
        <f t="shared" si="4"/>
        <v>0</v>
      </c>
      <c r="K23" s="631">
        <f t="shared" si="5"/>
        <v>0</v>
      </c>
      <c r="L23" s="569"/>
      <c r="M23" s="632">
        <v>0</v>
      </c>
      <c r="N23" s="633">
        <f t="shared" si="0"/>
        <v>0</v>
      </c>
      <c r="O23" s="632">
        <v>0</v>
      </c>
      <c r="P23" s="634">
        <f t="shared" si="1"/>
        <v>0</v>
      </c>
      <c r="Q23" s="635">
        <v>0</v>
      </c>
      <c r="R23" s="633">
        <f t="shared" si="2"/>
        <v>0</v>
      </c>
      <c r="S23" s="636">
        <f t="shared" si="6"/>
        <v>0</v>
      </c>
      <c r="V23" s="646">
        <v>53203010100000</v>
      </c>
      <c r="W23" s="647" t="s">
        <v>19</v>
      </c>
      <c r="X23" s="648">
        <v>4485600</v>
      </c>
    </row>
    <row r="24" spans="1:47" ht="15.75" customHeight="1" thickBot="1" x14ac:dyDescent="0.25">
      <c r="A24" s="829"/>
      <c r="B24" s="833"/>
      <c r="C24" s="611"/>
      <c r="D24" s="612"/>
      <c r="E24" s="613"/>
      <c r="F24" s="614"/>
      <c r="G24" s="615">
        <v>0</v>
      </c>
      <c r="H24" s="615">
        <v>0</v>
      </c>
      <c r="I24" s="616">
        <v>0</v>
      </c>
      <c r="J24" s="617">
        <f t="shared" si="4"/>
        <v>0</v>
      </c>
      <c r="K24" s="618">
        <f t="shared" si="5"/>
        <v>0</v>
      </c>
      <c r="L24" s="569"/>
      <c r="M24" s="619">
        <v>0</v>
      </c>
      <c r="N24" s="620">
        <f t="shared" si="0"/>
        <v>0</v>
      </c>
      <c r="O24" s="619">
        <v>0</v>
      </c>
      <c r="P24" s="621">
        <f t="shared" si="1"/>
        <v>0</v>
      </c>
      <c r="Q24" s="622">
        <v>0</v>
      </c>
      <c r="R24" s="620">
        <f t="shared" si="2"/>
        <v>0</v>
      </c>
      <c r="S24" s="623">
        <f t="shared" si="6"/>
        <v>0</v>
      </c>
      <c r="V24" s="646">
        <v>53203030000000</v>
      </c>
      <c r="W24" s="647" t="s">
        <v>20</v>
      </c>
      <c r="X24" s="648">
        <v>0</v>
      </c>
    </row>
    <row r="25" spans="1:47" ht="15" customHeight="1" x14ac:dyDescent="0.2">
      <c r="A25" s="829"/>
      <c r="B25" s="831" t="s">
        <v>93</v>
      </c>
      <c r="C25" s="696" t="s">
        <v>276</v>
      </c>
      <c r="D25" s="588" t="s">
        <v>277</v>
      </c>
      <c r="E25" s="589" t="s">
        <v>278</v>
      </c>
      <c r="F25" s="704"/>
      <c r="G25" s="590">
        <f>1917778*12</f>
        <v>23013336</v>
      </c>
      <c r="H25" s="590">
        <v>165270</v>
      </c>
      <c r="I25" s="698">
        <v>169021</v>
      </c>
      <c r="J25" s="591">
        <f t="shared" si="4"/>
        <v>23347627</v>
      </c>
      <c r="K25" s="592">
        <f t="shared" si="5"/>
        <v>25879093.960000001</v>
      </c>
      <c r="L25" s="569"/>
      <c r="M25" s="624">
        <v>0.54</v>
      </c>
      <c r="N25" s="705">
        <f t="shared" si="0"/>
        <v>13974710.738400001</v>
      </c>
      <c r="O25" s="624">
        <v>0.28000000000000003</v>
      </c>
      <c r="P25" s="625">
        <f t="shared" si="1"/>
        <v>7246146.3088000007</v>
      </c>
      <c r="Q25" s="706">
        <v>0.18</v>
      </c>
      <c r="R25" s="705">
        <f t="shared" si="2"/>
        <v>4658236.9128</v>
      </c>
      <c r="S25" s="597">
        <f t="shared" si="6"/>
        <v>1</v>
      </c>
      <c r="V25" s="646">
        <v>53204030000000</v>
      </c>
      <c r="W25" s="647" t="s">
        <v>21</v>
      </c>
      <c r="X25" s="648">
        <v>0</v>
      </c>
    </row>
    <row r="26" spans="1:47" ht="15" customHeight="1" x14ac:dyDescent="0.2">
      <c r="A26" s="829"/>
      <c r="B26" s="832"/>
      <c r="C26" s="702"/>
      <c r="D26" s="665"/>
      <c r="E26" s="666"/>
      <c r="F26" s="674"/>
      <c r="G26" s="644">
        <v>0</v>
      </c>
      <c r="H26" s="644">
        <v>0</v>
      </c>
      <c r="I26" s="645">
        <v>0</v>
      </c>
      <c r="J26" s="703">
        <f t="shared" si="4"/>
        <v>0</v>
      </c>
      <c r="K26" s="631">
        <f t="shared" si="5"/>
        <v>0</v>
      </c>
      <c r="L26" s="569"/>
      <c r="M26" s="632">
        <v>0</v>
      </c>
      <c r="N26" s="633">
        <f t="shared" si="0"/>
        <v>0</v>
      </c>
      <c r="O26" s="632">
        <v>0</v>
      </c>
      <c r="P26" s="634">
        <f t="shared" si="1"/>
        <v>0</v>
      </c>
      <c r="Q26" s="635">
        <v>0</v>
      </c>
      <c r="R26" s="633">
        <f t="shared" si="2"/>
        <v>0</v>
      </c>
      <c r="S26" s="636">
        <f t="shared" si="6"/>
        <v>0</v>
      </c>
      <c r="T26" s="578"/>
      <c r="V26" s="646">
        <v>53204100100001</v>
      </c>
      <c r="W26" s="647" t="s">
        <v>22</v>
      </c>
      <c r="X26" s="648">
        <v>0</v>
      </c>
    </row>
    <row r="27" spans="1:47" ht="15" customHeight="1" x14ac:dyDescent="0.2">
      <c r="A27" s="829"/>
      <c r="B27" s="832"/>
      <c r="C27" s="702"/>
      <c r="D27" s="665"/>
      <c r="E27" s="666"/>
      <c r="F27" s="674"/>
      <c r="G27" s="644">
        <v>0</v>
      </c>
      <c r="H27" s="644">
        <v>0</v>
      </c>
      <c r="I27" s="645">
        <v>0</v>
      </c>
      <c r="J27" s="703">
        <f t="shared" si="4"/>
        <v>0</v>
      </c>
      <c r="K27" s="631">
        <f t="shared" si="5"/>
        <v>0</v>
      </c>
      <c r="L27" s="569"/>
      <c r="M27" s="632">
        <v>0</v>
      </c>
      <c r="N27" s="633">
        <f t="shared" si="0"/>
        <v>0</v>
      </c>
      <c r="O27" s="632">
        <v>0</v>
      </c>
      <c r="P27" s="634">
        <f t="shared" si="1"/>
        <v>0</v>
      </c>
      <c r="Q27" s="635">
        <v>0</v>
      </c>
      <c r="R27" s="633">
        <f t="shared" si="2"/>
        <v>0</v>
      </c>
      <c r="S27" s="636">
        <f t="shared" si="6"/>
        <v>0</v>
      </c>
      <c r="T27" s="578"/>
      <c r="V27" s="646">
        <v>53204130100000</v>
      </c>
      <c r="W27" s="647" t="s">
        <v>23</v>
      </c>
      <c r="X27" s="648">
        <v>0</v>
      </c>
    </row>
    <row r="28" spans="1:47" ht="15" customHeight="1" x14ac:dyDescent="0.2">
      <c r="A28" s="829"/>
      <c r="B28" s="832"/>
      <c r="C28" s="702"/>
      <c r="D28" s="665"/>
      <c r="E28" s="666"/>
      <c r="F28" s="674"/>
      <c r="G28" s="644">
        <v>0</v>
      </c>
      <c r="H28" s="644">
        <v>0</v>
      </c>
      <c r="I28" s="645">
        <v>0</v>
      </c>
      <c r="J28" s="703">
        <f t="shared" si="4"/>
        <v>0</v>
      </c>
      <c r="K28" s="631">
        <f t="shared" si="5"/>
        <v>0</v>
      </c>
      <c r="L28" s="569"/>
      <c r="M28" s="632">
        <v>0</v>
      </c>
      <c r="N28" s="633">
        <f t="shared" si="0"/>
        <v>0</v>
      </c>
      <c r="O28" s="632">
        <v>0</v>
      </c>
      <c r="P28" s="634">
        <f t="shared" si="1"/>
        <v>0</v>
      </c>
      <c r="Q28" s="635">
        <v>0</v>
      </c>
      <c r="R28" s="633">
        <f t="shared" si="2"/>
        <v>0</v>
      </c>
      <c r="S28" s="636">
        <f t="shared" si="6"/>
        <v>0</v>
      </c>
      <c r="T28" s="578"/>
      <c r="V28" s="646">
        <v>53205010100000</v>
      </c>
      <c r="W28" s="647" t="s">
        <v>24</v>
      </c>
      <c r="X28" s="648">
        <v>1153320</v>
      </c>
    </row>
    <row r="29" spans="1:47" ht="15" customHeight="1" x14ac:dyDescent="0.2">
      <c r="A29" s="829"/>
      <c r="B29" s="832"/>
      <c r="C29" s="702"/>
      <c r="D29" s="665"/>
      <c r="E29" s="666"/>
      <c r="F29" s="674"/>
      <c r="G29" s="644">
        <v>0</v>
      </c>
      <c r="H29" s="644">
        <v>0</v>
      </c>
      <c r="I29" s="645">
        <v>0</v>
      </c>
      <c r="J29" s="703">
        <f t="shared" si="4"/>
        <v>0</v>
      </c>
      <c r="K29" s="631">
        <f t="shared" si="5"/>
        <v>0</v>
      </c>
      <c r="L29" s="569"/>
      <c r="M29" s="632">
        <v>0</v>
      </c>
      <c r="N29" s="633">
        <f t="shared" si="0"/>
        <v>0</v>
      </c>
      <c r="O29" s="632">
        <v>0</v>
      </c>
      <c r="P29" s="634">
        <f t="shared" si="1"/>
        <v>0</v>
      </c>
      <c r="Q29" s="635">
        <v>0</v>
      </c>
      <c r="R29" s="633">
        <f t="shared" si="2"/>
        <v>0</v>
      </c>
      <c r="S29" s="636">
        <f t="shared" si="6"/>
        <v>0</v>
      </c>
      <c r="T29" s="578"/>
      <c r="V29" s="646">
        <v>53205020100000</v>
      </c>
      <c r="W29" s="647" t="s">
        <v>25</v>
      </c>
      <c r="X29" s="648">
        <v>2201586</v>
      </c>
    </row>
    <row r="30" spans="1:47" ht="15" customHeight="1" x14ac:dyDescent="0.2">
      <c r="A30" s="829"/>
      <c r="B30" s="832"/>
      <c r="C30" s="702"/>
      <c r="D30" s="665"/>
      <c r="E30" s="666"/>
      <c r="F30" s="674"/>
      <c r="G30" s="644">
        <v>0</v>
      </c>
      <c r="H30" s="644">
        <v>0</v>
      </c>
      <c r="I30" s="645">
        <v>0</v>
      </c>
      <c r="J30" s="703">
        <f t="shared" si="4"/>
        <v>0</v>
      </c>
      <c r="K30" s="631">
        <f t="shared" si="5"/>
        <v>0</v>
      </c>
      <c r="L30" s="569"/>
      <c r="M30" s="632">
        <v>0</v>
      </c>
      <c r="N30" s="633">
        <f t="shared" si="0"/>
        <v>0</v>
      </c>
      <c r="O30" s="632">
        <v>0</v>
      </c>
      <c r="P30" s="634">
        <f t="shared" si="1"/>
        <v>0</v>
      </c>
      <c r="Q30" s="635">
        <v>0</v>
      </c>
      <c r="R30" s="633">
        <f t="shared" si="2"/>
        <v>0</v>
      </c>
      <c r="S30" s="636">
        <f t="shared" si="6"/>
        <v>0</v>
      </c>
      <c r="T30" s="578"/>
      <c r="V30" s="646">
        <v>53205030100000</v>
      </c>
      <c r="W30" s="647" t="s">
        <v>26</v>
      </c>
      <c r="X30" s="648">
        <v>588726</v>
      </c>
    </row>
    <row r="31" spans="1:47" ht="15" customHeight="1" x14ac:dyDescent="0.2">
      <c r="A31" s="829"/>
      <c r="B31" s="832"/>
      <c r="C31" s="702"/>
      <c r="D31" s="665"/>
      <c r="E31" s="666"/>
      <c r="F31" s="674"/>
      <c r="G31" s="644">
        <v>0</v>
      </c>
      <c r="H31" s="644">
        <v>0</v>
      </c>
      <c r="I31" s="645">
        <v>0</v>
      </c>
      <c r="J31" s="703">
        <f t="shared" si="4"/>
        <v>0</v>
      </c>
      <c r="K31" s="631">
        <f t="shared" si="5"/>
        <v>0</v>
      </c>
      <c r="L31" s="569"/>
      <c r="M31" s="632">
        <v>0</v>
      </c>
      <c r="N31" s="633">
        <f t="shared" si="0"/>
        <v>0</v>
      </c>
      <c r="O31" s="632">
        <v>0</v>
      </c>
      <c r="P31" s="634">
        <f t="shared" si="1"/>
        <v>0</v>
      </c>
      <c r="Q31" s="635">
        <v>0</v>
      </c>
      <c r="R31" s="633">
        <f t="shared" si="2"/>
        <v>0</v>
      </c>
      <c r="S31" s="636">
        <f t="shared" si="6"/>
        <v>0</v>
      </c>
      <c r="V31" s="646">
        <v>53205050100000</v>
      </c>
      <c r="W31" s="647" t="s">
        <v>27</v>
      </c>
      <c r="X31" s="648">
        <v>525000</v>
      </c>
    </row>
    <row r="32" spans="1:47" ht="15" customHeight="1" x14ac:dyDescent="0.2">
      <c r="A32" s="829"/>
      <c r="B32" s="832"/>
      <c r="C32" s="702"/>
      <c r="D32" s="665"/>
      <c r="E32" s="666"/>
      <c r="F32" s="674"/>
      <c r="G32" s="644">
        <v>0</v>
      </c>
      <c r="H32" s="644">
        <v>0</v>
      </c>
      <c r="I32" s="645">
        <v>0</v>
      </c>
      <c r="J32" s="703">
        <f t="shared" si="4"/>
        <v>0</v>
      </c>
      <c r="K32" s="631">
        <f t="shared" si="5"/>
        <v>0</v>
      </c>
      <c r="L32" s="569"/>
      <c r="M32" s="632">
        <v>0</v>
      </c>
      <c r="N32" s="633">
        <f t="shared" si="0"/>
        <v>0</v>
      </c>
      <c r="O32" s="632">
        <v>0</v>
      </c>
      <c r="P32" s="634">
        <f t="shared" si="1"/>
        <v>0</v>
      </c>
      <c r="Q32" s="635">
        <v>0</v>
      </c>
      <c r="R32" s="633">
        <f t="shared" si="2"/>
        <v>0</v>
      </c>
      <c r="S32" s="636">
        <f t="shared" si="6"/>
        <v>0</v>
      </c>
      <c r="V32" s="646">
        <v>53205060100000</v>
      </c>
      <c r="W32" s="647" t="s">
        <v>28</v>
      </c>
      <c r="X32" s="648">
        <v>302400</v>
      </c>
    </row>
    <row r="33" spans="1:24" s="564" customFormat="1" ht="15" customHeight="1" x14ac:dyDescent="0.2">
      <c r="A33" s="829"/>
      <c r="B33" s="832"/>
      <c r="C33" s="702"/>
      <c r="D33" s="665"/>
      <c r="E33" s="666"/>
      <c r="F33" s="674"/>
      <c r="G33" s="644">
        <v>0</v>
      </c>
      <c r="H33" s="644">
        <v>0</v>
      </c>
      <c r="I33" s="645">
        <v>0</v>
      </c>
      <c r="J33" s="703">
        <f t="shared" si="4"/>
        <v>0</v>
      </c>
      <c r="K33" s="631">
        <f t="shared" si="5"/>
        <v>0</v>
      </c>
      <c r="L33" s="569"/>
      <c r="M33" s="632">
        <v>0</v>
      </c>
      <c r="N33" s="633">
        <f t="shared" si="0"/>
        <v>0</v>
      </c>
      <c r="O33" s="632">
        <v>0</v>
      </c>
      <c r="P33" s="634">
        <f t="shared" si="1"/>
        <v>0</v>
      </c>
      <c r="Q33" s="635">
        <v>0</v>
      </c>
      <c r="R33" s="633">
        <f t="shared" si="2"/>
        <v>0</v>
      </c>
      <c r="S33" s="636">
        <f t="shared" si="6"/>
        <v>0</v>
      </c>
      <c r="V33" s="646">
        <v>53205070100000</v>
      </c>
      <c r="W33" s="647" t="s">
        <v>29</v>
      </c>
      <c r="X33" s="648">
        <v>163800</v>
      </c>
    </row>
    <row r="34" spans="1:24" s="564" customFormat="1" ht="15.75" customHeight="1" thickBot="1" x14ac:dyDescent="0.25">
      <c r="A34" s="829"/>
      <c r="B34" s="833"/>
      <c r="C34" s="611"/>
      <c r="D34" s="612"/>
      <c r="E34" s="613"/>
      <c r="F34" s="614"/>
      <c r="G34" s="615">
        <v>0</v>
      </c>
      <c r="H34" s="615">
        <v>0</v>
      </c>
      <c r="I34" s="616">
        <v>0</v>
      </c>
      <c r="J34" s="617">
        <f t="shared" si="4"/>
        <v>0</v>
      </c>
      <c r="K34" s="618">
        <f t="shared" si="5"/>
        <v>0</v>
      </c>
      <c r="L34" s="569"/>
      <c r="M34" s="619">
        <v>0</v>
      </c>
      <c r="N34" s="620">
        <f t="shared" si="0"/>
        <v>0</v>
      </c>
      <c r="O34" s="619">
        <v>0</v>
      </c>
      <c r="P34" s="621">
        <f t="shared" si="1"/>
        <v>0</v>
      </c>
      <c r="Q34" s="622">
        <v>0</v>
      </c>
      <c r="R34" s="620">
        <f t="shared" si="2"/>
        <v>0</v>
      </c>
      <c r="S34" s="623">
        <f t="shared" si="6"/>
        <v>0</v>
      </c>
      <c r="V34" s="646">
        <v>53208010100000</v>
      </c>
      <c r="W34" s="647" t="s">
        <v>30</v>
      </c>
      <c r="X34" s="648">
        <v>0</v>
      </c>
    </row>
    <row r="35" spans="1:24" s="564" customFormat="1" ht="15" customHeight="1" x14ac:dyDescent="0.2">
      <c r="A35" s="829"/>
      <c r="B35" s="831" t="s">
        <v>92</v>
      </c>
      <c r="C35" s="696"/>
      <c r="D35" s="588"/>
      <c r="E35" s="589"/>
      <c r="F35" s="704"/>
      <c r="G35" s="590">
        <v>0</v>
      </c>
      <c r="H35" s="590">
        <v>0</v>
      </c>
      <c r="I35" s="698">
        <v>0</v>
      </c>
      <c r="J35" s="591">
        <f t="shared" si="4"/>
        <v>0</v>
      </c>
      <c r="K35" s="592">
        <f t="shared" si="5"/>
        <v>0</v>
      </c>
      <c r="L35" s="569"/>
      <c r="M35" s="624">
        <v>0</v>
      </c>
      <c r="N35" s="705">
        <f t="shared" si="0"/>
        <v>0</v>
      </c>
      <c r="O35" s="624">
        <v>0</v>
      </c>
      <c r="P35" s="625">
        <f t="shared" si="1"/>
        <v>0</v>
      </c>
      <c r="Q35" s="706">
        <v>0</v>
      </c>
      <c r="R35" s="705">
        <f t="shared" si="2"/>
        <v>0</v>
      </c>
      <c r="S35" s="597">
        <f t="shared" si="6"/>
        <v>0</v>
      </c>
      <c r="V35" s="646">
        <v>53208070100001</v>
      </c>
      <c r="W35" s="647" t="s">
        <v>31</v>
      </c>
      <c r="X35" s="648">
        <v>1369111</v>
      </c>
    </row>
    <row r="36" spans="1:24" s="564" customFormat="1" ht="15" customHeight="1" x14ac:dyDescent="0.2">
      <c r="A36" s="829"/>
      <c r="B36" s="832"/>
      <c r="C36" s="702"/>
      <c r="D36" s="665"/>
      <c r="E36" s="666"/>
      <c r="F36" s="674"/>
      <c r="G36" s="644">
        <v>0</v>
      </c>
      <c r="H36" s="644">
        <v>0</v>
      </c>
      <c r="I36" s="645">
        <v>0</v>
      </c>
      <c r="J36" s="703">
        <f t="shared" si="4"/>
        <v>0</v>
      </c>
      <c r="K36" s="631">
        <f t="shared" si="5"/>
        <v>0</v>
      </c>
      <c r="L36" s="569"/>
      <c r="M36" s="632">
        <v>0</v>
      </c>
      <c r="N36" s="633">
        <f t="shared" si="0"/>
        <v>0</v>
      </c>
      <c r="O36" s="632">
        <v>0</v>
      </c>
      <c r="P36" s="634">
        <f t="shared" si="1"/>
        <v>0</v>
      </c>
      <c r="Q36" s="635">
        <v>0</v>
      </c>
      <c r="R36" s="633">
        <f t="shared" si="2"/>
        <v>0</v>
      </c>
      <c r="S36" s="636">
        <f t="shared" si="6"/>
        <v>0</v>
      </c>
      <c r="V36" s="646">
        <v>53208100100001</v>
      </c>
      <c r="W36" s="647" t="s">
        <v>129</v>
      </c>
      <c r="X36" s="648">
        <v>0</v>
      </c>
    </row>
    <row r="37" spans="1:24" s="564" customFormat="1" ht="15" customHeight="1" x14ac:dyDescent="0.2">
      <c r="A37" s="829"/>
      <c r="B37" s="832"/>
      <c r="C37" s="702"/>
      <c r="D37" s="665"/>
      <c r="E37" s="666"/>
      <c r="F37" s="674"/>
      <c r="G37" s="644">
        <v>0</v>
      </c>
      <c r="H37" s="644">
        <v>0</v>
      </c>
      <c r="I37" s="645">
        <v>0</v>
      </c>
      <c r="J37" s="703">
        <f t="shared" si="4"/>
        <v>0</v>
      </c>
      <c r="K37" s="631">
        <f t="shared" si="5"/>
        <v>0</v>
      </c>
      <c r="L37" s="569"/>
      <c r="M37" s="632">
        <v>0</v>
      </c>
      <c r="N37" s="633">
        <f t="shared" si="0"/>
        <v>0</v>
      </c>
      <c r="O37" s="632">
        <v>0</v>
      </c>
      <c r="P37" s="634">
        <f t="shared" si="1"/>
        <v>0</v>
      </c>
      <c r="Q37" s="635">
        <v>0</v>
      </c>
      <c r="R37" s="633">
        <f t="shared" si="2"/>
        <v>0</v>
      </c>
      <c r="S37" s="636">
        <f t="shared" si="6"/>
        <v>0</v>
      </c>
      <c r="V37" s="646">
        <v>53211030000000</v>
      </c>
      <c r="W37" s="647" t="s">
        <v>32</v>
      </c>
      <c r="X37" s="648">
        <v>0</v>
      </c>
    </row>
    <row r="38" spans="1:24" s="564" customFormat="1" ht="15" customHeight="1" x14ac:dyDescent="0.2">
      <c r="A38" s="829"/>
      <c r="B38" s="832"/>
      <c r="C38" s="702"/>
      <c r="D38" s="665"/>
      <c r="E38" s="666"/>
      <c r="F38" s="674"/>
      <c r="G38" s="644">
        <v>0</v>
      </c>
      <c r="H38" s="644">
        <v>0</v>
      </c>
      <c r="I38" s="645">
        <v>0</v>
      </c>
      <c r="J38" s="703">
        <f t="shared" si="4"/>
        <v>0</v>
      </c>
      <c r="K38" s="631">
        <f t="shared" si="5"/>
        <v>0</v>
      </c>
      <c r="L38" s="569"/>
      <c r="M38" s="632">
        <v>0</v>
      </c>
      <c r="N38" s="633">
        <f t="shared" si="0"/>
        <v>0</v>
      </c>
      <c r="O38" s="632">
        <v>0</v>
      </c>
      <c r="P38" s="634">
        <f t="shared" si="1"/>
        <v>0</v>
      </c>
      <c r="Q38" s="635">
        <v>0</v>
      </c>
      <c r="R38" s="633">
        <f t="shared" si="2"/>
        <v>0</v>
      </c>
      <c r="S38" s="636">
        <f t="shared" si="6"/>
        <v>0</v>
      </c>
      <c r="T38" s="578"/>
      <c r="U38" s="578"/>
      <c r="V38" s="646">
        <v>53212020100000</v>
      </c>
      <c r="W38" s="647" t="s">
        <v>99</v>
      </c>
      <c r="X38" s="648">
        <v>7861800</v>
      </c>
    </row>
    <row r="39" spans="1:24" s="564" customFormat="1" ht="15.75" customHeight="1" thickBot="1" x14ac:dyDescent="0.25">
      <c r="A39" s="829"/>
      <c r="B39" s="833"/>
      <c r="C39" s="611"/>
      <c r="D39" s="612"/>
      <c r="E39" s="613"/>
      <c r="F39" s="614"/>
      <c r="G39" s="615">
        <v>0</v>
      </c>
      <c r="H39" s="615">
        <v>0</v>
      </c>
      <c r="I39" s="616">
        <v>0</v>
      </c>
      <c r="J39" s="617">
        <f t="shared" si="4"/>
        <v>0</v>
      </c>
      <c r="K39" s="618">
        <f t="shared" si="5"/>
        <v>0</v>
      </c>
      <c r="L39" s="569"/>
      <c r="M39" s="619">
        <v>0</v>
      </c>
      <c r="N39" s="620">
        <f t="shared" si="0"/>
        <v>0</v>
      </c>
      <c r="O39" s="619">
        <v>0</v>
      </c>
      <c r="P39" s="621">
        <f t="shared" si="1"/>
        <v>0</v>
      </c>
      <c r="Q39" s="622">
        <v>0</v>
      </c>
      <c r="R39" s="620">
        <f t="shared" si="2"/>
        <v>0</v>
      </c>
      <c r="S39" s="623">
        <f t="shared" si="6"/>
        <v>0</v>
      </c>
      <c r="T39" s="578"/>
      <c r="U39" s="578"/>
      <c r="V39" s="646">
        <v>53214020000000</v>
      </c>
      <c r="W39" s="647" t="s">
        <v>33</v>
      </c>
      <c r="X39" s="648">
        <v>0</v>
      </c>
    </row>
    <row r="40" spans="1:24" s="564" customFormat="1" ht="15" customHeight="1" x14ac:dyDescent="0.2">
      <c r="A40" s="829"/>
      <c r="B40" s="831" t="s">
        <v>120</v>
      </c>
      <c r="C40" s="707"/>
      <c r="D40" s="626"/>
      <c r="E40" s="627"/>
      <c r="F40" s="697"/>
      <c r="G40" s="644">
        <v>0</v>
      </c>
      <c r="H40" s="644">
        <v>0</v>
      </c>
      <c r="I40" s="644">
        <v>0</v>
      </c>
      <c r="J40" s="628">
        <f t="shared" ref="J40:J61" si="7">SUM(G40:I40)</f>
        <v>0</v>
      </c>
      <c r="K40" s="592">
        <f t="shared" si="5"/>
        <v>0</v>
      </c>
      <c r="L40" s="569"/>
      <c r="M40" s="624">
        <v>0</v>
      </c>
      <c r="N40" s="705">
        <f t="shared" si="0"/>
        <v>0</v>
      </c>
      <c r="O40" s="624">
        <v>0</v>
      </c>
      <c r="P40" s="625">
        <f t="shared" si="1"/>
        <v>0</v>
      </c>
      <c r="Q40" s="706">
        <v>0</v>
      </c>
      <c r="R40" s="705">
        <f t="shared" si="2"/>
        <v>0</v>
      </c>
      <c r="S40" s="597">
        <f t="shared" si="6"/>
        <v>0</v>
      </c>
      <c r="T40" s="578"/>
      <c r="U40" s="578"/>
      <c r="V40" s="699"/>
      <c r="W40" s="700" t="s">
        <v>34</v>
      </c>
      <c r="X40" s="629">
        <f>SUM(X41,X46,X49,X60,X70,X78)</f>
        <v>31566601</v>
      </c>
    </row>
    <row r="41" spans="1:24" s="564" customFormat="1" ht="15" customHeight="1" x14ac:dyDescent="0.2">
      <c r="A41" s="829"/>
      <c r="B41" s="832"/>
      <c r="C41" s="702"/>
      <c r="D41" s="665"/>
      <c r="E41" s="666"/>
      <c r="F41" s="666"/>
      <c r="G41" s="644">
        <v>0</v>
      </c>
      <c r="H41" s="644">
        <v>0</v>
      </c>
      <c r="I41" s="644">
        <v>0</v>
      </c>
      <c r="J41" s="630">
        <f t="shared" ref="J41:J48" si="8">SUM(G41:I41)</f>
        <v>0</v>
      </c>
      <c r="K41" s="631">
        <f t="shared" si="5"/>
        <v>0</v>
      </c>
      <c r="L41" s="569"/>
      <c r="M41" s="632">
        <v>0</v>
      </c>
      <c r="N41" s="633">
        <f t="shared" si="0"/>
        <v>0</v>
      </c>
      <c r="O41" s="632">
        <v>0</v>
      </c>
      <c r="P41" s="634">
        <f t="shared" si="1"/>
        <v>0</v>
      </c>
      <c r="Q41" s="635">
        <v>0</v>
      </c>
      <c r="R41" s="633">
        <f t="shared" si="2"/>
        <v>0</v>
      </c>
      <c r="S41" s="636">
        <f t="shared" si="6"/>
        <v>0</v>
      </c>
      <c r="T41" s="578"/>
      <c r="U41" s="578"/>
      <c r="V41" s="637"/>
      <c r="W41" s="638" t="s">
        <v>35</v>
      </c>
      <c r="X41" s="639">
        <f>SUM(X42:X45)</f>
        <v>1727922</v>
      </c>
    </row>
    <row r="42" spans="1:24" s="564" customFormat="1" ht="15" customHeight="1" x14ac:dyDescent="0.2">
      <c r="A42" s="829"/>
      <c r="B42" s="832"/>
      <c r="C42" s="640"/>
      <c r="D42" s="641"/>
      <c r="E42" s="642"/>
      <c r="F42" s="643"/>
      <c r="G42" s="644">
        <v>0</v>
      </c>
      <c r="H42" s="644">
        <v>0</v>
      </c>
      <c r="I42" s="645">
        <v>0</v>
      </c>
      <c r="J42" s="630">
        <f t="shared" si="8"/>
        <v>0</v>
      </c>
      <c r="K42" s="631">
        <f t="shared" si="5"/>
        <v>0</v>
      </c>
      <c r="L42" s="569"/>
      <c r="M42" s="632">
        <v>0</v>
      </c>
      <c r="N42" s="633">
        <f t="shared" si="0"/>
        <v>0</v>
      </c>
      <c r="O42" s="632">
        <v>0</v>
      </c>
      <c r="P42" s="634">
        <f t="shared" si="1"/>
        <v>0</v>
      </c>
      <c r="Q42" s="635">
        <v>0</v>
      </c>
      <c r="R42" s="633">
        <f t="shared" si="2"/>
        <v>0</v>
      </c>
      <c r="S42" s="636">
        <f t="shared" si="6"/>
        <v>0</v>
      </c>
      <c r="T42" s="578"/>
      <c r="U42" s="578"/>
      <c r="V42" s="646">
        <v>53202020100000</v>
      </c>
      <c r="W42" s="647" t="s">
        <v>39</v>
      </c>
      <c r="X42" s="648">
        <v>420000</v>
      </c>
    </row>
    <row r="43" spans="1:24" s="564" customFormat="1" ht="15" customHeight="1" x14ac:dyDescent="0.2">
      <c r="A43" s="829"/>
      <c r="B43" s="832"/>
      <c r="C43" s="640"/>
      <c r="D43" s="641"/>
      <c r="E43" s="642"/>
      <c r="F43" s="643"/>
      <c r="G43" s="644">
        <v>0</v>
      </c>
      <c r="H43" s="644">
        <v>0</v>
      </c>
      <c r="I43" s="645">
        <v>0</v>
      </c>
      <c r="J43" s="630">
        <f t="shared" si="8"/>
        <v>0</v>
      </c>
      <c r="K43" s="631">
        <f t="shared" si="5"/>
        <v>0</v>
      </c>
      <c r="L43" s="569"/>
      <c r="M43" s="632">
        <v>0</v>
      </c>
      <c r="N43" s="633">
        <f t="shared" si="0"/>
        <v>0</v>
      </c>
      <c r="O43" s="632">
        <v>0</v>
      </c>
      <c r="P43" s="634">
        <f t="shared" si="1"/>
        <v>0</v>
      </c>
      <c r="Q43" s="635">
        <v>0</v>
      </c>
      <c r="R43" s="633">
        <f t="shared" si="2"/>
        <v>0</v>
      </c>
      <c r="S43" s="636">
        <f t="shared" si="6"/>
        <v>0</v>
      </c>
      <c r="T43" s="578"/>
      <c r="U43" s="578"/>
      <c r="V43" s="646">
        <v>53202030000000</v>
      </c>
      <c r="W43" s="647" t="s">
        <v>40</v>
      </c>
      <c r="X43" s="648">
        <v>588000</v>
      </c>
    </row>
    <row r="44" spans="1:24" s="564" customFormat="1" ht="15" customHeight="1" x14ac:dyDescent="0.2">
      <c r="A44" s="829"/>
      <c r="B44" s="832"/>
      <c r="C44" s="640"/>
      <c r="D44" s="641"/>
      <c r="E44" s="642"/>
      <c r="F44" s="643"/>
      <c r="G44" s="644">
        <v>0</v>
      </c>
      <c r="H44" s="644">
        <v>0</v>
      </c>
      <c r="I44" s="645">
        <v>0</v>
      </c>
      <c r="J44" s="630">
        <f t="shared" si="8"/>
        <v>0</v>
      </c>
      <c r="K44" s="631">
        <f t="shared" si="5"/>
        <v>0</v>
      </c>
      <c r="L44" s="569"/>
      <c r="M44" s="632">
        <v>0</v>
      </c>
      <c r="N44" s="633">
        <f t="shared" si="0"/>
        <v>0</v>
      </c>
      <c r="O44" s="632">
        <v>0</v>
      </c>
      <c r="P44" s="634">
        <f t="shared" si="1"/>
        <v>0</v>
      </c>
      <c r="Q44" s="635">
        <v>0</v>
      </c>
      <c r="R44" s="633">
        <f t="shared" si="2"/>
        <v>0</v>
      </c>
      <c r="S44" s="636">
        <f t="shared" si="6"/>
        <v>0</v>
      </c>
      <c r="T44" s="578"/>
      <c r="U44" s="578"/>
      <c r="V44" s="646">
        <v>53211020000000</v>
      </c>
      <c r="W44" s="647" t="s">
        <v>41</v>
      </c>
      <c r="X44" s="648">
        <v>719922</v>
      </c>
    </row>
    <row r="45" spans="1:24" s="564" customFormat="1" ht="15" customHeight="1" x14ac:dyDescent="0.2">
      <c r="A45" s="829"/>
      <c r="B45" s="832"/>
      <c r="C45" s="640"/>
      <c r="D45" s="641"/>
      <c r="E45" s="642"/>
      <c r="F45" s="643"/>
      <c r="G45" s="644">
        <v>0</v>
      </c>
      <c r="H45" s="644">
        <v>0</v>
      </c>
      <c r="I45" s="645">
        <v>0</v>
      </c>
      <c r="J45" s="630">
        <f t="shared" si="8"/>
        <v>0</v>
      </c>
      <c r="K45" s="631">
        <f t="shared" si="5"/>
        <v>0</v>
      </c>
      <c r="L45" s="569"/>
      <c r="M45" s="632">
        <v>0</v>
      </c>
      <c r="N45" s="633">
        <f t="shared" si="0"/>
        <v>0</v>
      </c>
      <c r="O45" s="632">
        <v>0</v>
      </c>
      <c r="P45" s="634">
        <f t="shared" si="1"/>
        <v>0</v>
      </c>
      <c r="Q45" s="635">
        <v>0</v>
      </c>
      <c r="R45" s="633">
        <f t="shared" si="2"/>
        <v>0</v>
      </c>
      <c r="S45" s="636">
        <f t="shared" si="6"/>
        <v>0</v>
      </c>
      <c r="T45" s="578"/>
      <c r="U45" s="578"/>
      <c r="V45" s="646">
        <v>53101004030000</v>
      </c>
      <c r="W45" s="647" t="s">
        <v>38</v>
      </c>
      <c r="X45" s="648">
        <v>0</v>
      </c>
    </row>
    <row r="46" spans="1:24" s="564" customFormat="1" ht="15" customHeight="1" x14ac:dyDescent="0.2">
      <c r="A46" s="829"/>
      <c r="B46" s="832"/>
      <c r="C46" s="640"/>
      <c r="D46" s="641"/>
      <c r="E46" s="642"/>
      <c r="F46" s="643"/>
      <c r="G46" s="644">
        <v>0</v>
      </c>
      <c r="H46" s="644">
        <v>0</v>
      </c>
      <c r="I46" s="645">
        <v>0</v>
      </c>
      <c r="J46" s="630">
        <f t="shared" si="8"/>
        <v>0</v>
      </c>
      <c r="K46" s="631">
        <f t="shared" si="5"/>
        <v>0</v>
      </c>
      <c r="L46" s="569"/>
      <c r="M46" s="632">
        <v>0</v>
      </c>
      <c r="N46" s="633">
        <f t="shared" si="0"/>
        <v>0</v>
      </c>
      <c r="O46" s="632">
        <v>0</v>
      </c>
      <c r="P46" s="634">
        <f t="shared" si="1"/>
        <v>0</v>
      </c>
      <c r="Q46" s="635">
        <v>0</v>
      </c>
      <c r="R46" s="633">
        <f t="shared" si="2"/>
        <v>0</v>
      </c>
      <c r="S46" s="636">
        <f t="shared" si="6"/>
        <v>0</v>
      </c>
      <c r="T46" s="578"/>
      <c r="U46" s="578"/>
      <c r="V46" s="637"/>
      <c r="W46" s="638" t="s">
        <v>42</v>
      </c>
      <c r="X46" s="639">
        <f>SUM(X47:X48)</f>
        <v>0</v>
      </c>
    </row>
    <row r="47" spans="1:24" s="564" customFormat="1" ht="15" customHeight="1" x14ac:dyDescent="0.2">
      <c r="A47" s="829"/>
      <c r="B47" s="832"/>
      <c r="C47" s="640"/>
      <c r="D47" s="641"/>
      <c r="E47" s="642"/>
      <c r="F47" s="643"/>
      <c r="G47" s="644">
        <v>0</v>
      </c>
      <c r="H47" s="644">
        <v>0</v>
      </c>
      <c r="I47" s="645">
        <v>0</v>
      </c>
      <c r="J47" s="630">
        <f t="shared" si="8"/>
        <v>0</v>
      </c>
      <c r="K47" s="631">
        <f t="shared" si="5"/>
        <v>0</v>
      </c>
      <c r="L47" s="569"/>
      <c r="M47" s="632">
        <v>0</v>
      </c>
      <c r="N47" s="633">
        <f t="shared" si="0"/>
        <v>0</v>
      </c>
      <c r="O47" s="632">
        <v>0</v>
      </c>
      <c r="P47" s="634">
        <f t="shared" si="1"/>
        <v>0</v>
      </c>
      <c r="Q47" s="635">
        <v>0</v>
      </c>
      <c r="R47" s="633">
        <f t="shared" si="2"/>
        <v>0</v>
      </c>
      <c r="S47" s="636">
        <f t="shared" si="6"/>
        <v>0</v>
      </c>
      <c r="T47" s="578"/>
      <c r="U47" s="578"/>
      <c r="V47" s="646">
        <v>53205080000000</v>
      </c>
      <c r="W47" s="647" t="s">
        <v>43</v>
      </c>
      <c r="X47" s="649">
        <v>0</v>
      </c>
    </row>
    <row r="48" spans="1:24" s="564" customFormat="1" ht="15" customHeight="1" x14ac:dyDescent="0.2">
      <c r="A48" s="829"/>
      <c r="B48" s="832"/>
      <c r="C48" s="640"/>
      <c r="D48" s="641"/>
      <c r="E48" s="642"/>
      <c r="F48" s="643"/>
      <c r="G48" s="644">
        <v>0</v>
      </c>
      <c r="H48" s="644">
        <v>0</v>
      </c>
      <c r="I48" s="645">
        <v>0</v>
      </c>
      <c r="J48" s="630">
        <f t="shared" si="8"/>
        <v>0</v>
      </c>
      <c r="K48" s="631">
        <f t="shared" si="5"/>
        <v>0</v>
      </c>
      <c r="L48" s="569"/>
      <c r="M48" s="632">
        <v>0</v>
      </c>
      <c r="N48" s="633">
        <f t="shared" si="0"/>
        <v>0</v>
      </c>
      <c r="O48" s="632">
        <v>0</v>
      </c>
      <c r="P48" s="634">
        <f t="shared" si="1"/>
        <v>0</v>
      </c>
      <c r="Q48" s="635">
        <v>0</v>
      </c>
      <c r="R48" s="633">
        <f t="shared" si="2"/>
        <v>0</v>
      </c>
      <c r="S48" s="636">
        <f t="shared" si="6"/>
        <v>0</v>
      </c>
      <c r="T48" s="578"/>
      <c r="U48" s="578"/>
      <c r="V48" s="646">
        <v>53205990000000</v>
      </c>
      <c r="W48" s="647" t="s">
        <v>44</v>
      </c>
      <c r="X48" s="649">
        <v>0</v>
      </c>
    </row>
    <row r="49" spans="1:24" s="564" customFormat="1" ht="15" customHeight="1" x14ac:dyDescent="0.2">
      <c r="A49" s="829"/>
      <c r="B49" s="832"/>
      <c r="C49" s="640"/>
      <c r="D49" s="641"/>
      <c r="E49" s="642"/>
      <c r="F49" s="643"/>
      <c r="G49" s="644">
        <v>0</v>
      </c>
      <c r="H49" s="644">
        <v>0</v>
      </c>
      <c r="I49" s="645">
        <v>0</v>
      </c>
      <c r="J49" s="630">
        <f t="shared" si="7"/>
        <v>0</v>
      </c>
      <c r="K49" s="631">
        <f t="shared" si="5"/>
        <v>0</v>
      </c>
      <c r="L49" s="569"/>
      <c r="M49" s="632">
        <v>0</v>
      </c>
      <c r="N49" s="633">
        <f t="shared" si="0"/>
        <v>0</v>
      </c>
      <c r="O49" s="632">
        <v>0</v>
      </c>
      <c r="P49" s="634">
        <f t="shared" si="1"/>
        <v>0</v>
      </c>
      <c r="Q49" s="635">
        <v>0</v>
      </c>
      <c r="R49" s="633">
        <f t="shared" si="2"/>
        <v>0</v>
      </c>
      <c r="S49" s="636">
        <f t="shared" si="6"/>
        <v>0</v>
      </c>
      <c r="T49" s="578"/>
      <c r="U49" s="578"/>
      <c r="V49" s="637"/>
      <c r="W49" s="638" t="s">
        <v>45</v>
      </c>
      <c r="X49" s="639">
        <f>SUM(X50:X59)</f>
        <v>12762755</v>
      </c>
    </row>
    <row r="50" spans="1:24" s="564" customFormat="1" ht="15" customHeight="1" x14ac:dyDescent="0.2">
      <c r="A50" s="829"/>
      <c r="B50" s="832"/>
      <c r="C50" s="640"/>
      <c r="D50" s="641"/>
      <c r="E50" s="642"/>
      <c r="F50" s="643"/>
      <c r="G50" s="644">
        <v>0</v>
      </c>
      <c r="H50" s="644">
        <v>0</v>
      </c>
      <c r="I50" s="645">
        <v>0</v>
      </c>
      <c r="J50" s="630">
        <f t="shared" ref="J50:J53" si="9">SUM(G50:I50)</f>
        <v>0</v>
      </c>
      <c r="K50" s="631">
        <f t="shared" si="5"/>
        <v>0</v>
      </c>
      <c r="L50" s="569"/>
      <c r="M50" s="632">
        <v>0</v>
      </c>
      <c r="N50" s="633">
        <f t="shared" si="0"/>
        <v>0</v>
      </c>
      <c r="O50" s="632">
        <v>0</v>
      </c>
      <c r="P50" s="634">
        <f t="shared" si="1"/>
        <v>0</v>
      </c>
      <c r="Q50" s="635">
        <v>0</v>
      </c>
      <c r="R50" s="633">
        <f t="shared" si="2"/>
        <v>0</v>
      </c>
      <c r="S50" s="636">
        <f t="shared" si="6"/>
        <v>0</v>
      </c>
      <c r="T50" s="578"/>
      <c r="U50" s="578"/>
      <c r="V50" s="646">
        <v>53203010200000</v>
      </c>
      <c r="W50" s="647" t="s">
        <v>46</v>
      </c>
      <c r="X50" s="648">
        <v>0</v>
      </c>
    </row>
    <row r="51" spans="1:24" s="564" customFormat="1" ht="15" customHeight="1" x14ac:dyDescent="0.2">
      <c r="A51" s="829"/>
      <c r="B51" s="832"/>
      <c r="C51" s="640"/>
      <c r="D51" s="641"/>
      <c r="E51" s="642"/>
      <c r="F51" s="643"/>
      <c r="G51" s="644">
        <v>0</v>
      </c>
      <c r="H51" s="644">
        <v>0</v>
      </c>
      <c r="I51" s="645">
        <v>0</v>
      </c>
      <c r="J51" s="630">
        <f t="shared" si="9"/>
        <v>0</v>
      </c>
      <c r="K51" s="631">
        <f t="shared" si="5"/>
        <v>0</v>
      </c>
      <c r="L51" s="569"/>
      <c r="M51" s="632">
        <v>0</v>
      </c>
      <c r="N51" s="633">
        <f t="shared" si="0"/>
        <v>0</v>
      </c>
      <c r="O51" s="632">
        <v>0</v>
      </c>
      <c r="P51" s="634">
        <f t="shared" si="1"/>
        <v>0</v>
      </c>
      <c r="Q51" s="635">
        <v>0</v>
      </c>
      <c r="R51" s="633">
        <f t="shared" si="2"/>
        <v>0</v>
      </c>
      <c r="S51" s="636">
        <f t="shared" si="6"/>
        <v>0</v>
      </c>
      <c r="T51" s="578"/>
      <c r="U51" s="578"/>
      <c r="V51" s="646">
        <v>53204010000000</v>
      </c>
      <c r="W51" s="647" t="s">
        <v>47</v>
      </c>
      <c r="X51" s="648">
        <v>3106800</v>
      </c>
    </row>
    <row r="52" spans="1:24" s="564" customFormat="1" ht="15" customHeight="1" x14ac:dyDescent="0.2">
      <c r="A52" s="829"/>
      <c r="B52" s="832"/>
      <c r="C52" s="640"/>
      <c r="D52" s="641"/>
      <c r="E52" s="642"/>
      <c r="F52" s="643"/>
      <c r="G52" s="644">
        <v>0</v>
      </c>
      <c r="H52" s="644">
        <v>0</v>
      </c>
      <c r="I52" s="645">
        <v>0</v>
      </c>
      <c r="J52" s="630">
        <f t="shared" si="9"/>
        <v>0</v>
      </c>
      <c r="K52" s="631">
        <f t="shared" si="5"/>
        <v>0</v>
      </c>
      <c r="L52" s="569"/>
      <c r="M52" s="632">
        <v>0</v>
      </c>
      <c r="N52" s="633">
        <f t="shared" si="0"/>
        <v>0</v>
      </c>
      <c r="O52" s="632">
        <v>0</v>
      </c>
      <c r="P52" s="634">
        <f t="shared" si="1"/>
        <v>0</v>
      </c>
      <c r="Q52" s="635">
        <v>0</v>
      </c>
      <c r="R52" s="633">
        <f t="shared" si="2"/>
        <v>0</v>
      </c>
      <c r="S52" s="636">
        <f t="shared" si="6"/>
        <v>0</v>
      </c>
      <c r="T52" s="578"/>
      <c r="U52" s="578"/>
      <c r="V52" s="646">
        <v>53204040200000</v>
      </c>
      <c r="W52" s="647" t="s">
        <v>48</v>
      </c>
      <c r="X52" s="648">
        <v>0</v>
      </c>
    </row>
    <row r="53" spans="1:24" s="564" customFormat="1" ht="15" customHeight="1" x14ac:dyDescent="0.2">
      <c r="A53" s="829"/>
      <c r="B53" s="832"/>
      <c r="C53" s="640"/>
      <c r="D53" s="641"/>
      <c r="E53" s="642"/>
      <c r="F53" s="643"/>
      <c r="G53" s="644">
        <v>0</v>
      </c>
      <c r="H53" s="644">
        <v>0</v>
      </c>
      <c r="I53" s="645">
        <v>0</v>
      </c>
      <c r="J53" s="630">
        <f t="shared" si="9"/>
        <v>0</v>
      </c>
      <c r="K53" s="631">
        <f t="shared" si="5"/>
        <v>0</v>
      </c>
      <c r="L53" s="569"/>
      <c r="M53" s="632">
        <v>0</v>
      </c>
      <c r="N53" s="633">
        <f t="shared" si="0"/>
        <v>0</v>
      </c>
      <c r="O53" s="632">
        <v>0</v>
      </c>
      <c r="P53" s="634">
        <f t="shared" si="1"/>
        <v>0</v>
      </c>
      <c r="Q53" s="635">
        <v>0</v>
      </c>
      <c r="R53" s="633">
        <f t="shared" si="2"/>
        <v>0</v>
      </c>
      <c r="S53" s="636">
        <f t="shared" si="6"/>
        <v>0</v>
      </c>
      <c r="T53" s="578"/>
      <c r="U53" s="578"/>
      <c r="V53" s="646">
        <v>53204060000000</v>
      </c>
      <c r="W53" s="647" t="s">
        <v>49</v>
      </c>
      <c r="X53" s="648">
        <v>0</v>
      </c>
    </row>
    <row r="54" spans="1:24" s="564" customFormat="1" ht="15" customHeight="1" x14ac:dyDescent="0.2">
      <c r="A54" s="829"/>
      <c r="B54" s="832"/>
      <c r="C54" s="640"/>
      <c r="D54" s="641"/>
      <c r="E54" s="642"/>
      <c r="F54" s="643"/>
      <c r="G54" s="644">
        <v>0</v>
      </c>
      <c r="H54" s="644">
        <v>0</v>
      </c>
      <c r="I54" s="645">
        <v>0</v>
      </c>
      <c r="J54" s="630">
        <f t="shared" si="7"/>
        <v>0</v>
      </c>
      <c r="K54" s="631">
        <f t="shared" si="5"/>
        <v>0</v>
      </c>
      <c r="L54" s="569"/>
      <c r="M54" s="632">
        <v>0</v>
      </c>
      <c r="N54" s="633">
        <f t="shared" si="0"/>
        <v>0</v>
      </c>
      <c r="O54" s="632">
        <v>0</v>
      </c>
      <c r="P54" s="634">
        <f t="shared" si="1"/>
        <v>0</v>
      </c>
      <c r="Q54" s="635">
        <v>0</v>
      </c>
      <c r="R54" s="633">
        <f t="shared" si="2"/>
        <v>0</v>
      </c>
      <c r="S54" s="636">
        <f t="shared" si="6"/>
        <v>0</v>
      </c>
      <c r="T54" s="578"/>
      <c r="U54" s="578"/>
      <c r="V54" s="646">
        <v>53204070000000</v>
      </c>
      <c r="W54" s="647" t="s">
        <v>50</v>
      </c>
      <c r="X54" s="648">
        <v>1204200</v>
      </c>
    </row>
    <row r="55" spans="1:24" s="564" customFormat="1" ht="15" customHeight="1" x14ac:dyDescent="0.2">
      <c r="A55" s="829"/>
      <c r="B55" s="832"/>
      <c r="C55" s="640"/>
      <c r="D55" s="641"/>
      <c r="E55" s="642"/>
      <c r="F55" s="643"/>
      <c r="G55" s="644">
        <v>0</v>
      </c>
      <c r="H55" s="644">
        <v>0</v>
      </c>
      <c r="I55" s="645">
        <v>0</v>
      </c>
      <c r="J55" s="630">
        <f t="shared" si="7"/>
        <v>0</v>
      </c>
      <c r="K55" s="631">
        <f t="shared" si="5"/>
        <v>0</v>
      </c>
      <c r="L55" s="569"/>
      <c r="M55" s="632">
        <v>0</v>
      </c>
      <c r="N55" s="633">
        <f t="shared" si="0"/>
        <v>0</v>
      </c>
      <c r="O55" s="632">
        <v>0</v>
      </c>
      <c r="P55" s="634">
        <f t="shared" si="1"/>
        <v>0</v>
      </c>
      <c r="Q55" s="635">
        <v>0</v>
      </c>
      <c r="R55" s="633">
        <f t="shared" si="2"/>
        <v>0</v>
      </c>
      <c r="S55" s="636">
        <f t="shared" si="6"/>
        <v>0</v>
      </c>
      <c r="T55" s="578"/>
      <c r="U55" s="578"/>
      <c r="V55" s="646">
        <v>53204080000000</v>
      </c>
      <c r="W55" s="647" t="s">
        <v>51</v>
      </c>
      <c r="X55" s="648">
        <v>0</v>
      </c>
    </row>
    <row r="56" spans="1:24" s="564" customFormat="1" ht="15" customHeight="1" x14ac:dyDescent="0.2">
      <c r="A56" s="829"/>
      <c r="B56" s="832"/>
      <c r="C56" s="640"/>
      <c r="D56" s="641"/>
      <c r="E56" s="642"/>
      <c r="F56" s="643"/>
      <c r="G56" s="644">
        <v>0</v>
      </c>
      <c r="H56" s="644">
        <v>0</v>
      </c>
      <c r="I56" s="645">
        <v>0</v>
      </c>
      <c r="J56" s="630">
        <f t="shared" si="7"/>
        <v>0</v>
      </c>
      <c r="K56" s="631">
        <f t="shared" si="5"/>
        <v>0</v>
      </c>
      <c r="L56" s="569"/>
      <c r="M56" s="632">
        <v>0</v>
      </c>
      <c r="N56" s="633">
        <f t="shared" si="0"/>
        <v>0</v>
      </c>
      <c r="O56" s="632">
        <v>0</v>
      </c>
      <c r="P56" s="634">
        <f t="shared" si="1"/>
        <v>0</v>
      </c>
      <c r="Q56" s="635">
        <v>0</v>
      </c>
      <c r="R56" s="633">
        <f t="shared" si="2"/>
        <v>0</v>
      </c>
      <c r="S56" s="636">
        <f t="shared" si="6"/>
        <v>0</v>
      </c>
      <c r="T56" s="578"/>
      <c r="U56" s="578"/>
      <c r="V56" s="646">
        <v>53214010000000</v>
      </c>
      <c r="W56" s="647" t="s">
        <v>52</v>
      </c>
      <c r="X56" s="648">
        <v>3351755</v>
      </c>
    </row>
    <row r="57" spans="1:24" s="564" customFormat="1" ht="15" customHeight="1" x14ac:dyDescent="0.2">
      <c r="A57" s="829"/>
      <c r="B57" s="832"/>
      <c r="C57" s="640"/>
      <c r="D57" s="641"/>
      <c r="E57" s="642"/>
      <c r="F57" s="643"/>
      <c r="G57" s="644">
        <v>0</v>
      </c>
      <c r="H57" s="644">
        <v>0</v>
      </c>
      <c r="I57" s="645">
        <v>0</v>
      </c>
      <c r="J57" s="630">
        <f t="shared" si="7"/>
        <v>0</v>
      </c>
      <c r="K57" s="631">
        <f t="shared" si="5"/>
        <v>0</v>
      </c>
      <c r="L57" s="569"/>
      <c r="M57" s="632">
        <v>0</v>
      </c>
      <c r="N57" s="633">
        <f t="shared" si="0"/>
        <v>0</v>
      </c>
      <c r="O57" s="632">
        <v>0</v>
      </c>
      <c r="P57" s="634">
        <f t="shared" si="1"/>
        <v>0</v>
      </c>
      <c r="Q57" s="635">
        <v>0</v>
      </c>
      <c r="R57" s="633">
        <f t="shared" si="2"/>
        <v>0</v>
      </c>
      <c r="S57" s="636">
        <f t="shared" si="6"/>
        <v>0</v>
      </c>
      <c r="T57" s="578"/>
      <c r="U57" s="578"/>
      <c r="V57" s="646">
        <v>53214040000000</v>
      </c>
      <c r="W57" s="647" t="s">
        <v>130</v>
      </c>
      <c r="X57" s="648">
        <v>5100000</v>
      </c>
    </row>
    <row r="58" spans="1:24" s="564" customFormat="1" ht="15" customHeight="1" x14ac:dyDescent="0.2">
      <c r="A58" s="829"/>
      <c r="B58" s="832"/>
      <c r="C58" s="640"/>
      <c r="D58" s="641"/>
      <c r="E58" s="642"/>
      <c r="F58" s="643"/>
      <c r="G58" s="644">
        <v>0</v>
      </c>
      <c r="H58" s="644">
        <v>0</v>
      </c>
      <c r="I58" s="645">
        <v>0</v>
      </c>
      <c r="J58" s="630">
        <f t="shared" si="7"/>
        <v>0</v>
      </c>
      <c r="K58" s="631">
        <f t="shared" si="5"/>
        <v>0</v>
      </c>
      <c r="L58" s="569"/>
      <c r="M58" s="632">
        <v>0</v>
      </c>
      <c r="N58" s="633">
        <f t="shared" si="0"/>
        <v>0</v>
      </c>
      <c r="O58" s="632">
        <v>0</v>
      </c>
      <c r="P58" s="634">
        <f t="shared" si="1"/>
        <v>0</v>
      </c>
      <c r="Q58" s="635">
        <v>0</v>
      </c>
      <c r="R58" s="633">
        <f t="shared" si="2"/>
        <v>0</v>
      </c>
      <c r="S58" s="636">
        <f t="shared" si="6"/>
        <v>0</v>
      </c>
      <c r="T58" s="578"/>
      <c r="U58" s="578"/>
      <c r="V58" s="646">
        <v>55201010100004</v>
      </c>
      <c r="W58" s="647" t="s">
        <v>53</v>
      </c>
      <c r="X58" s="648">
        <v>0</v>
      </c>
    </row>
    <row r="59" spans="1:24" s="564" customFormat="1" ht="15" customHeight="1" x14ac:dyDescent="0.2">
      <c r="A59" s="829"/>
      <c r="B59" s="832"/>
      <c r="C59" s="640"/>
      <c r="D59" s="641"/>
      <c r="E59" s="642"/>
      <c r="F59" s="643"/>
      <c r="G59" s="644">
        <v>0</v>
      </c>
      <c r="H59" s="644">
        <v>0</v>
      </c>
      <c r="I59" s="645">
        <v>0</v>
      </c>
      <c r="J59" s="630">
        <f t="shared" si="7"/>
        <v>0</v>
      </c>
      <c r="K59" s="631">
        <f t="shared" si="5"/>
        <v>0</v>
      </c>
      <c r="L59" s="569"/>
      <c r="M59" s="632">
        <v>0</v>
      </c>
      <c r="N59" s="633">
        <f t="shared" si="0"/>
        <v>0</v>
      </c>
      <c r="O59" s="632">
        <v>0</v>
      </c>
      <c r="P59" s="634">
        <f t="shared" si="1"/>
        <v>0</v>
      </c>
      <c r="Q59" s="635">
        <v>0</v>
      </c>
      <c r="R59" s="633">
        <f t="shared" si="2"/>
        <v>0</v>
      </c>
      <c r="S59" s="636">
        <f t="shared" si="6"/>
        <v>0</v>
      </c>
      <c r="T59" s="578"/>
      <c r="U59" s="578"/>
      <c r="V59" s="646">
        <v>55201010100005</v>
      </c>
      <c r="W59" s="647" t="s">
        <v>54</v>
      </c>
      <c r="X59" s="648">
        <v>0</v>
      </c>
    </row>
    <row r="60" spans="1:24" s="564" customFormat="1" ht="15" customHeight="1" x14ac:dyDescent="0.2">
      <c r="A60" s="829"/>
      <c r="B60" s="832"/>
      <c r="C60" s="640"/>
      <c r="D60" s="641"/>
      <c r="E60" s="642"/>
      <c r="F60" s="643"/>
      <c r="G60" s="644">
        <v>0</v>
      </c>
      <c r="H60" s="644">
        <v>0</v>
      </c>
      <c r="I60" s="645">
        <v>0</v>
      </c>
      <c r="J60" s="630">
        <f t="shared" si="7"/>
        <v>0</v>
      </c>
      <c r="K60" s="631">
        <f t="shared" si="5"/>
        <v>0</v>
      </c>
      <c r="L60" s="569"/>
      <c r="M60" s="632">
        <v>0</v>
      </c>
      <c r="N60" s="633">
        <f t="shared" si="0"/>
        <v>0</v>
      </c>
      <c r="O60" s="632">
        <v>0</v>
      </c>
      <c r="P60" s="634">
        <f t="shared" si="1"/>
        <v>0</v>
      </c>
      <c r="Q60" s="635">
        <v>0</v>
      </c>
      <c r="R60" s="633">
        <f t="shared" si="2"/>
        <v>0</v>
      </c>
      <c r="S60" s="636">
        <f t="shared" si="6"/>
        <v>0</v>
      </c>
      <c r="T60" s="578"/>
      <c r="U60" s="578"/>
      <c r="V60" s="637"/>
      <c r="W60" s="638" t="s">
        <v>55</v>
      </c>
      <c r="X60" s="650">
        <f>SUM(X61:X69)</f>
        <v>8381724</v>
      </c>
    </row>
    <row r="61" spans="1:24" s="564" customFormat="1" ht="15.75" customHeight="1" thickBot="1" x14ac:dyDescent="0.25">
      <c r="A61" s="830"/>
      <c r="B61" s="833"/>
      <c r="C61" s="611"/>
      <c r="D61" s="612"/>
      <c r="E61" s="613"/>
      <c r="F61" s="614"/>
      <c r="G61" s="615">
        <v>0</v>
      </c>
      <c r="H61" s="615">
        <v>0</v>
      </c>
      <c r="I61" s="616">
        <v>0</v>
      </c>
      <c r="J61" s="617">
        <f t="shared" si="7"/>
        <v>0</v>
      </c>
      <c r="K61" s="618">
        <f t="shared" si="5"/>
        <v>0</v>
      </c>
      <c r="L61" s="569"/>
      <c r="M61" s="651">
        <v>0</v>
      </c>
      <c r="N61" s="652">
        <f t="shared" si="0"/>
        <v>0</v>
      </c>
      <c r="O61" s="651">
        <v>0</v>
      </c>
      <c r="P61" s="653">
        <f t="shared" si="1"/>
        <v>0</v>
      </c>
      <c r="Q61" s="654">
        <v>0</v>
      </c>
      <c r="R61" s="652">
        <f t="shared" si="2"/>
        <v>0</v>
      </c>
      <c r="S61" s="623">
        <f t="shared" si="6"/>
        <v>0</v>
      </c>
      <c r="T61" s="578"/>
      <c r="U61" s="578"/>
      <c r="V61" s="646">
        <v>53207010000000</v>
      </c>
      <c r="W61" s="647" t="s">
        <v>56</v>
      </c>
      <c r="X61" s="648">
        <v>0</v>
      </c>
    </row>
    <row r="62" spans="1:24" s="564" customFormat="1" ht="16.5" thickBot="1" x14ac:dyDescent="0.25">
      <c r="G62" s="655">
        <f>SUM(G15:G61)</f>
        <v>77381904</v>
      </c>
      <c r="K62" s="656">
        <f>SUM(K15:K61)</f>
        <v>88086122.439999998</v>
      </c>
      <c r="M62" s="657">
        <f>+N62/$K$62</f>
        <v>0.57623750141316821</v>
      </c>
      <c r="N62" s="658">
        <f>SUM(N15:N61)</f>
        <v>50758527.104000002</v>
      </c>
      <c r="O62" s="659">
        <f>+P62/$K$62</f>
        <v>0.21645165233135447</v>
      </c>
      <c r="P62" s="658">
        <f>SUM(P15:P61)</f>
        <v>19066386.749600001</v>
      </c>
      <c r="Q62" s="657">
        <f>+R62/$K$62</f>
        <v>0.20731084625547741</v>
      </c>
      <c r="R62" s="658">
        <f>SUM(R15:R61)</f>
        <v>18261208.586399999</v>
      </c>
      <c r="V62" s="646">
        <v>53207020000000</v>
      </c>
      <c r="W62" s="647" t="s">
        <v>57</v>
      </c>
      <c r="X62" s="648">
        <v>0</v>
      </c>
    </row>
    <row r="63" spans="1:24" s="564" customFormat="1" x14ac:dyDescent="0.2">
      <c r="K63" s="660">
        <v>1</v>
      </c>
      <c r="V63" s="646">
        <v>53208020000000</v>
      </c>
      <c r="W63" s="647" t="s">
        <v>58</v>
      </c>
      <c r="X63" s="648">
        <v>0</v>
      </c>
    </row>
    <row r="64" spans="1:24" s="564" customFormat="1" x14ac:dyDescent="0.2">
      <c r="V64" s="646">
        <v>53208990000000</v>
      </c>
      <c r="W64" s="647" t="s">
        <v>59</v>
      </c>
      <c r="X64" s="648">
        <f>3105724+1370000</f>
        <v>4475724</v>
      </c>
    </row>
    <row r="65" spans="1:24" s="564" customFormat="1" x14ac:dyDescent="0.2">
      <c r="L65" s="569"/>
      <c r="V65" s="646">
        <v>53209010000000</v>
      </c>
      <c r="W65" s="647" t="s">
        <v>60</v>
      </c>
      <c r="X65" s="648">
        <v>0</v>
      </c>
    </row>
    <row r="66" spans="1:24" s="564" customFormat="1" ht="13.5" thickBot="1" x14ac:dyDescent="0.25">
      <c r="L66" s="569"/>
      <c r="V66" s="646">
        <v>53209040000000</v>
      </c>
      <c r="W66" s="647" t="s">
        <v>61</v>
      </c>
      <c r="X66" s="648">
        <v>0</v>
      </c>
    </row>
    <row r="67" spans="1:24" s="564" customFormat="1" ht="15" x14ac:dyDescent="0.2">
      <c r="A67" s="821" t="s">
        <v>334</v>
      </c>
      <c r="B67" s="824" t="s">
        <v>335</v>
      </c>
      <c r="C67" s="661" t="s">
        <v>336</v>
      </c>
      <c r="D67" s="662" t="s">
        <v>337</v>
      </c>
      <c r="E67" s="588" t="s">
        <v>338</v>
      </c>
      <c r="F67" s="704"/>
      <c r="G67" s="708">
        <f>2332135*12</f>
        <v>27985620</v>
      </c>
      <c r="H67" s="590">
        <v>165270</v>
      </c>
      <c r="I67" s="698">
        <v>172957</v>
      </c>
      <c r="J67" s="663">
        <v>0</v>
      </c>
      <c r="K67" s="592">
        <f>+((G67*(1+$K$11))+H67+I67)</f>
        <v>31402265.200000003</v>
      </c>
      <c r="L67" s="569"/>
      <c r="V67" s="646">
        <v>53209050000000</v>
      </c>
      <c r="W67" s="647" t="s">
        <v>62</v>
      </c>
      <c r="X67" s="648">
        <v>3906000</v>
      </c>
    </row>
    <row r="68" spans="1:24" s="564" customFormat="1" x14ac:dyDescent="0.2">
      <c r="A68" s="822"/>
      <c r="B68" s="825"/>
      <c r="C68" s="664"/>
      <c r="D68" s="665"/>
      <c r="E68" s="666"/>
      <c r="F68" s="667"/>
      <c r="G68" s="644"/>
      <c r="H68" s="644"/>
      <c r="I68" s="668"/>
      <c r="J68" s="669">
        <f t="shared" ref="J68:J71" si="10">SUM(G68:I68)</f>
        <v>0</v>
      </c>
      <c r="K68" s="670">
        <f t="shared" ref="K68:K71" si="11">+((G68*(1+$K$11))+H68+I68)</f>
        <v>0</v>
      </c>
      <c r="L68" s="569"/>
      <c r="V68" s="646">
        <v>53209990000000</v>
      </c>
      <c r="W68" s="647" t="s">
        <v>63</v>
      </c>
      <c r="X68" s="648">
        <v>0</v>
      </c>
    </row>
    <row r="69" spans="1:24" s="564" customFormat="1" x14ac:dyDescent="0.2">
      <c r="A69" s="822"/>
      <c r="B69" s="825"/>
      <c r="C69" s="671"/>
      <c r="D69" s="672"/>
      <c r="E69" s="673"/>
      <c r="F69" s="667"/>
      <c r="G69" s="644"/>
      <c r="H69" s="644"/>
      <c r="I69" s="668"/>
      <c r="J69" s="669">
        <f t="shared" si="10"/>
        <v>0</v>
      </c>
      <c r="K69" s="670">
        <f t="shared" si="11"/>
        <v>0</v>
      </c>
      <c r="L69" s="569"/>
      <c r="P69" s="564" t="s">
        <v>339</v>
      </c>
      <c r="V69" s="646">
        <v>53210020100000</v>
      </c>
      <c r="W69" s="647" t="s">
        <v>64</v>
      </c>
      <c r="X69" s="648">
        <v>0</v>
      </c>
    </row>
    <row r="70" spans="1:24" s="564" customFormat="1" x14ac:dyDescent="0.2">
      <c r="A70" s="822"/>
      <c r="B70" s="825"/>
      <c r="C70" s="664"/>
      <c r="D70" s="665"/>
      <c r="E70" s="666"/>
      <c r="F70" s="674"/>
      <c r="G70" s="644"/>
      <c r="H70" s="644"/>
      <c r="I70" s="668"/>
      <c r="J70" s="669">
        <f t="shared" si="10"/>
        <v>0</v>
      </c>
      <c r="K70" s="670">
        <f t="shared" si="11"/>
        <v>0</v>
      </c>
      <c r="L70" s="569"/>
      <c r="V70" s="637"/>
      <c r="W70" s="638" t="s">
        <v>65</v>
      </c>
      <c r="X70" s="639">
        <f>SUM(X71:X77)</f>
        <v>7434000</v>
      </c>
    </row>
    <row r="71" spans="1:24" s="564" customFormat="1" ht="13.5" thickBot="1" x14ac:dyDescent="0.25">
      <c r="A71" s="823"/>
      <c r="B71" s="826"/>
      <c r="C71" s="675"/>
      <c r="D71" s="612"/>
      <c r="E71" s="613"/>
      <c r="F71" s="614"/>
      <c r="G71" s="615"/>
      <c r="H71" s="615"/>
      <c r="I71" s="676"/>
      <c r="J71" s="677">
        <f t="shared" si="10"/>
        <v>0</v>
      </c>
      <c r="K71" s="678">
        <f t="shared" si="11"/>
        <v>0</v>
      </c>
      <c r="L71" s="569"/>
      <c r="M71" s="679"/>
      <c r="O71" s="679"/>
      <c r="Q71" s="679"/>
      <c r="V71" s="646">
        <v>53206030000000</v>
      </c>
      <c r="W71" s="647" t="s">
        <v>100</v>
      </c>
      <c r="X71" s="648">
        <v>0</v>
      </c>
    </row>
    <row r="72" spans="1:24" s="564" customFormat="1" ht="16.5" thickBot="1" x14ac:dyDescent="0.25">
      <c r="C72" s="680"/>
      <c r="D72" s="680"/>
      <c r="E72" s="681"/>
      <c r="F72" s="681"/>
      <c r="G72" s="681"/>
      <c r="H72" s="681"/>
      <c r="I72" s="681"/>
      <c r="K72" s="682">
        <f>SUM(K67:K71)</f>
        <v>31402265.200000003</v>
      </c>
      <c r="V72" s="646">
        <v>53206020000000</v>
      </c>
      <c r="W72" s="647" t="s">
        <v>340</v>
      </c>
      <c r="X72" s="648">
        <f>1512000+4200000</f>
        <v>5712000</v>
      </c>
    </row>
    <row r="73" spans="1:24" s="564" customFormat="1" x14ac:dyDescent="0.2">
      <c r="C73" s="680"/>
      <c r="D73" s="680"/>
      <c r="E73" s="681"/>
      <c r="F73" s="681"/>
      <c r="G73" s="681"/>
      <c r="H73" s="681"/>
      <c r="I73" s="681"/>
      <c r="K73" s="683">
        <v>1</v>
      </c>
      <c r="V73" s="646">
        <v>53206060000000</v>
      </c>
      <c r="W73" s="647" t="s">
        <v>102</v>
      </c>
      <c r="X73" s="648">
        <v>0</v>
      </c>
    </row>
    <row r="74" spans="1:24" s="564" customFormat="1" x14ac:dyDescent="0.2">
      <c r="C74" s="680"/>
      <c r="D74" s="680"/>
      <c r="E74" s="681"/>
      <c r="F74" s="681"/>
      <c r="G74" s="681"/>
      <c r="H74" s="681"/>
      <c r="I74" s="681"/>
      <c r="V74" s="646">
        <v>53206070000000</v>
      </c>
      <c r="W74" s="647" t="s">
        <v>103</v>
      </c>
      <c r="X74" s="648">
        <v>147000</v>
      </c>
    </row>
    <row r="75" spans="1:24" s="564" customFormat="1" x14ac:dyDescent="0.2">
      <c r="C75" s="680"/>
      <c r="D75" s="680"/>
      <c r="E75" s="681"/>
      <c r="F75" s="681"/>
      <c r="G75" s="681"/>
      <c r="H75" s="681"/>
      <c r="I75" s="681"/>
      <c r="V75" s="646">
        <v>53206990000000</v>
      </c>
      <c r="W75" s="647" t="s">
        <v>104</v>
      </c>
      <c r="X75" s="648">
        <v>0</v>
      </c>
    </row>
    <row r="76" spans="1:24" s="564" customFormat="1" x14ac:dyDescent="0.2">
      <c r="C76" s="680"/>
      <c r="D76" s="680"/>
      <c r="E76" s="681"/>
      <c r="F76" s="681"/>
      <c r="G76" s="681"/>
      <c r="H76" s="681"/>
      <c r="I76" s="681"/>
      <c r="V76" s="646">
        <v>53208030000000</v>
      </c>
      <c r="W76" s="647" t="s">
        <v>105</v>
      </c>
      <c r="X76" s="648">
        <v>0</v>
      </c>
    </row>
    <row r="77" spans="1:24" s="564" customFormat="1" ht="13.5" thickBot="1" x14ac:dyDescent="0.25">
      <c r="V77" s="646">
        <v>53212060000000</v>
      </c>
      <c r="W77" s="647" t="s">
        <v>98</v>
      </c>
      <c r="X77" s="648">
        <f>1050000+525000</f>
        <v>1575000</v>
      </c>
    </row>
    <row r="78" spans="1:24" s="564" customFormat="1" ht="15" x14ac:dyDescent="0.2">
      <c r="A78" s="821" t="s">
        <v>334</v>
      </c>
      <c r="B78" s="824" t="s">
        <v>121</v>
      </c>
      <c r="C78" s="661"/>
      <c r="D78" s="662"/>
      <c r="E78" s="588"/>
      <c r="F78" s="704"/>
      <c r="G78" s="708"/>
      <c r="H78" s="590"/>
      <c r="I78" s="698"/>
      <c r="J78" s="663">
        <v>0</v>
      </c>
      <c r="K78" s="592">
        <f>+((G78*(1+$K$11))+H78+I78)</f>
        <v>0</v>
      </c>
      <c r="V78" s="637"/>
      <c r="W78" s="638" t="s">
        <v>66</v>
      </c>
      <c r="X78" s="650">
        <f>SUM(X79:X79)</f>
        <v>1260200</v>
      </c>
    </row>
    <row r="79" spans="1:24" s="564" customFormat="1" x14ac:dyDescent="0.2">
      <c r="A79" s="822"/>
      <c r="B79" s="825"/>
      <c r="C79" s="664"/>
      <c r="D79" s="665"/>
      <c r="E79" s="666"/>
      <c r="F79" s="667"/>
      <c r="G79" s="644"/>
      <c r="H79" s="644"/>
      <c r="I79" s="668"/>
      <c r="J79" s="669">
        <f t="shared" ref="J79:J82" si="12">SUM(G79:I79)</f>
        <v>0</v>
      </c>
      <c r="K79" s="670">
        <f t="shared" ref="K79:K82" si="13">+((G79*(1+$K$11))+H79+I79)</f>
        <v>0</v>
      </c>
      <c r="V79" s="646">
        <v>53204999000000</v>
      </c>
      <c r="W79" s="647" t="s">
        <v>97</v>
      </c>
      <c r="X79" s="648">
        <f>336200+924000</f>
        <v>1260200</v>
      </c>
    </row>
    <row r="80" spans="1:24" s="564" customFormat="1" ht="13.5" thickBot="1" x14ac:dyDescent="0.25">
      <c r="A80" s="822"/>
      <c r="B80" s="825"/>
      <c r="C80" s="671"/>
      <c r="D80" s="672"/>
      <c r="E80" s="673"/>
      <c r="F80" s="667"/>
      <c r="G80" s="644"/>
      <c r="H80" s="644"/>
      <c r="I80" s="668"/>
      <c r="J80" s="669">
        <f t="shared" si="12"/>
        <v>0</v>
      </c>
      <c r="K80" s="670">
        <f t="shared" si="13"/>
        <v>0</v>
      </c>
      <c r="V80" s="684"/>
      <c r="W80" s="685" t="s">
        <v>136</v>
      </c>
      <c r="X80" s="686">
        <f>+X40+X15</f>
        <v>86483296</v>
      </c>
    </row>
    <row r="81" spans="1:12" x14ac:dyDescent="0.2">
      <c r="A81" s="822"/>
      <c r="B81" s="825"/>
      <c r="C81" s="664"/>
      <c r="D81" s="665"/>
      <c r="E81" s="666"/>
      <c r="F81" s="674"/>
      <c r="G81" s="644"/>
      <c r="H81" s="644"/>
      <c r="I81" s="668"/>
      <c r="J81" s="669">
        <f t="shared" si="12"/>
        <v>0</v>
      </c>
      <c r="K81" s="670">
        <f t="shared" si="13"/>
        <v>0</v>
      </c>
    </row>
    <row r="82" spans="1:12" ht="13.5" thickBot="1" x14ac:dyDescent="0.25">
      <c r="A82" s="823"/>
      <c r="B82" s="826"/>
      <c r="C82" s="675"/>
      <c r="D82" s="612"/>
      <c r="E82" s="613"/>
      <c r="F82" s="614"/>
      <c r="G82" s="615"/>
      <c r="H82" s="615"/>
      <c r="I82" s="676"/>
      <c r="J82" s="677">
        <f t="shared" si="12"/>
        <v>0</v>
      </c>
      <c r="K82" s="678">
        <f t="shared" si="13"/>
        <v>0</v>
      </c>
    </row>
    <row r="83" spans="1:12" ht="16.5" thickBot="1" x14ac:dyDescent="0.25">
      <c r="C83" s="680"/>
      <c r="D83" s="680"/>
      <c r="E83" s="681"/>
      <c r="F83" s="681"/>
      <c r="G83" s="681"/>
      <c r="H83" s="681"/>
      <c r="I83" s="681"/>
      <c r="K83" s="682">
        <f>SUM(K78:K82)</f>
        <v>0</v>
      </c>
    </row>
    <row r="84" spans="1:12" x14ac:dyDescent="0.2">
      <c r="K84" s="683">
        <v>1</v>
      </c>
    </row>
    <row r="85" spans="1:12" ht="13.5" thickBot="1" x14ac:dyDescent="0.25"/>
    <row r="86" spans="1:12" ht="15" x14ac:dyDescent="0.2">
      <c r="A86" s="821" t="s">
        <v>334</v>
      </c>
      <c r="B86" s="824" t="s">
        <v>341</v>
      </c>
      <c r="C86" s="661"/>
      <c r="D86" s="662"/>
      <c r="E86" s="588"/>
      <c r="F86" s="704"/>
      <c r="G86" s="708"/>
      <c r="H86" s="590"/>
      <c r="I86" s="698"/>
      <c r="J86" s="663">
        <v>0</v>
      </c>
      <c r="K86" s="592">
        <f>+((G86*(1+$K$11))+H86+I86)</f>
        <v>0</v>
      </c>
    </row>
    <row r="87" spans="1:12" x14ac:dyDescent="0.2">
      <c r="A87" s="822"/>
      <c r="B87" s="825"/>
      <c r="C87" s="664"/>
      <c r="D87" s="665"/>
      <c r="E87" s="666"/>
      <c r="F87" s="667"/>
      <c r="G87" s="644"/>
      <c r="H87" s="644"/>
      <c r="I87" s="668"/>
      <c r="J87" s="669">
        <f t="shared" ref="J87:J90" si="14">SUM(G87:I87)</f>
        <v>0</v>
      </c>
      <c r="K87" s="670">
        <f t="shared" ref="K87:K90" si="15">+((G87*(1+$K$11))+H87+I87)</f>
        <v>0</v>
      </c>
    </row>
    <row r="88" spans="1:12" x14ac:dyDescent="0.2">
      <c r="A88" s="822"/>
      <c r="B88" s="825"/>
      <c r="C88" s="671"/>
      <c r="D88" s="672"/>
      <c r="E88" s="673"/>
      <c r="F88" s="667"/>
      <c r="G88" s="644"/>
      <c r="H88" s="644"/>
      <c r="I88" s="668"/>
      <c r="J88" s="669">
        <f t="shared" si="14"/>
        <v>0</v>
      </c>
      <c r="K88" s="670">
        <f t="shared" si="15"/>
        <v>0</v>
      </c>
    </row>
    <row r="89" spans="1:12" x14ac:dyDescent="0.2">
      <c r="A89" s="822"/>
      <c r="B89" s="825"/>
      <c r="C89" s="664"/>
      <c r="D89" s="665"/>
      <c r="E89" s="666"/>
      <c r="F89" s="674"/>
      <c r="G89" s="644"/>
      <c r="H89" s="644"/>
      <c r="I89" s="668"/>
      <c r="J89" s="669">
        <f t="shared" si="14"/>
        <v>0</v>
      </c>
      <c r="K89" s="670">
        <f t="shared" si="15"/>
        <v>0</v>
      </c>
    </row>
    <row r="90" spans="1:12" ht="13.5" thickBot="1" x14ac:dyDescent="0.25">
      <c r="A90" s="823"/>
      <c r="B90" s="826"/>
      <c r="C90" s="675"/>
      <c r="D90" s="612"/>
      <c r="E90" s="613"/>
      <c r="F90" s="614"/>
      <c r="G90" s="615"/>
      <c r="H90" s="615"/>
      <c r="I90" s="676"/>
      <c r="J90" s="677">
        <f t="shared" si="14"/>
        <v>0</v>
      </c>
      <c r="K90" s="678">
        <f t="shared" si="15"/>
        <v>0</v>
      </c>
    </row>
    <row r="91" spans="1:12" ht="16.5" thickBot="1" x14ac:dyDescent="0.25">
      <c r="C91" s="680"/>
      <c r="D91" s="680"/>
      <c r="E91" s="681"/>
      <c r="F91" s="681"/>
      <c r="G91" s="681"/>
      <c r="H91" s="681"/>
      <c r="I91" s="681"/>
      <c r="K91" s="682">
        <f>SUM(K86:K90)</f>
        <v>0</v>
      </c>
    </row>
    <row r="92" spans="1:12" x14ac:dyDescent="0.2">
      <c r="K92" s="683">
        <v>1</v>
      </c>
    </row>
    <row r="93" spans="1:12" s="564" customFormat="1" x14ac:dyDescent="0.2">
      <c r="L93" s="687"/>
    </row>
    <row r="101" spans="11:11" x14ac:dyDescent="0.2">
      <c r="K101" s="688"/>
    </row>
    <row r="103" spans="11:11" x14ac:dyDescent="0.2">
      <c r="K103" s="689"/>
    </row>
  </sheetData>
  <mergeCells count="47">
    <mergeCell ref="D13:D14"/>
    <mergeCell ref="E13:E14"/>
    <mergeCell ref="F13:F14"/>
    <mergeCell ref="G13:J13"/>
    <mergeCell ref="M12:R12"/>
    <mergeCell ref="AO15:AP15"/>
    <mergeCell ref="AQ15:AR15"/>
    <mergeCell ref="AS15:AT15"/>
    <mergeCell ref="S13:S14"/>
    <mergeCell ref="M9:S10"/>
    <mergeCell ref="W13:W14"/>
    <mergeCell ref="V9:X10"/>
    <mergeCell ref="V13:V14"/>
    <mergeCell ref="M13:N13"/>
    <mergeCell ref="O13:P13"/>
    <mergeCell ref="Q13:R13"/>
    <mergeCell ref="AH9:AM10"/>
    <mergeCell ref="AO9:AT10"/>
    <mergeCell ref="X13:X14"/>
    <mergeCell ref="AA13:AB13"/>
    <mergeCell ref="AC13:AD13"/>
    <mergeCell ref="AE13:AF13"/>
    <mergeCell ref="AH13:AI13"/>
    <mergeCell ref="AJ13:AK13"/>
    <mergeCell ref="AL13:AM13"/>
    <mergeCell ref="AO13:AP13"/>
    <mergeCell ref="AQ13:AR13"/>
    <mergeCell ref="AS13:AT13"/>
    <mergeCell ref="AO14:AP14"/>
    <mergeCell ref="AQ14:AR14"/>
    <mergeCell ref="AS14:AT14"/>
    <mergeCell ref="A78:A82"/>
    <mergeCell ref="B78:B82"/>
    <mergeCell ref="A86:A90"/>
    <mergeCell ref="B86:B90"/>
    <mergeCell ref="AA9:AF10"/>
    <mergeCell ref="A15:A61"/>
    <mergeCell ref="B15:B24"/>
    <mergeCell ref="B25:B34"/>
    <mergeCell ref="B35:B39"/>
    <mergeCell ref="B40:B61"/>
    <mergeCell ref="A67:A71"/>
    <mergeCell ref="B67:B71"/>
    <mergeCell ref="A9:H9"/>
    <mergeCell ref="K13:K14"/>
    <mergeCell ref="A13:B14"/>
    <mergeCell ref="C13:C14"/>
  </mergeCells>
  <conditionalFormatting sqref="S15:S61">
    <cfRule type="cellIs" dxfId="3" priority="1" operator="equal">
      <formula>1</formula>
    </cfRule>
  </conditionalFormatting>
  <hyperlinks>
    <hyperlink ref="A9:H9" location="'Índice Tablas'!A1" display="TABLA 5: REMUNERACIONES DEL PERSONAL LEY 18.712 ADMINISTRACION CENTRAL Y APOYO ADMINISTRATIVO ASISTENCIA RECREATIVA" xr:uid="{6E7B48B5-7ABF-4483-9A76-C04316E9EC46}"/>
    <hyperlink ref="M9:S10" location="'Índice Tablas'!A1" display="TABLA 6: DISTRIBUCION COSTOS REMUNERACIONES ADMINISTRACION CENTRAL Y APOYO ADMINISTRATIVO A. RECREATIVA" xr:uid="{168E3803-5D1C-45C6-AAC7-ED58988B496D}"/>
    <hyperlink ref="V9:X10" location="'Índice Tablas'!A1" display="TABLA 7: COSTOS DE OPERACION ADMINISTRACIÓN CENTRAL Y  APOYO ADMINISTRATIVO ASISTENCIA RECREATIVA" xr:uid="{B72EEF2B-6BB7-4544-8CA6-424CC8FCEE64}"/>
    <hyperlink ref="AA9:AF10" location="'Índice Tablas'!A1" display="TABLA 8: RESUMEN DISTRIBUCION COSTOS REMUNERACIONES ADMINISTRACION CENTRAL Y APOYO ADMINISTRATIVO A. RECREATIVA" xr:uid="{908835E5-83EE-4BA1-AB08-572AD6BB6E0A}"/>
    <hyperlink ref="AH9:AM10" location="'Índice Tablas'!A1" display="TABLA 9: RESUMEN DISTRIBUCION COSTOS OPERACIÓN ADMINISTRACION CENTRAL  Y APOYO ADMINISTRATIVO A. RECREATIVA" xr:uid="{4E93DB1B-90B9-4D33-9E46-DB6E604B1DAA}"/>
    <hyperlink ref="AO9:AT10" location="'Índice Tablas'!A1" display="'Índice Tablas'!A1" xr:uid="{16EE08E2-8746-458B-8EAE-BFF969106BB8}"/>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pageSetUpPr fitToPage="1"/>
  </sheetPr>
  <dimension ref="A1:IK16"/>
  <sheetViews>
    <sheetView showGridLines="0" topLeftCell="B1" zoomScale="80" zoomScaleNormal="80" workbookViewId="0">
      <selection activeCell="C10" sqref="C10"/>
    </sheetView>
  </sheetViews>
  <sheetFormatPr baseColWidth="10" defaultColWidth="11.42578125" defaultRowHeight="12.75" x14ac:dyDescent="0.2"/>
  <cols>
    <col min="1" max="1" width="42.140625" style="2" bestFit="1" customWidth="1"/>
    <col min="2" max="2" width="33" style="2" bestFit="1" customWidth="1"/>
    <col min="3" max="3" width="14.140625" style="2" customWidth="1"/>
    <col min="4" max="4" width="14.140625" style="2" bestFit="1" customWidth="1"/>
    <col min="5" max="17" width="14.140625" style="2" customWidth="1"/>
    <col min="18" max="18" width="13.28515625" style="2" customWidth="1"/>
    <col min="19" max="19" width="14.140625" style="2" bestFit="1" customWidth="1"/>
    <col min="20" max="20" width="14.140625" style="2" customWidth="1"/>
    <col min="21" max="21" width="12.28515625" style="2" customWidth="1"/>
    <col min="22" max="16384" width="11.42578125" style="2"/>
  </cols>
  <sheetData>
    <row r="1" spans="1:245" s="4" customFormat="1" x14ac:dyDescent="0.2">
      <c r="B1" s="3"/>
      <c r="G1" s="31" t="s">
        <v>199</v>
      </c>
      <c r="IJ1" s="2"/>
      <c r="IK1" s="2"/>
    </row>
    <row r="2" spans="1:245" s="4" customFormat="1" x14ac:dyDescent="0.2">
      <c r="B2" s="5"/>
      <c r="G2" s="31" t="s">
        <v>191</v>
      </c>
      <c r="IJ2" s="2"/>
      <c r="IK2" s="2"/>
    </row>
    <row r="3" spans="1:245" s="4" customFormat="1" x14ac:dyDescent="0.2">
      <c r="B3" s="2"/>
      <c r="IJ3" s="2"/>
      <c r="IK3" s="2"/>
    </row>
    <row r="4" spans="1:245" s="4" customFormat="1" ht="17.25" customHeight="1" x14ac:dyDescent="0.2">
      <c r="B4" s="2"/>
      <c r="C4" s="6"/>
      <c r="F4" s="6" t="s">
        <v>0</v>
      </c>
      <c r="G4" s="890" t="str">
        <f>+'B) Reajuste Tarifas y Ocupación'!F5</f>
        <v>BIENMAG</v>
      </c>
      <c r="H4" s="891"/>
      <c r="I4" s="6"/>
      <c r="J4" s="6"/>
      <c r="K4" s="6"/>
      <c r="L4" s="6"/>
      <c r="M4" s="6"/>
      <c r="N4" s="6"/>
      <c r="O4" s="6"/>
      <c r="P4" s="6"/>
      <c r="Q4" s="6"/>
      <c r="IA4" s="2"/>
      <c r="IB4" s="2"/>
      <c r="IC4" s="2"/>
      <c r="ID4" s="2"/>
      <c r="IE4" s="2"/>
      <c r="IF4" s="2"/>
    </row>
    <row r="5" spans="1:245" s="4" customFormat="1" x14ac:dyDescent="0.2">
      <c r="B5" s="2"/>
      <c r="C5" s="6"/>
      <c r="F5" s="6"/>
      <c r="G5" s="31"/>
      <c r="H5" s="31"/>
      <c r="I5" s="6"/>
      <c r="J5" s="6"/>
      <c r="K5" s="6"/>
      <c r="L5" s="6"/>
      <c r="M5" s="6"/>
      <c r="N5" s="6"/>
      <c r="O5" s="6"/>
      <c r="P5" s="6"/>
      <c r="Q5" s="6"/>
      <c r="IA5" s="2"/>
      <c r="IB5" s="2"/>
      <c r="IC5" s="2"/>
      <c r="ID5" s="2"/>
      <c r="IE5" s="2"/>
      <c r="IF5" s="2"/>
    </row>
    <row r="6" spans="1:245" s="4" customFormat="1" ht="15.75" x14ac:dyDescent="0.2">
      <c r="A6" s="753" t="s">
        <v>153</v>
      </c>
      <c r="B6" s="753"/>
      <c r="C6" s="753"/>
      <c r="D6" s="753"/>
      <c r="E6" s="56"/>
      <c r="F6" s="6"/>
      <c r="G6" s="31"/>
      <c r="H6" s="31"/>
      <c r="I6" s="6"/>
      <c r="J6" s="6"/>
      <c r="K6" s="6"/>
      <c r="L6" s="6"/>
      <c r="M6" s="6"/>
      <c r="N6" s="6"/>
      <c r="O6" s="6"/>
      <c r="P6" s="6"/>
      <c r="Q6" s="6"/>
      <c r="IA6" s="2"/>
      <c r="IB6" s="2"/>
      <c r="IC6" s="2"/>
      <c r="ID6" s="2"/>
      <c r="IE6" s="2"/>
      <c r="IF6" s="2"/>
    </row>
    <row r="7" spans="1:245" s="4" customFormat="1" ht="13.5" thickBot="1" x14ac:dyDescent="0.25">
      <c r="B7" s="31"/>
      <c r="C7" s="31"/>
      <c r="D7" s="31"/>
      <c r="E7" s="31"/>
      <c r="F7" s="31"/>
      <c r="G7" s="31"/>
      <c r="H7" s="31"/>
      <c r="I7" s="31"/>
      <c r="J7" s="31"/>
      <c r="K7" s="31"/>
      <c r="L7" s="31"/>
      <c r="M7" s="31"/>
      <c r="N7" s="31"/>
      <c r="O7" s="31"/>
      <c r="P7" s="31"/>
      <c r="Q7" s="31"/>
      <c r="HX7" s="2"/>
      <c r="HY7" s="2"/>
      <c r="HZ7" s="2"/>
      <c r="IA7" s="2"/>
      <c r="IB7" s="2"/>
      <c r="IC7" s="2"/>
      <c r="ID7" s="2"/>
      <c r="IE7" s="2"/>
      <c r="IF7" s="2"/>
    </row>
    <row r="8" spans="1:245" ht="16.5" customHeight="1" thickBot="1" x14ac:dyDescent="0.25">
      <c r="A8" s="895" t="s">
        <v>115</v>
      </c>
      <c r="B8" s="897" t="s">
        <v>5</v>
      </c>
      <c r="C8" s="742" t="s">
        <v>251</v>
      </c>
      <c r="D8" s="743"/>
      <c r="E8" s="743"/>
      <c r="F8" s="743"/>
      <c r="G8" s="744"/>
      <c r="H8" s="892" t="s">
        <v>245</v>
      </c>
      <c r="I8" s="893"/>
      <c r="J8" s="893"/>
      <c r="K8" s="893"/>
      <c r="L8" s="894"/>
      <c r="M8" s="888" t="s">
        <v>123</v>
      </c>
      <c r="N8" s="888"/>
      <c r="O8" s="888"/>
      <c r="P8" s="888"/>
      <c r="Q8" s="889"/>
      <c r="R8" s="888" t="s">
        <v>124</v>
      </c>
      <c r="S8" s="888"/>
      <c r="T8" s="888"/>
      <c r="U8" s="888"/>
      <c r="V8" s="889"/>
    </row>
    <row r="9" spans="1:245" ht="64.5" thickBot="1" x14ac:dyDescent="0.25">
      <c r="A9" s="896" t="e">
        <f>NA()</f>
        <v>#N/A</v>
      </c>
      <c r="B9" s="898" t="e">
        <f>NA()</f>
        <v>#N/A</v>
      </c>
      <c r="C9" s="165" t="s">
        <v>87</v>
      </c>
      <c r="D9" s="166" t="s">
        <v>133</v>
      </c>
      <c r="E9" s="166" t="s">
        <v>134</v>
      </c>
      <c r="F9" s="166" t="s">
        <v>88</v>
      </c>
      <c r="G9" s="167" t="s">
        <v>89</v>
      </c>
      <c r="H9" s="207" t="s">
        <v>87</v>
      </c>
      <c r="I9" s="208" t="s">
        <v>133</v>
      </c>
      <c r="J9" s="208" t="s">
        <v>134</v>
      </c>
      <c r="K9" s="208" t="s">
        <v>88</v>
      </c>
      <c r="L9" s="201" t="s">
        <v>89</v>
      </c>
      <c r="M9" s="200" t="s">
        <v>87</v>
      </c>
      <c r="N9" s="208" t="s">
        <v>133</v>
      </c>
      <c r="O9" s="208" t="s">
        <v>134</v>
      </c>
      <c r="P9" s="208" t="s">
        <v>88</v>
      </c>
      <c r="Q9" s="209" t="s">
        <v>89</v>
      </c>
      <c r="R9" s="210" t="s">
        <v>87</v>
      </c>
      <c r="S9" s="208" t="s">
        <v>133</v>
      </c>
      <c r="T9" s="208" t="s">
        <v>134</v>
      </c>
      <c r="U9" s="208" t="s">
        <v>88</v>
      </c>
      <c r="V9" s="201" t="s">
        <v>89</v>
      </c>
    </row>
    <row r="10" spans="1:245" x14ac:dyDescent="0.2">
      <c r="A10" s="885" t="str">
        <f>+'B) Reajuste Tarifas y Ocupación'!A12</f>
        <v>Jardín Infantil Mar y Cielo</v>
      </c>
      <c r="B10" s="514" t="str">
        <f>+'B) Reajuste Tarifas y Ocupación'!B12</f>
        <v>Media jornada</v>
      </c>
      <c r="C10" s="510">
        <f>+'B) Reajuste Tarifas y Ocupación'!M12</f>
        <v>100100</v>
      </c>
      <c r="D10" s="447">
        <f>+'B) Reajuste Tarifas y Ocupación'!N12</f>
        <v>135100</v>
      </c>
      <c r="E10" s="447">
        <f>+'B) Reajuste Tarifas y Ocupación'!O12</f>
        <v>140100</v>
      </c>
      <c r="F10" s="447">
        <f>+'B) Reajuste Tarifas y Ocupación'!P12</f>
        <v>156600</v>
      </c>
      <c r="G10" s="502">
        <f>+'B) Reajuste Tarifas y Ocupación'!Q12</f>
        <v>185100</v>
      </c>
      <c r="H10" s="453">
        <f>+'B) Reajuste Tarifas y Ocupación'!C12</f>
        <v>89300</v>
      </c>
      <c r="I10" s="454">
        <f>+'B) Reajuste Tarifas y Ocupación'!D12</f>
        <v>120600</v>
      </c>
      <c r="J10" s="454">
        <f>+'B) Reajuste Tarifas y Ocupación'!E12</f>
        <v>125000</v>
      </c>
      <c r="K10" s="454">
        <f>+'B) Reajuste Tarifas y Ocupación'!F12</f>
        <v>139800</v>
      </c>
      <c r="L10" s="507">
        <f>+'B) Reajuste Tarifas y Ocupación'!G12</f>
        <v>165200</v>
      </c>
      <c r="M10" s="504">
        <f t="shared" ref="M10:Q12" si="0">C10-H10</f>
        <v>10800</v>
      </c>
      <c r="N10" s="294">
        <f t="shared" si="0"/>
        <v>14500</v>
      </c>
      <c r="O10" s="294">
        <f t="shared" si="0"/>
        <v>15100</v>
      </c>
      <c r="P10" s="294">
        <f t="shared" si="0"/>
        <v>16800</v>
      </c>
      <c r="Q10" s="295">
        <f t="shared" si="0"/>
        <v>19900</v>
      </c>
      <c r="R10" s="296">
        <f>+'B) Reajuste Tarifas y Ocupación'!H12</f>
        <v>0.12</v>
      </c>
      <c r="S10" s="297">
        <f>+'B) Reajuste Tarifas y Ocupación'!I12</f>
        <v>0.12</v>
      </c>
      <c r="T10" s="297">
        <f>+'B) Reajuste Tarifas y Ocupación'!J12</f>
        <v>0.12</v>
      </c>
      <c r="U10" s="297">
        <f>+'B) Reajuste Tarifas y Ocupación'!K12</f>
        <v>0.12</v>
      </c>
      <c r="V10" s="456">
        <f>+'B) Reajuste Tarifas y Ocupación'!L12</f>
        <v>0.12</v>
      </c>
    </row>
    <row r="11" spans="1:245" x14ac:dyDescent="0.2">
      <c r="A11" s="886"/>
      <c r="B11" s="515" t="str">
        <f>+'B) Reajuste Tarifas y Ocupación'!B13</f>
        <v>Media Jornada extendida</v>
      </c>
      <c r="C11" s="511">
        <f>+'B) Reajuste Tarifas y Ocupación'!M13</f>
        <v>156400</v>
      </c>
      <c r="D11" s="428">
        <f>+'B) Reajuste Tarifas y Ocupación'!N13</f>
        <v>211100</v>
      </c>
      <c r="E11" s="428">
        <f>+'B) Reajuste Tarifas y Ocupación'!O13</f>
        <v>218900</v>
      </c>
      <c r="F11" s="428">
        <f>+'B) Reajuste Tarifas y Ocupación'!P13</f>
        <v>195500</v>
      </c>
      <c r="G11" s="503">
        <f>+'B) Reajuste Tarifas y Ocupación'!Q13</f>
        <v>234400</v>
      </c>
      <c r="H11" s="211">
        <f>+'B) Reajuste Tarifas y Ocupación'!C13</f>
        <v>139600</v>
      </c>
      <c r="I11" s="212">
        <f>+'B) Reajuste Tarifas y Ocupación'!D13</f>
        <v>188400</v>
      </c>
      <c r="J11" s="212">
        <f>+'B) Reajuste Tarifas y Ocupación'!E13</f>
        <v>195400</v>
      </c>
      <c r="K11" s="212">
        <f>+'B) Reajuste Tarifas y Ocupación'!F13</f>
        <v>174500</v>
      </c>
      <c r="L11" s="508">
        <f>+'B) Reajuste Tarifas y Ocupación'!G13</f>
        <v>209200</v>
      </c>
      <c r="M11" s="505">
        <f t="shared" ref="M11" si="1">C11-H11</f>
        <v>16800</v>
      </c>
      <c r="N11" s="213">
        <f t="shared" ref="N11" si="2">D11-I11</f>
        <v>22700</v>
      </c>
      <c r="O11" s="213">
        <f t="shared" ref="O11" si="3">E11-J11</f>
        <v>23500</v>
      </c>
      <c r="P11" s="213">
        <f t="shared" ref="P11" si="4">F11-K11</f>
        <v>21000</v>
      </c>
      <c r="Q11" s="298">
        <f t="shared" ref="Q11" si="5">G11-L11</f>
        <v>25200</v>
      </c>
      <c r="R11" s="214">
        <f>+'B) Reajuste Tarifas y Ocupación'!H13</f>
        <v>0.12</v>
      </c>
      <c r="S11" s="215">
        <f>+'B) Reajuste Tarifas y Ocupación'!I13</f>
        <v>0.12</v>
      </c>
      <c r="T11" s="215">
        <f>+'B) Reajuste Tarifas y Ocupación'!J13</f>
        <v>0.12</v>
      </c>
      <c r="U11" s="215">
        <f>+'B) Reajuste Tarifas y Ocupación'!K13</f>
        <v>0.12</v>
      </c>
      <c r="V11" s="216">
        <f>+'B) Reajuste Tarifas y Ocupación'!L13</f>
        <v>0.12</v>
      </c>
    </row>
    <row r="12" spans="1:245" x14ac:dyDescent="0.2">
      <c r="A12" s="886"/>
      <c r="B12" s="515" t="str">
        <f>+'B) Reajuste Tarifas y Ocupación'!B14</f>
        <v xml:space="preserve">Doble jornada </v>
      </c>
      <c r="C12" s="511">
        <f>+'B) Reajuste Tarifas y Ocupación'!M14</f>
        <v>141400</v>
      </c>
      <c r="D12" s="428">
        <f>+'B) Reajuste Tarifas y Ocupación'!N14</f>
        <v>190900</v>
      </c>
      <c r="E12" s="428">
        <f>+'B) Reajuste Tarifas y Ocupación'!O14</f>
        <v>197900</v>
      </c>
      <c r="F12" s="428">
        <f>+'B) Reajuste Tarifas y Ocupación'!P14</f>
        <v>212200</v>
      </c>
      <c r="G12" s="503">
        <f>+'B) Reajuste Tarifas y Ocupación'!Q14</f>
        <v>248700</v>
      </c>
      <c r="H12" s="211">
        <f>+'B) Reajuste Tarifas y Ocupación'!C14</f>
        <v>126200</v>
      </c>
      <c r="I12" s="212">
        <f>+'B) Reajuste Tarifas y Ocupación'!D14</f>
        <v>170400</v>
      </c>
      <c r="J12" s="212">
        <f>+'B) Reajuste Tarifas y Ocupación'!E14</f>
        <v>176700</v>
      </c>
      <c r="K12" s="212">
        <f>+'B) Reajuste Tarifas y Ocupación'!F14</f>
        <v>189400</v>
      </c>
      <c r="L12" s="508">
        <f>+'B) Reajuste Tarifas y Ocupación'!G14</f>
        <v>222000</v>
      </c>
      <c r="M12" s="505">
        <f t="shared" si="0"/>
        <v>15200</v>
      </c>
      <c r="N12" s="213">
        <f t="shared" si="0"/>
        <v>20500</v>
      </c>
      <c r="O12" s="213">
        <f t="shared" si="0"/>
        <v>21200</v>
      </c>
      <c r="P12" s="213">
        <f t="shared" si="0"/>
        <v>22800</v>
      </c>
      <c r="Q12" s="298">
        <f t="shared" si="0"/>
        <v>26700</v>
      </c>
      <c r="R12" s="214">
        <f>+'B) Reajuste Tarifas y Ocupación'!H14</f>
        <v>0.12</v>
      </c>
      <c r="S12" s="215">
        <f>+'B) Reajuste Tarifas y Ocupación'!I14</f>
        <v>0.12</v>
      </c>
      <c r="T12" s="215">
        <f>+'B) Reajuste Tarifas y Ocupación'!J14</f>
        <v>0.12</v>
      </c>
      <c r="U12" s="215">
        <f>+'B) Reajuste Tarifas y Ocupación'!K14</f>
        <v>0.12</v>
      </c>
      <c r="V12" s="216">
        <f>+'B) Reajuste Tarifas y Ocupación'!L14</f>
        <v>0.12</v>
      </c>
    </row>
    <row r="13" spans="1:245" ht="13.5" thickBot="1" x14ac:dyDescent="0.25">
      <c r="A13" s="887"/>
      <c r="B13" s="516" t="str">
        <f>+'B) Reajuste Tarifas y Ocupación'!B15</f>
        <v>Jornada completa</v>
      </c>
      <c r="C13" s="512">
        <f>+'B) Reajuste Tarifas y Ocupación'!M15</f>
        <v>212900</v>
      </c>
      <c r="D13" s="163">
        <f>+'B) Reajuste Tarifas y Ocupación'!N15</f>
        <v>287400</v>
      </c>
      <c r="E13" s="163">
        <f>+'B) Reajuste Tarifas y Ocupación'!O15</f>
        <v>298000</v>
      </c>
      <c r="F13" s="163">
        <f>+'B) Reajuste Tarifas y Ocupación'!P15</f>
        <v>266100</v>
      </c>
      <c r="G13" s="452">
        <f>+'B) Reajuste Tarifas y Ocupación'!Q15</f>
        <v>276700</v>
      </c>
      <c r="H13" s="217">
        <f>+'B) Reajuste Tarifas y Ocupación'!C15</f>
        <v>193500</v>
      </c>
      <c r="I13" s="218">
        <f>+'B) Reajuste Tarifas y Ocupación'!D15</f>
        <v>261200</v>
      </c>
      <c r="J13" s="218">
        <f>+'B) Reajuste Tarifas y Ocupación'!E15</f>
        <v>270800</v>
      </c>
      <c r="K13" s="218">
        <f>+'B) Reajuste Tarifas y Ocupación'!F15</f>
        <v>241900</v>
      </c>
      <c r="L13" s="509">
        <f>+'B) Reajuste Tarifas y Ocupación'!G15</f>
        <v>251500</v>
      </c>
      <c r="M13" s="506">
        <f t="shared" ref="M13" si="6">C13-H13</f>
        <v>19400</v>
      </c>
      <c r="N13" s="221">
        <f t="shared" ref="N13" si="7">D13-I13</f>
        <v>26200</v>
      </c>
      <c r="O13" s="221">
        <f t="shared" ref="O13" si="8">E13-J13</f>
        <v>27200</v>
      </c>
      <c r="P13" s="221">
        <f t="shared" ref="P13" si="9">F13-K13</f>
        <v>24200</v>
      </c>
      <c r="Q13" s="222">
        <f t="shared" ref="Q13" si="10">G13-L13</f>
        <v>25200</v>
      </c>
      <c r="R13" s="223">
        <f>+'B) Reajuste Tarifas y Ocupación'!H15</f>
        <v>0.1</v>
      </c>
      <c r="S13" s="224">
        <f>+'B) Reajuste Tarifas y Ocupación'!I15</f>
        <v>0.1</v>
      </c>
      <c r="T13" s="224">
        <f>+'B) Reajuste Tarifas y Ocupación'!J15</f>
        <v>0.1</v>
      </c>
      <c r="U13" s="224">
        <f>+'B) Reajuste Tarifas y Ocupación'!K15</f>
        <v>0.1</v>
      </c>
      <c r="V13" s="225">
        <f>+'B) Reajuste Tarifas y Ocupación'!L15</f>
        <v>0.1</v>
      </c>
    </row>
    <row r="14" spans="1:245" x14ac:dyDescent="0.2">
      <c r="A14" s="882" t="str">
        <f>+'B) Reajuste Tarifas y Ocupación'!A16</f>
        <v>Sala Cuna Mar y Cielo Diurna</v>
      </c>
      <c r="B14" s="513" t="str">
        <f>+'[1]B) Reajuste Tarifas y Ocupación'!B15</f>
        <v>Diurna</v>
      </c>
      <c r="C14" s="499">
        <f>+'B) Reajuste Tarifas y Ocupación'!M16</f>
        <v>397800</v>
      </c>
      <c r="D14" s="500">
        <f>+'B) Reajuste Tarifas y Ocupación'!N16</f>
        <v>537000</v>
      </c>
      <c r="E14" s="500">
        <f>+'B) Reajuste Tarifas y Ocupación'!O16</f>
        <v>556900</v>
      </c>
      <c r="F14" s="500">
        <f>+'B) Reajuste Tarifas y Ocupación'!P16</f>
        <v>497200</v>
      </c>
      <c r="G14" s="501">
        <f>+'B) Reajuste Tarifas y Ocupación'!Q16</f>
        <v>596600</v>
      </c>
      <c r="H14" s="492">
        <f>+'B) Reajuste Tarifas y Ocupación'!C16</f>
        <v>368300</v>
      </c>
      <c r="I14" s="493">
        <f>+'B) Reajuste Tarifas y Ocupación'!D16</f>
        <v>497200</v>
      </c>
      <c r="J14" s="493">
        <f>+'B) Reajuste Tarifas y Ocupación'!E16</f>
        <v>515600</v>
      </c>
      <c r="K14" s="493">
        <f>+'B) Reajuste Tarifas y Ocupación'!F16</f>
        <v>460300</v>
      </c>
      <c r="L14" s="494">
        <f>+'B) Reajuste Tarifas y Ocupación'!G16</f>
        <v>552400</v>
      </c>
      <c r="M14" s="178">
        <f t="shared" ref="M14" si="11">C14-H14</f>
        <v>29500</v>
      </c>
      <c r="N14" s="179">
        <f t="shared" ref="N14" si="12">D14-I14</f>
        <v>39800</v>
      </c>
      <c r="O14" s="179">
        <f t="shared" ref="O14" si="13">E14-J14</f>
        <v>41300</v>
      </c>
      <c r="P14" s="179">
        <f t="shared" ref="P14" si="14">F14-K14</f>
        <v>36900</v>
      </c>
      <c r="Q14" s="495">
        <f t="shared" ref="Q14" si="15">G14-L14</f>
        <v>44200</v>
      </c>
      <c r="R14" s="496">
        <f>+'B) Reajuste Tarifas y Ocupación'!H16</f>
        <v>0.08</v>
      </c>
      <c r="S14" s="497">
        <f>+'B) Reajuste Tarifas y Ocupación'!I16</f>
        <v>0.08</v>
      </c>
      <c r="T14" s="497">
        <f>+'B) Reajuste Tarifas y Ocupación'!J16</f>
        <v>0.08</v>
      </c>
      <c r="U14" s="497">
        <f>+'B) Reajuste Tarifas y Ocupación'!K16</f>
        <v>0.08</v>
      </c>
      <c r="V14" s="498">
        <f>+'B) Reajuste Tarifas y Ocupación'!L16</f>
        <v>0.08</v>
      </c>
    </row>
    <row r="15" spans="1:245" x14ac:dyDescent="0.2">
      <c r="A15" s="883"/>
      <c r="B15" s="269" t="str">
        <f>+'[1]B) Reajuste Tarifas y Ocupación'!B16</f>
        <v>Nocturna</v>
      </c>
      <c r="C15" s="270"/>
      <c r="D15" s="271"/>
      <c r="E15" s="271"/>
      <c r="F15" s="271"/>
      <c r="G15" s="451"/>
      <c r="H15" s="293"/>
      <c r="I15" s="272"/>
      <c r="J15" s="272"/>
      <c r="K15" s="272"/>
      <c r="L15" s="455"/>
      <c r="M15" s="273"/>
      <c r="N15" s="274"/>
      <c r="O15" s="274"/>
      <c r="P15" s="274"/>
      <c r="Q15" s="299"/>
      <c r="R15" s="273"/>
      <c r="S15" s="274"/>
      <c r="T15" s="274"/>
      <c r="U15" s="274"/>
      <c r="V15" s="300"/>
    </row>
    <row r="16" spans="1:245" ht="13.5" thickBot="1" x14ac:dyDescent="0.25">
      <c r="A16" s="884"/>
      <c r="B16" s="160" t="str">
        <f>+'[1]B) Reajuste Tarifas y Ocupación'!B17</f>
        <v>Media Jornada</v>
      </c>
      <c r="C16" s="162">
        <f>+'B) Reajuste Tarifas y Ocupación'!M18</f>
        <v>238900</v>
      </c>
      <c r="D16" s="163">
        <f>+'B) Reajuste Tarifas y Ocupación'!N18</f>
        <v>322600</v>
      </c>
      <c r="E16" s="163">
        <f>+'B) Reajuste Tarifas y Ocupación'!O18</f>
        <v>334500</v>
      </c>
      <c r="F16" s="163">
        <f>+'B) Reajuste Tarifas y Ocupación'!P18</f>
        <v>358100</v>
      </c>
      <c r="G16" s="452">
        <f>+'B) Reajuste Tarifas y Ocupación'!Q18</f>
        <v>477400</v>
      </c>
      <c r="H16" s="217">
        <f>+'B) Reajuste Tarifas y Ocupación'!C18</f>
        <v>221200</v>
      </c>
      <c r="I16" s="218">
        <f>+'B) Reajuste Tarifas y Ocupación'!D18</f>
        <v>298600</v>
      </c>
      <c r="J16" s="218">
        <f>+'B) Reajuste Tarifas y Ocupación'!E18</f>
        <v>309600</v>
      </c>
      <c r="K16" s="218">
        <f>+'B) Reajuste Tarifas y Ocupación'!F18</f>
        <v>331500</v>
      </c>
      <c r="L16" s="219">
        <f>+'B) Reajuste Tarifas y Ocupación'!G18</f>
        <v>442000</v>
      </c>
      <c r="M16" s="220">
        <f t="shared" ref="M16" si="16">C16-H16</f>
        <v>17700</v>
      </c>
      <c r="N16" s="221">
        <f t="shared" ref="N16" si="17">D16-I16</f>
        <v>24000</v>
      </c>
      <c r="O16" s="221">
        <f t="shared" ref="O16" si="18">E16-J16</f>
        <v>24900</v>
      </c>
      <c r="P16" s="221">
        <f t="shared" ref="P16" si="19">F16-K16</f>
        <v>26600</v>
      </c>
      <c r="Q16" s="222">
        <f t="shared" ref="Q16" si="20">G16-L16</f>
        <v>35400</v>
      </c>
      <c r="R16" s="223">
        <f>+'B) Reajuste Tarifas y Ocupación'!H18</f>
        <v>0.08</v>
      </c>
      <c r="S16" s="224">
        <f>+'B) Reajuste Tarifas y Ocupación'!I18</f>
        <v>0.08</v>
      </c>
      <c r="T16" s="224">
        <f>+'B) Reajuste Tarifas y Ocupación'!J18</f>
        <v>0.08</v>
      </c>
      <c r="U16" s="224">
        <f>+'B) Reajuste Tarifas y Ocupación'!K18</f>
        <v>0.08</v>
      </c>
      <c r="V16" s="225">
        <f>+'B) Reajuste Tarifas y Ocupación'!L18</f>
        <v>0.08</v>
      </c>
    </row>
  </sheetData>
  <sheetProtection algorithmName="SHA-512" hashValue="VThextetcZBBONdXwxPJSB4tzHt6h1MV2Ep4RCIg3/VWzwAKfdRniiGkF08BnkP7ZvHJSeoJQ35KVzT9WVFa+A==" saltValue="DamO9mLeDxYMSR4LhAiWSQ==" spinCount="100000" sheet="1" objects="1" scenarios="1"/>
  <mergeCells count="10">
    <mergeCell ref="A14:A16"/>
    <mergeCell ref="A10:A13"/>
    <mergeCell ref="R8:V8"/>
    <mergeCell ref="G4:H4"/>
    <mergeCell ref="H8:L8"/>
    <mergeCell ref="M8:Q8"/>
    <mergeCell ref="C8:G8"/>
    <mergeCell ref="A6:D6"/>
    <mergeCell ref="A8:A9"/>
    <mergeCell ref="B8:B9"/>
  </mergeCells>
  <conditionalFormatting sqref="H15:L15">
    <cfRule type="cellIs" dxfId="2" priority="1" operator="lessThan">
      <formula>0</formula>
    </cfRule>
  </conditionalFormatting>
  <conditionalFormatting sqref="M10:Q16">
    <cfRule type="cellIs" dxfId="1" priority="4" operator="lessThan">
      <formula>0</formula>
    </cfRule>
  </conditionalFormatting>
  <conditionalFormatting sqref="R15:V15">
    <cfRule type="cellIs" dxfId="0" priority="5" operator="lessThan">
      <formula>0</formula>
    </cfRule>
  </conditionalFormatting>
  <pageMargins left="0.75" right="0.75" top="1" bottom="0.64583333333333337" header="0" footer="0.51180555555555551"/>
  <pageSetup firstPageNumber="0" fitToHeight="14" orientation="landscape" horizontalDpi="300" verticalDpi="300" r:id="rId1"/>
  <headerFooter alignWithMargins="0">
    <oddHeader>&amp;LSEPT - 2004&amp;CDIRECTIVA D.B.S.A.ORDINARIA&amp;R02-BS0307/02Pag &amp;P de &amp;N/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B1:IY43"/>
  <sheetViews>
    <sheetView showGridLines="0" zoomScale="80" zoomScaleNormal="80" workbookViewId="0">
      <selection activeCell="E20" sqref="E17:E20"/>
    </sheetView>
  </sheetViews>
  <sheetFormatPr baseColWidth="10" defaultColWidth="11.42578125" defaultRowHeight="12.75" x14ac:dyDescent="0.2"/>
  <cols>
    <col min="1" max="1" width="7.140625" style="20" customWidth="1"/>
    <col min="2" max="2" width="37.28515625" style="20" customWidth="1"/>
    <col min="3" max="3" width="28" style="20" customWidth="1"/>
    <col min="4" max="4" width="24.140625" style="20" customWidth="1"/>
    <col min="5" max="5" width="25.140625" style="20" customWidth="1"/>
    <col min="6" max="6" width="25.140625" style="20" bestFit="1" customWidth="1"/>
    <col min="7" max="7" width="14.85546875" style="20" customWidth="1"/>
    <col min="8" max="8" width="15" style="20" customWidth="1"/>
    <col min="9" max="9" width="15.140625" style="20" customWidth="1"/>
    <col min="10" max="10" width="17.42578125" style="20" customWidth="1"/>
    <col min="11" max="11" width="19.140625" style="20" customWidth="1"/>
    <col min="12" max="12" width="22.5703125" style="20" customWidth="1"/>
    <col min="13" max="13" width="27" style="20" customWidth="1"/>
    <col min="14" max="14" width="17.140625" style="20" customWidth="1"/>
    <col min="15" max="15" width="14.85546875" style="20" customWidth="1"/>
    <col min="16" max="16" width="17.7109375" style="20" customWidth="1"/>
    <col min="17" max="17" width="17.140625" style="20" customWidth="1"/>
    <col min="18" max="18" width="18.140625" style="20" customWidth="1"/>
    <col min="19" max="19" width="16.28515625" style="20" customWidth="1"/>
    <col min="20" max="20" width="15.85546875" style="20" customWidth="1"/>
    <col min="21" max="21" width="14.85546875" style="20" customWidth="1"/>
    <col min="22" max="22" width="15.85546875" style="20" customWidth="1"/>
    <col min="23" max="23" width="14.28515625" style="20" customWidth="1"/>
    <col min="24" max="24" width="14.85546875" style="20" customWidth="1"/>
    <col min="25" max="25" width="14.140625" style="20" customWidth="1"/>
    <col min="26" max="26" width="16.85546875" style="20" customWidth="1"/>
    <col min="27" max="27" width="17.42578125" style="20" customWidth="1"/>
    <col min="28" max="28" width="15.28515625" style="20" customWidth="1"/>
    <col min="29" max="29" width="19.7109375" style="20" customWidth="1"/>
    <col min="30" max="30" width="17.42578125" style="20" customWidth="1"/>
    <col min="31" max="31" width="12" style="20" customWidth="1"/>
    <col min="32" max="16384" width="11.42578125" style="20"/>
  </cols>
  <sheetData>
    <row r="1" spans="2:259" s="4" customFormat="1" x14ac:dyDescent="0.2">
      <c r="E1" s="31" t="s">
        <v>200</v>
      </c>
      <c r="F1" s="31"/>
      <c r="G1" s="31"/>
      <c r="H1" s="31"/>
      <c r="I1" s="31"/>
      <c r="IM1" s="2"/>
      <c r="IN1" s="2"/>
    </row>
    <row r="2" spans="2:259" s="4" customFormat="1" x14ac:dyDescent="0.2">
      <c r="E2" s="31" t="s">
        <v>192</v>
      </c>
      <c r="F2" s="31"/>
      <c r="G2" s="31"/>
      <c r="H2" s="31"/>
      <c r="I2" s="31"/>
      <c r="IM2" s="2"/>
      <c r="IN2" s="2"/>
    </row>
    <row r="3" spans="2:259" s="4" customFormat="1" x14ac:dyDescent="0.2">
      <c r="B3" s="16"/>
      <c r="ID3" s="2"/>
      <c r="IE3" s="2"/>
      <c r="IF3" s="2"/>
      <c r="IG3" s="2"/>
      <c r="IH3" s="2"/>
      <c r="II3" s="2"/>
    </row>
    <row r="4" spans="2:259" s="4" customFormat="1" ht="18.75" customHeight="1" x14ac:dyDescent="0.2">
      <c r="B4" s="16"/>
      <c r="D4" s="54" t="s">
        <v>0</v>
      </c>
      <c r="E4" s="60" t="str">
        <f>+'B) Reajuste Tarifas y Ocupación'!F5</f>
        <v>BIENMAG</v>
      </c>
      <c r="F4" s="42"/>
      <c r="G4" s="43"/>
      <c r="H4" s="43"/>
      <c r="I4" s="43"/>
      <c r="J4" s="43"/>
      <c r="N4" s="1"/>
      <c r="ID4" s="2"/>
      <c r="IE4" s="2"/>
      <c r="IF4" s="2"/>
      <c r="IG4" s="2"/>
      <c r="IH4" s="2"/>
      <c r="II4" s="2"/>
    </row>
    <row r="5" spans="2:259" s="4" customFormat="1" x14ac:dyDescent="0.2">
      <c r="B5" s="16"/>
      <c r="D5" s="6"/>
      <c r="E5" s="31"/>
      <c r="F5" s="31"/>
      <c r="G5" s="31"/>
      <c r="H5" s="31"/>
      <c r="I5" s="31"/>
      <c r="J5" s="31"/>
      <c r="N5" s="1"/>
      <c r="ID5" s="2"/>
      <c r="IE5" s="2"/>
      <c r="IF5" s="2"/>
      <c r="IG5" s="2"/>
      <c r="IH5" s="2"/>
      <c r="II5" s="2"/>
    </row>
    <row r="6" spans="2:259" s="4" customFormat="1" x14ac:dyDescent="0.2">
      <c r="B6" s="16"/>
      <c r="D6" s="6"/>
      <c r="E6" s="31"/>
      <c r="F6" s="31"/>
      <c r="G6" s="31"/>
      <c r="H6" s="31"/>
      <c r="I6" s="31"/>
      <c r="J6" s="31"/>
      <c r="N6" s="1"/>
      <c r="ID6" s="2"/>
      <c r="IE6" s="2"/>
      <c r="IF6" s="2"/>
      <c r="IG6" s="2"/>
      <c r="IH6" s="2"/>
      <c r="II6" s="2"/>
    </row>
    <row r="7" spans="2:259" s="4" customFormat="1" ht="15.75" x14ac:dyDescent="0.2">
      <c r="B7" s="773" t="s">
        <v>154</v>
      </c>
      <c r="C7" s="773"/>
      <c r="D7" s="773"/>
      <c r="E7" s="773"/>
      <c r="F7" s="55"/>
      <c r="G7" s="44" t="s">
        <v>4</v>
      </c>
      <c r="H7" s="45">
        <v>0.11</v>
      </c>
      <c r="I7" s="55"/>
      <c r="J7" s="31"/>
      <c r="N7" s="1"/>
      <c r="ID7" s="2"/>
      <c r="IE7" s="2"/>
      <c r="IF7" s="2"/>
      <c r="IG7" s="2"/>
      <c r="IH7" s="2"/>
      <c r="II7" s="2"/>
    </row>
    <row r="8" spans="2:259" ht="13.5" thickBot="1" x14ac:dyDescent="0.25"/>
    <row r="9" spans="2:259" x14ac:dyDescent="0.2">
      <c r="B9" s="914" t="s">
        <v>115</v>
      </c>
      <c r="C9" s="916" t="s">
        <v>73</v>
      </c>
      <c r="D9" s="918" t="s">
        <v>74</v>
      </c>
      <c r="E9" s="908" t="s">
        <v>3</v>
      </c>
      <c r="F9" s="908" t="s">
        <v>82</v>
      </c>
      <c r="G9" s="910" t="s">
        <v>246</v>
      </c>
      <c r="H9" s="914" t="s">
        <v>258</v>
      </c>
      <c r="I9" s="912" t="s">
        <v>117</v>
      </c>
      <c r="J9" s="910" t="s">
        <v>118</v>
      </c>
      <c r="K9" s="905" t="s">
        <v>256</v>
      </c>
      <c r="L9" s="905" t="s">
        <v>116</v>
      </c>
      <c r="O9" s="19"/>
      <c r="P9" s="19"/>
      <c r="Q9" s="19"/>
      <c r="R9" s="19"/>
      <c r="S9" s="19"/>
      <c r="T9" s="19"/>
    </row>
    <row r="10" spans="2:259" ht="27.75" customHeight="1" thickBot="1" x14ac:dyDescent="0.25">
      <c r="B10" s="915"/>
      <c r="C10" s="917"/>
      <c r="D10" s="919"/>
      <c r="E10" s="909"/>
      <c r="F10" s="909"/>
      <c r="G10" s="911"/>
      <c r="H10" s="915"/>
      <c r="I10" s="913"/>
      <c r="J10" s="911"/>
      <c r="K10" s="906"/>
      <c r="L10" s="906"/>
      <c r="M10"/>
      <c r="N10" s="37"/>
      <c r="O10" s="37"/>
      <c r="P10" s="14"/>
      <c r="Q10" s="14"/>
      <c r="R10" s="14"/>
      <c r="S10"/>
      <c r="T10" s="907"/>
      <c r="U10" s="907"/>
      <c r="V10" s="907"/>
      <c r="W10" s="907"/>
      <c r="X10"/>
    </row>
    <row r="11" spans="2:259" customFormat="1" x14ac:dyDescent="0.2">
      <c r="B11" s="899" t="str">
        <f>+'B) Reajuste Tarifas y Ocupación'!A12</f>
        <v>Jardín Infantil Mar y Cielo</v>
      </c>
      <c r="C11" s="238" t="s">
        <v>280</v>
      </c>
      <c r="D11" s="239" t="s">
        <v>262</v>
      </c>
      <c r="E11" s="239" t="s">
        <v>263</v>
      </c>
      <c r="F11" s="239" t="s">
        <v>202</v>
      </c>
      <c r="G11" s="246">
        <f>297437*12</f>
        <v>3569244</v>
      </c>
      <c r="H11" s="443">
        <f>+G11*(1+$H$7)</f>
        <v>3961860.8400000003</v>
      </c>
      <c r="I11" s="275">
        <v>330540</v>
      </c>
      <c r="J11" s="246">
        <v>165490</v>
      </c>
      <c r="K11" s="443">
        <f>SUM(H11:J11)</f>
        <v>4457890.84</v>
      </c>
      <c r="L11" s="902">
        <f>SUM(K11:K25)</f>
        <v>4457890.84</v>
      </c>
      <c r="N11" s="25"/>
      <c r="O11" s="25"/>
      <c r="P11" s="38"/>
      <c r="Q11" s="38"/>
      <c r="R11" s="38"/>
      <c r="S11" s="22"/>
      <c r="T11" s="21"/>
      <c r="U11" s="21"/>
      <c r="V11" s="21"/>
      <c r="W11" s="21"/>
      <c r="X11" s="23"/>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row>
    <row r="12" spans="2:259" customFormat="1" x14ac:dyDescent="0.2">
      <c r="B12" s="900"/>
      <c r="C12" s="438"/>
      <c r="D12" s="240"/>
      <c r="E12" s="240"/>
      <c r="F12" s="240"/>
      <c r="G12" s="441"/>
      <c r="H12" s="444">
        <f t="shared" ref="H12:H40" si="0">+G12*(1+$H$7)</f>
        <v>0</v>
      </c>
      <c r="I12" s="437">
        <v>0</v>
      </c>
      <c r="J12" s="441">
        <v>0</v>
      </c>
      <c r="K12" s="444">
        <f t="shared" ref="K12:K40" si="1">SUM(H12:J12)</f>
        <v>0</v>
      </c>
      <c r="L12" s="903"/>
      <c r="N12" s="25"/>
      <c r="O12" s="25"/>
      <c r="P12" s="14"/>
      <c r="Q12" s="14"/>
      <c r="R12" s="14"/>
      <c r="S12" s="22"/>
      <c r="T12" s="21"/>
      <c r="U12" s="21"/>
      <c r="V12" s="21"/>
      <c r="W12" s="21"/>
      <c r="X12" s="23"/>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row>
    <row r="13" spans="2:259" customFormat="1" x14ac:dyDescent="0.2">
      <c r="B13" s="900"/>
      <c r="C13" s="438"/>
      <c r="D13" s="240"/>
      <c r="E13" s="240"/>
      <c r="F13" s="240"/>
      <c r="G13" s="441">
        <v>0</v>
      </c>
      <c r="H13" s="444">
        <f t="shared" si="0"/>
        <v>0</v>
      </c>
      <c r="I13" s="437">
        <v>0</v>
      </c>
      <c r="J13" s="441">
        <v>0</v>
      </c>
      <c r="K13" s="444">
        <f t="shared" si="1"/>
        <v>0</v>
      </c>
      <c r="L13" s="903"/>
      <c r="N13" s="25"/>
      <c r="O13" s="25"/>
      <c r="P13" s="14"/>
      <c r="Q13" s="14"/>
      <c r="R13" s="14"/>
      <c r="S13" s="22"/>
      <c r="T13" s="21"/>
      <c r="U13" s="21"/>
      <c r="V13" s="21"/>
      <c r="W13" s="21"/>
      <c r="X13" s="23"/>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row>
    <row r="14" spans="2:259" customFormat="1" x14ac:dyDescent="0.2">
      <c r="B14" s="900"/>
      <c r="C14" s="438"/>
      <c r="D14" s="240"/>
      <c r="E14" s="240"/>
      <c r="F14" s="240"/>
      <c r="G14" s="441">
        <v>0</v>
      </c>
      <c r="H14" s="444">
        <f t="shared" si="0"/>
        <v>0</v>
      </c>
      <c r="I14" s="437">
        <v>0</v>
      </c>
      <c r="J14" s="441">
        <v>0</v>
      </c>
      <c r="K14" s="444">
        <f t="shared" si="1"/>
        <v>0</v>
      </c>
      <c r="L14" s="903"/>
      <c r="N14" s="25"/>
      <c r="O14" s="25"/>
      <c r="P14" s="14"/>
      <c r="Q14" s="14"/>
      <c r="R14" s="14"/>
      <c r="S14" s="22"/>
      <c r="T14" s="21"/>
      <c r="U14" s="21"/>
      <c r="V14" s="21"/>
      <c r="W14" s="21"/>
      <c r="X14" s="23"/>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row>
    <row r="15" spans="2:259" customFormat="1" x14ac:dyDescent="0.2">
      <c r="B15" s="900"/>
      <c r="C15" s="438"/>
      <c r="D15" s="240"/>
      <c r="E15" s="240"/>
      <c r="F15" s="240"/>
      <c r="G15" s="441">
        <v>0</v>
      </c>
      <c r="H15" s="444">
        <f t="shared" si="0"/>
        <v>0</v>
      </c>
      <c r="I15" s="437">
        <v>0</v>
      </c>
      <c r="J15" s="441">
        <v>0</v>
      </c>
      <c r="K15" s="444">
        <f t="shared" si="1"/>
        <v>0</v>
      </c>
      <c r="L15" s="903"/>
      <c r="N15" s="25"/>
      <c r="O15" s="25"/>
      <c r="P15" s="14"/>
      <c r="Q15" s="14"/>
      <c r="R15" s="14"/>
      <c r="S15" s="22"/>
      <c r="T15" s="21"/>
      <c r="U15" s="21"/>
      <c r="V15" s="21"/>
      <c r="W15" s="21"/>
      <c r="X15" s="23"/>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row>
    <row r="16" spans="2:259" customFormat="1" x14ac:dyDescent="0.2">
      <c r="B16" s="900"/>
      <c r="C16" s="438" t="s">
        <v>282</v>
      </c>
      <c r="D16" s="240" t="s">
        <v>279</v>
      </c>
      <c r="E16" s="240" t="s">
        <v>322</v>
      </c>
      <c r="F16" s="240" t="s">
        <v>202</v>
      </c>
      <c r="G16" s="441">
        <v>0</v>
      </c>
      <c r="H16" s="444">
        <f t="shared" si="0"/>
        <v>0</v>
      </c>
      <c r="I16" s="437">
        <v>0</v>
      </c>
      <c r="J16" s="441">
        <v>0</v>
      </c>
      <c r="K16" s="444">
        <f t="shared" si="1"/>
        <v>0</v>
      </c>
      <c r="L16" s="903"/>
      <c r="N16" s="25"/>
      <c r="O16" s="25"/>
      <c r="P16" s="14"/>
      <c r="Q16" s="14"/>
      <c r="R16" s="14"/>
      <c r="S16" s="22"/>
      <c r="T16" s="21"/>
      <c r="U16" s="21"/>
      <c r="V16" s="21"/>
      <c r="W16" s="21"/>
      <c r="X16" s="23"/>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row>
    <row r="17" spans="2:259" customFormat="1" x14ac:dyDescent="0.2">
      <c r="B17" s="900"/>
      <c r="C17" s="438" t="s">
        <v>283</v>
      </c>
      <c r="D17" s="240" t="s">
        <v>284</v>
      </c>
      <c r="E17" s="240" t="s">
        <v>323</v>
      </c>
      <c r="F17" s="240" t="s">
        <v>202</v>
      </c>
      <c r="G17" s="441">
        <v>0</v>
      </c>
      <c r="H17" s="444">
        <f t="shared" si="0"/>
        <v>0</v>
      </c>
      <c r="I17" s="437">
        <v>0</v>
      </c>
      <c r="J17" s="441">
        <v>0</v>
      </c>
      <c r="K17" s="444">
        <f t="shared" si="1"/>
        <v>0</v>
      </c>
      <c r="L17" s="903"/>
      <c r="N17" s="25"/>
      <c r="O17" s="25"/>
      <c r="P17" s="14"/>
      <c r="Q17" s="14"/>
      <c r="R17" s="14"/>
      <c r="S17" s="22"/>
      <c r="T17" s="21"/>
      <c r="U17" s="21"/>
      <c r="V17" s="21"/>
      <c r="W17" s="21"/>
      <c r="X17" s="23"/>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row>
    <row r="18" spans="2:259" customFormat="1" x14ac:dyDescent="0.2">
      <c r="B18" s="900"/>
      <c r="C18" s="438" t="s">
        <v>287</v>
      </c>
      <c r="D18" s="240" t="s">
        <v>288</v>
      </c>
      <c r="E18" s="240" t="s">
        <v>323</v>
      </c>
      <c r="F18" s="240" t="s">
        <v>202</v>
      </c>
      <c r="G18" s="441">
        <v>0</v>
      </c>
      <c r="H18" s="444">
        <f t="shared" si="0"/>
        <v>0</v>
      </c>
      <c r="I18" s="437">
        <v>0</v>
      </c>
      <c r="J18" s="441">
        <v>0</v>
      </c>
      <c r="K18" s="444">
        <f t="shared" si="1"/>
        <v>0</v>
      </c>
      <c r="L18" s="903"/>
      <c r="N18" s="25"/>
      <c r="O18" s="25"/>
      <c r="P18" s="14"/>
      <c r="Q18" s="14"/>
      <c r="R18" s="14"/>
      <c r="S18" s="22"/>
      <c r="T18" s="21"/>
      <c r="U18" s="21"/>
      <c r="V18" s="21"/>
      <c r="W18" s="21"/>
      <c r="X18" s="23"/>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row>
    <row r="19" spans="2:259" customFormat="1" x14ac:dyDescent="0.2">
      <c r="B19" s="900"/>
      <c r="C19" s="438" t="s">
        <v>289</v>
      </c>
      <c r="D19" s="240" t="s">
        <v>290</v>
      </c>
      <c r="E19" s="240" t="s">
        <v>323</v>
      </c>
      <c r="F19" s="240" t="s">
        <v>202</v>
      </c>
      <c r="G19" s="441">
        <v>0</v>
      </c>
      <c r="H19" s="444">
        <f t="shared" si="0"/>
        <v>0</v>
      </c>
      <c r="I19" s="437">
        <v>0</v>
      </c>
      <c r="J19" s="441">
        <v>0</v>
      </c>
      <c r="K19" s="444">
        <f t="shared" si="1"/>
        <v>0</v>
      </c>
      <c r="L19" s="903"/>
      <c r="N19" s="25"/>
      <c r="O19" s="25"/>
      <c r="P19" s="14"/>
      <c r="Q19" s="14"/>
      <c r="R19" s="14"/>
      <c r="S19" s="22"/>
      <c r="T19" s="21"/>
      <c r="U19" s="21"/>
      <c r="V19" s="21"/>
      <c r="W19" s="21"/>
      <c r="X19" s="23"/>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row>
    <row r="20" spans="2:259" customFormat="1" x14ac:dyDescent="0.2">
      <c r="B20" s="900"/>
      <c r="C20" s="438" t="s">
        <v>296</v>
      </c>
      <c r="D20" s="240" t="s">
        <v>297</v>
      </c>
      <c r="E20" s="240" t="s">
        <v>323</v>
      </c>
      <c r="F20" s="240" t="s">
        <v>202</v>
      </c>
      <c r="G20" s="441">
        <v>0</v>
      </c>
      <c r="H20" s="444">
        <f t="shared" si="0"/>
        <v>0</v>
      </c>
      <c r="I20" s="437">
        <v>0</v>
      </c>
      <c r="J20" s="441">
        <v>0</v>
      </c>
      <c r="K20" s="444">
        <f t="shared" si="1"/>
        <v>0</v>
      </c>
      <c r="L20" s="903"/>
      <c r="N20" s="25"/>
      <c r="O20" s="25"/>
      <c r="P20" s="14"/>
      <c r="Q20" s="14"/>
      <c r="R20" s="14"/>
      <c r="S20" s="22"/>
      <c r="T20" s="21"/>
      <c r="U20" s="21"/>
      <c r="V20" s="21"/>
      <c r="W20" s="21"/>
      <c r="X20" s="23"/>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row>
    <row r="21" spans="2:259" customFormat="1" x14ac:dyDescent="0.2">
      <c r="B21" s="900"/>
      <c r="C21" s="438" t="s">
        <v>298</v>
      </c>
      <c r="D21" s="240" t="s">
        <v>292</v>
      </c>
      <c r="E21" s="240" t="s">
        <v>324</v>
      </c>
      <c r="F21" s="240" t="s">
        <v>202</v>
      </c>
      <c r="G21" s="441">
        <v>0</v>
      </c>
      <c r="H21" s="444">
        <f t="shared" si="0"/>
        <v>0</v>
      </c>
      <c r="I21" s="437">
        <v>0</v>
      </c>
      <c r="J21" s="441">
        <v>0</v>
      </c>
      <c r="K21" s="444">
        <f t="shared" si="1"/>
        <v>0</v>
      </c>
      <c r="L21" s="903"/>
      <c r="N21" s="25"/>
      <c r="O21" s="25"/>
      <c r="P21" s="14"/>
      <c r="Q21" s="14"/>
      <c r="R21" s="14"/>
      <c r="S21" s="22"/>
      <c r="T21" s="21"/>
      <c r="U21" s="21"/>
      <c r="V21" s="21"/>
      <c r="W21" s="21"/>
      <c r="X21" s="23"/>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row>
    <row r="22" spans="2:259" customFormat="1" x14ac:dyDescent="0.2">
      <c r="B22" s="900"/>
      <c r="C22" s="438" t="s">
        <v>299</v>
      </c>
      <c r="D22" s="240" t="s">
        <v>293</v>
      </c>
      <c r="E22" s="240" t="s">
        <v>324</v>
      </c>
      <c r="F22" s="240" t="s">
        <v>202</v>
      </c>
      <c r="G22" s="441">
        <v>0</v>
      </c>
      <c r="H22" s="444">
        <f t="shared" si="0"/>
        <v>0</v>
      </c>
      <c r="I22" s="437">
        <v>0</v>
      </c>
      <c r="J22" s="441">
        <v>0</v>
      </c>
      <c r="K22" s="444">
        <f t="shared" si="1"/>
        <v>0</v>
      </c>
      <c r="L22" s="903"/>
      <c r="N22" s="25"/>
      <c r="O22" s="25"/>
      <c r="P22" s="14"/>
      <c r="Q22" s="14"/>
      <c r="R22" s="14"/>
      <c r="S22" s="22"/>
      <c r="T22" s="21"/>
      <c r="U22" s="21"/>
      <c r="V22" s="21"/>
      <c r="W22" s="21"/>
      <c r="X22" s="23"/>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row>
    <row r="23" spans="2:259" customFormat="1" x14ac:dyDescent="0.2">
      <c r="B23" s="900"/>
      <c r="C23" s="438" t="s">
        <v>294</v>
      </c>
      <c r="D23" s="240" t="s">
        <v>295</v>
      </c>
      <c r="E23" s="240" t="s">
        <v>324</v>
      </c>
      <c r="F23" s="240" t="s">
        <v>202</v>
      </c>
      <c r="G23" s="441">
        <v>0</v>
      </c>
      <c r="H23" s="444">
        <f t="shared" si="0"/>
        <v>0</v>
      </c>
      <c r="I23" s="437">
        <v>0</v>
      </c>
      <c r="J23" s="441">
        <v>0</v>
      </c>
      <c r="K23" s="444">
        <f t="shared" si="1"/>
        <v>0</v>
      </c>
      <c r="L23" s="903"/>
      <c r="N23" s="25"/>
      <c r="O23" s="25"/>
      <c r="P23" s="14"/>
      <c r="Q23" s="14"/>
      <c r="R23" s="14"/>
      <c r="S23" s="22"/>
      <c r="T23" s="21"/>
      <c r="U23" s="21"/>
      <c r="V23" s="21"/>
      <c r="W23" s="21"/>
      <c r="X23" s="23"/>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row>
    <row r="24" spans="2:259" customFormat="1" x14ac:dyDescent="0.2">
      <c r="B24" s="900"/>
      <c r="C24" s="438" t="s">
        <v>301</v>
      </c>
      <c r="D24" s="240" t="s">
        <v>302</v>
      </c>
      <c r="E24" s="240" t="s">
        <v>324</v>
      </c>
      <c r="F24" s="240" t="s">
        <v>202</v>
      </c>
      <c r="G24" s="441">
        <v>0</v>
      </c>
      <c r="H24" s="444">
        <f t="shared" si="0"/>
        <v>0</v>
      </c>
      <c r="I24" s="437">
        <v>0</v>
      </c>
      <c r="J24" s="441">
        <v>0</v>
      </c>
      <c r="K24" s="444">
        <f t="shared" si="1"/>
        <v>0</v>
      </c>
      <c r="L24" s="903"/>
      <c r="N24" s="25"/>
      <c r="O24" s="25"/>
      <c r="P24" s="14"/>
      <c r="Q24" s="14"/>
      <c r="R24" s="14"/>
      <c r="S24" s="22"/>
      <c r="T24" s="21"/>
      <c r="U24" s="21"/>
      <c r="V24" s="21"/>
      <c r="W24" s="21"/>
      <c r="X24" s="23"/>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row>
    <row r="25" spans="2:259" ht="13.5" thickBot="1" x14ac:dyDescent="0.25">
      <c r="B25" s="901"/>
      <c r="C25" s="241"/>
      <c r="D25" s="63"/>
      <c r="E25" s="63"/>
      <c r="F25" s="63"/>
      <c r="G25" s="442">
        <v>0</v>
      </c>
      <c r="H25" s="445">
        <f t="shared" si="0"/>
        <v>0</v>
      </c>
      <c r="I25" s="276">
        <v>0</v>
      </c>
      <c r="J25" s="442">
        <v>0</v>
      </c>
      <c r="K25" s="445">
        <f t="shared" si="1"/>
        <v>0</v>
      </c>
      <c r="L25" s="904"/>
      <c r="M25"/>
      <c r="N25" s="25"/>
      <c r="O25" s="25"/>
      <c r="P25" s="25"/>
      <c r="Q25" s="25"/>
      <c r="R25" s="25"/>
      <c r="S25" s="26"/>
      <c r="T25" s="25"/>
      <c r="U25" s="25"/>
      <c r="V25" s="25"/>
      <c r="W25" s="25"/>
      <c r="X25" s="27"/>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c r="EU25" s="24"/>
      <c r="EV25" s="24"/>
      <c r="EW25" s="24"/>
      <c r="EX25" s="24"/>
      <c r="EY25" s="24"/>
      <c r="EZ25" s="24"/>
      <c r="FA25" s="24"/>
      <c r="FB25" s="24"/>
      <c r="FC25" s="24"/>
      <c r="FD25" s="24"/>
      <c r="FE25" s="24"/>
      <c r="FF25" s="24"/>
      <c r="FG25" s="24"/>
      <c r="FH25" s="24"/>
      <c r="FI25" s="24"/>
      <c r="FJ25" s="24"/>
      <c r="FK25" s="24"/>
      <c r="FL25" s="24"/>
      <c r="FM25" s="24"/>
      <c r="FN25" s="24"/>
      <c r="FO25" s="24"/>
      <c r="FP25" s="24"/>
      <c r="FQ25" s="24"/>
      <c r="FR25" s="24"/>
      <c r="FS25" s="24"/>
      <c r="FT25" s="24"/>
      <c r="FU25" s="24"/>
      <c r="FV25" s="24"/>
      <c r="FW25" s="24"/>
      <c r="FX25" s="24"/>
      <c r="FY25" s="24"/>
      <c r="FZ25" s="24"/>
      <c r="GA25" s="24"/>
      <c r="GB25" s="24"/>
      <c r="GC25" s="24"/>
      <c r="GD25" s="24"/>
      <c r="GE25" s="24"/>
      <c r="GF25" s="24"/>
      <c r="GG25" s="24"/>
      <c r="GH25" s="24"/>
      <c r="GI25" s="24"/>
      <c r="GJ25" s="24"/>
      <c r="GK25" s="24"/>
      <c r="GL25" s="24"/>
      <c r="GM25" s="24"/>
      <c r="GN25" s="24"/>
      <c r="GO25" s="24"/>
      <c r="GP25" s="24"/>
      <c r="GQ25" s="24"/>
      <c r="GR25" s="24"/>
      <c r="GS25" s="24"/>
      <c r="GT25" s="24"/>
      <c r="GU25" s="24"/>
      <c r="GV25" s="24"/>
      <c r="GW25" s="24"/>
      <c r="GX25" s="24"/>
      <c r="GY25" s="24"/>
      <c r="GZ25" s="24"/>
      <c r="HA25" s="24"/>
      <c r="HB25" s="24"/>
      <c r="HC25" s="24"/>
      <c r="HD25" s="24"/>
      <c r="HE25" s="24"/>
      <c r="HF25" s="24"/>
      <c r="HG25" s="24"/>
      <c r="HH25" s="24"/>
      <c r="HI25" s="24"/>
      <c r="HJ25" s="24"/>
      <c r="HK25" s="24"/>
      <c r="HL25" s="24"/>
      <c r="HM25" s="24"/>
      <c r="HN25" s="24"/>
      <c r="HO25" s="24"/>
      <c r="HP25" s="24"/>
      <c r="HQ25" s="24"/>
      <c r="HR25" s="24"/>
      <c r="HS25" s="24"/>
      <c r="HT25" s="24"/>
      <c r="HU25" s="24"/>
      <c r="HV25" s="24"/>
      <c r="HW25" s="24"/>
      <c r="HX25" s="24"/>
      <c r="HY25" s="24"/>
      <c r="HZ25" s="24"/>
      <c r="IA25" s="24"/>
      <c r="IB25" s="24"/>
      <c r="IC25" s="24"/>
      <c r="ID25" s="24"/>
      <c r="IE25" s="24"/>
      <c r="IF25" s="24"/>
      <c r="IG25" s="24"/>
      <c r="IH25" s="24"/>
      <c r="II25" s="24"/>
      <c r="IJ25" s="24"/>
      <c r="IK25" s="24"/>
      <c r="IL25" s="24"/>
      <c r="IM25" s="24"/>
      <c r="IN25" s="24"/>
      <c r="IO25" s="24"/>
      <c r="IP25" s="24"/>
      <c r="IQ25" s="24"/>
      <c r="IR25" s="24"/>
      <c r="IS25" s="24"/>
      <c r="IT25" s="24"/>
      <c r="IU25" s="24"/>
      <c r="IV25" s="24"/>
      <c r="IW25" s="24"/>
      <c r="IX25" s="24"/>
      <c r="IY25" s="24"/>
    </row>
    <row r="26" spans="2:259" x14ac:dyDescent="0.2">
      <c r="B26" s="899" t="str">
        <f>+'B) Reajuste Tarifas y Ocupación'!A16</f>
        <v>Sala Cuna Mar y Cielo Diurna</v>
      </c>
      <c r="C26" s="238" t="s">
        <v>281</v>
      </c>
      <c r="D26" s="239" t="s">
        <v>260</v>
      </c>
      <c r="E26" s="239" t="s">
        <v>212</v>
      </c>
      <c r="F26" s="239" t="s">
        <v>243</v>
      </c>
      <c r="G26" s="246">
        <f>766567*12</f>
        <v>9198804</v>
      </c>
      <c r="H26" s="443">
        <f t="shared" si="0"/>
        <v>10210672.440000001</v>
      </c>
      <c r="I26" s="275">
        <v>330540</v>
      </c>
      <c r="J26" s="246">
        <v>166178</v>
      </c>
      <c r="K26" s="443">
        <f>SUM(H26:J26)</f>
        <v>10707390.440000001</v>
      </c>
      <c r="L26" s="902">
        <f>SUM(K26:K40)</f>
        <v>24374218.48</v>
      </c>
      <c r="M26" s="19"/>
      <c r="N26" s="19"/>
      <c r="O26" s="19"/>
      <c r="P26" s="25"/>
      <c r="Q26" s="25"/>
      <c r="R26" s="25"/>
      <c r="S26" s="28"/>
      <c r="T26" s="28"/>
      <c r="U26" s="29"/>
      <c r="V26" s="29"/>
    </row>
    <row r="27" spans="2:259" x14ac:dyDescent="0.2">
      <c r="B27" s="900"/>
      <c r="C27" s="438" t="s">
        <v>320</v>
      </c>
      <c r="D27" s="240" t="s">
        <v>320</v>
      </c>
      <c r="E27" s="240" t="s">
        <v>321</v>
      </c>
      <c r="F27" s="240" t="s">
        <v>243</v>
      </c>
      <c r="G27" s="441">
        <v>8295720</v>
      </c>
      <c r="H27" s="444">
        <f t="shared" si="0"/>
        <v>9208249.2000000011</v>
      </c>
      <c r="I27" s="437">
        <v>330540</v>
      </c>
      <c r="J27" s="441">
        <v>166178</v>
      </c>
      <c r="K27" s="444">
        <f t="shared" si="1"/>
        <v>9704967.2000000011</v>
      </c>
      <c r="L27" s="903"/>
      <c r="M27" s="19"/>
      <c r="N27" s="19"/>
      <c r="O27" s="19"/>
      <c r="P27" s="25"/>
      <c r="Q27" s="25"/>
      <c r="R27" s="25"/>
      <c r="S27" s="28"/>
      <c r="T27" s="28"/>
      <c r="U27" s="29"/>
      <c r="V27" s="29"/>
    </row>
    <row r="28" spans="2:259" x14ac:dyDescent="0.2">
      <c r="B28" s="900"/>
      <c r="C28" s="438" t="s">
        <v>261</v>
      </c>
      <c r="D28" s="240" t="s">
        <v>262</v>
      </c>
      <c r="E28" s="240" t="s">
        <v>263</v>
      </c>
      <c r="F28" s="240" t="s">
        <v>243</v>
      </c>
      <c r="G28" s="441">
        <f>297437*12</f>
        <v>3569244</v>
      </c>
      <c r="H28" s="444">
        <f t="shared" si="0"/>
        <v>3961860.8400000003</v>
      </c>
      <c r="I28" s="437">
        <v>0</v>
      </c>
      <c r="J28" s="441">
        <v>0</v>
      </c>
      <c r="K28" s="444">
        <f>SUM(H28:J28)</f>
        <v>3961860.8400000003</v>
      </c>
      <c r="L28" s="903"/>
      <c r="M28" s="28"/>
      <c r="N28" s="28"/>
      <c r="O28" s="28"/>
      <c r="P28" s="28"/>
      <c r="Q28" s="28"/>
      <c r="R28" s="28"/>
      <c r="S28" s="28"/>
      <c r="T28" s="28"/>
      <c r="U28" s="29"/>
      <c r="V28" s="29"/>
    </row>
    <row r="29" spans="2:259" x14ac:dyDescent="0.2">
      <c r="B29" s="900"/>
      <c r="C29" s="438"/>
      <c r="D29" s="240"/>
      <c r="E29" s="240"/>
      <c r="F29" s="240"/>
      <c r="G29" s="441">
        <v>0</v>
      </c>
      <c r="H29" s="444">
        <f t="shared" si="0"/>
        <v>0</v>
      </c>
      <c r="I29" s="437">
        <v>0</v>
      </c>
      <c r="J29" s="441">
        <v>0</v>
      </c>
      <c r="K29" s="444">
        <f t="shared" si="1"/>
        <v>0</v>
      </c>
      <c r="L29" s="903"/>
      <c r="M29" s="28"/>
      <c r="N29" s="28"/>
      <c r="O29" s="28"/>
      <c r="P29" s="28"/>
      <c r="Q29" s="28"/>
      <c r="R29" s="28"/>
      <c r="S29" s="28"/>
      <c r="T29" s="28"/>
      <c r="U29" s="29"/>
      <c r="V29" s="29"/>
    </row>
    <row r="30" spans="2:259" x14ac:dyDescent="0.2">
      <c r="B30" s="900"/>
      <c r="C30" s="438"/>
      <c r="D30" s="240"/>
      <c r="E30" s="240"/>
      <c r="F30" s="240"/>
      <c r="G30" s="441">
        <v>0</v>
      </c>
      <c r="H30" s="444">
        <f t="shared" si="0"/>
        <v>0</v>
      </c>
      <c r="I30" s="437">
        <v>0</v>
      </c>
      <c r="J30" s="441">
        <v>0</v>
      </c>
      <c r="K30" s="444">
        <f t="shared" si="1"/>
        <v>0</v>
      </c>
      <c r="L30" s="903"/>
      <c r="M30" s="28"/>
      <c r="N30" s="28"/>
      <c r="O30" s="28"/>
      <c r="P30" s="28"/>
      <c r="Q30" s="28"/>
      <c r="R30" s="28"/>
      <c r="S30" s="28"/>
      <c r="T30" s="28"/>
      <c r="U30" s="29"/>
      <c r="V30" s="29"/>
    </row>
    <row r="31" spans="2:259" x14ac:dyDescent="0.2">
      <c r="B31" s="900"/>
      <c r="C31" s="438"/>
      <c r="D31" s="240"/>
      <c r="E31" s="240"/>
      <c r="F31" s="240"/>
      <c r="G31" s="441">
        <v>0</v>
      </c>
      <c r="H31" s="444">
        <f t="shared" si="0"/>
        <v>0</v>
      </c>
      <c r="I31" s="437">
        <v>0</v>
      </c>
      <c r="J31" s="441">
        <v>0</v>
      </c>
      <c r="K31" s="444">
        <f t="shared" si="1"/>
        <v>0</v>
      </c>
      <c r="L31" s="903"/>
      <c r="M31" s="28"/>
      <c r="N31" s="28"/>
      <c r="O31" s="28"/>
      <c r="P31" s="28"/>
      <c r="Q31" s="28"/>
      <c r="R31" s="28"/>
      <c r="S31" s="28"/>
      <c r="T31" s="28"/>
      <c r="U31" s="29"/>
      <c r="V31" s="29"/>
    </row>
    <row r="32" spans="2:259" x14ac:dyDescent="0.2">
      <c r="B32" s="900"/>
      <c r="C32" s="438" t="s">
        <v>285</v>
      </c>
      <c r="D32" s="240" t="s">
        <v>286</v>
      </c>
      <c r="E32" s="240" t="s">
        <v>323</v>
      </c>
      <c r="F32" s="240" t="s">
        <v>243</v>
      </c>
      <c r="G32" s="441">
        <v>0</v>
      </c>
      <c r="H32" s="444">
        <f t="shared" si="0"/>
        <v>0</v>
      </c>
      <c r="I32" s="437">
        <v>0</v>
      </c>
      <c r="J32" s="441">
        <v>0</v>
      </c>
      <c r="K32" s="444">
        <f t="shared" si="1"/>
        <v>0</v>
      </c>
      <c r="L32" s="903"/>
      <c r="M32" s="28"/>
      <c r="N32" s="28"/>
      <c r="O32" s="28"/>
      <c r="P32" s="28"/>
      <c r="Q32" s="28"/>
      <c r="R32" s="28"/>
      <c r="S32" s="28"/>
      <c r="T32" s="28"/>
      <c r="U32" s="29"/>
      <c r="V32" s="29"/>
    </row>
    <row r="33" spans="2:22" x14ac:dyDescent="0.2">
      <c r="B33" s="900"/>
      <c r="C33" s="438" t="s">
        <v>291</v>
      </c>
      <c r="D33" s="240" t="s">
        <v>300</v>
      </c>
      <c r="E33" s="240" t="s">
        <v>324</v>
      </c>
      <c r="F33" s="240" t="s">
        <v>243</v>
      </c>
      <c r="G33" s="441">
        <v>0</v>
      </c>
      <c r="H33" s="444">
        <f t="shared" si="0"/>
        <v>0</v>
      </c>
      <c r="I33" s="437">
        <v>0</v>
      </c>
      <c r="J33" s="441">
        <v>0</v>
      </c>
      <c r="K33" s="444">
        <f t="shared" si="1"/>
        <v>0</v>
      </c>
      <c r="L33" s="903"/>
      <c r="M33" s="28"/>
      <c r="N33" s="28"/>
      <c r="O33" s="28"/>
      <c r="P33" s="28"/>
      <c r="Q33" s="28"/>
      <c r="R33" s="28"/>
      <c r="S33" s="28"/>
      <c r="T33" s="28"/>
      <c r="U33" s="29"/>
      <c r="V33" s="29"/>
    </row>
    <row r="34" spans="2:22" x14ac:dyDescent="0.2">
      <c r="B34" s="900"/>
      <c r="C34" s="438"/>
      <c r="D34" s="240"/>
      <c r="E34" s="240"/>
      <c r="F34" s="240"/>
      <c r="G34" s="441">
        <v>0</v>
      </c>
      <c r="H34" s="444">
        <f t="shared" si="0"/>
        <v>0</v>
      </c>
      <c r="I34" s="437">
        <v>0</v>
      </c>
      <c r="J34" s="441">
        <v>0</v>
      </c>
      <c r="K34" s="444">
        <f t="shared" si="1"/>
        <v>0</v>
      </c>
      <c r="L34" s="903"/>
    </row>
    <row r="35" spans="2:22" x14ac:dyDescent="0.2">
      <c r="B35" s="900"/>
      <c r="C35" s="438"/>
      <c r="D35" s="240"/>
      <c r="E35" s="240"/>
      <c r="F35" s="240"/>
      <c r="G35" s="441">
        <v>0</v>
      </c>
      <c r="H35" s="444">
        <f t="shared" si="0"/>
        <v>0</v>
      </c>
      <c r="I35" s="437">
        <v>0</v>
      </c>
      <c r="J35" s="441">
        <v>0</v>
      </c>
      <c r="K35" s="444">
        <f t="shared" si="1"/>
        <v>0</v>
      </c>
      <c r="L35" s="903"/>
    </row>
    <row r="36" spans="2:22" x14ac:dyDescent="0.2">
      <c r="B36" s="900"/>
      <c r="C36" s="438"/>
      <c r="D36" s="240"/>
      <c r="E36" s="240"/>
      <c r="F36" s="240"/>
      <c r="G36" s="441">
        <v>0</v>
      </c>
      <c r="H36" s="444">
        <f t="shared" si="0"/>
        <v>0</v>
      </c>
      <c r="I36" s="437">
        <v>0</v>
      </c>
      <c r="J36" s="441">
        <v>0</v>
      </c>
      <c r="K36" s="444">
        <f t="shared" si="1"/>
        <v>0</v>
      </c>
      <c r="L36" s="903"/>
    </row>
    <row r="37" spans="2:22" x14ac:dyDescent="0.2">
      <c r="B37" s="900"/>
      <c r="C37" s="438"/>
      <c r="D37" s="240"/>
      <c r="E37" s="240"/>
      <c r="F37" s="240"/>
      <c r="G37" s="441">
        <v>0</v>
      </c>
      <c r="H37" s="444">
        <f t="shared" si="0"/>
        <v>0</v>
      </c>
      <c r="I37" s="437">
        <v>0</v>
      </c>
      <c r="J37" s="441">
        <v>0</v>
      </c>
      <c r="K37" s="444">
        <f t="shared" si="1"/>
        <v>0</v>
      </c>
      <c r="L37" s="903"/>
    </row>
    <row r="38" spans="2:22" x14ac:dyDescent="0.2">
      <c r="B38" s="900"/>
      <c r="C38" s="438"/>
      <c r="D38" s="240"/>
      <c r="E38" s="240"/>
      <c r="F38" s="240"/>
      <c r="G38" s="441">
        <v>0</v>
      </c>
      <c r="H38" s="444">
        <f t="shared" si="0"/>
        <v>0</v>
      </c>
      <c r="I38" s="437">
        <v>0</v>
      </c>
      <c r="J38" s="441">
        <v>0</v>
      </c>
      <c r="K38" s="444">
        <f t="shared" si="1"/>
        <v>0</v>
      </c>
      <c r="L38" s="903"/>
    </row>
    <row r="39" spans="2:22" x14ac:dyDescent="0.2">
      <c r="B39" s="900"/>
      <c r="C39" s="438"/>
      <c r="D39" s="240"/>
      <c r="E39" s="240"/>
      <c r="F39" s="240"/>
      <c r="G39" s="441">
        <v>0</v>
      </c>
      <c r="H39" s="444">
        <f t="shared" si="0"/>
        <v>0</v>
      </c>
      <c r="I39" s="437">
        <v>0</v>
      </c>
      <c r="J39" s="441">
        <v>0</v>
      </c>
      <c r="K39" s="444">
        <f t="shared" si="1"/>
        <v>0</v>
      </c>
      <c r="L39" s="903"/>
    </row>
    <row r="40" spans="2:22" ht="13.5" thickBot="1" x14ac:dyDescent="0.25">
      <c r="B40" s="901"/>
      <c r="C40" s="241"/>
      <c r="D40" s="63"/>
      <c r="E40" s="63"/>
      <c r="F40" s="63"/>
      <c r="G40" s="442">
        <v>0</v>
      </c>
      <c r="H40" s="445">
        <f t="shared" si="0"/>
        <v>0</v>
      </c>
      <c r="I40" s="276">
        <v>0</v>
      </c>
      <c r="J40" s="442">
        <v>0</v>
      </c>
      <c r="K40" s="445">
        <f t="shared" si="1"/>
        <v>0</v>
      </c>
      <c r="L40" s="904"/>
    </row>
    <row r="41" spans="2:22" ht="16.5" thickBot="1" x14ac:dyDescent="0.25">
      <c r="B41" s="18"/>
      <c r="C41"/>
      <c r="D41"/>
      <c r="E41" s="32"/>
      <c r="F41" s="32"/>
      <c r="G41" s="32"/>
      <c r="H41" s="32"/>
      <c r="I41" s="32"/>
      <c r="J41" s="30"/>
      <c r="K41" s="206" t="s">
        <v>95</v>
      </c>
      <c r="L41" s="64">
        <f>SUM(L11:L40)</f>
        <v>28832109.32</v>
      </c>
    </row>
    <row r="42" spans="2:22" x14ac:dyDescent="0.2">
      <c r="B42" s="18"/>
      <c r="C42"/>
      <c r="D42"/>
      <c r="E42" s="32"/>
      <c r="F42" s="32"/>
      <c r="G42" s="32"/>
      <c r="H42" s="32"/>
      <c r="I42" s="32"/>
      <c r="J42" s="30"/>
      <c r="K42" s="30"/>
      <c r="L42" s="30"/>
    </row>
    <row r="43" spans="2:22" x14ac:dyDescent="0.2">
      <c r="B43" s="18"/>
      <c r="C43" s="18"/>
      <c r="D43" s="18"/>
      <c r="E43" s="18"/>
      <c r="F43" s="18"/>
      <c r="G43" s="18"/>
      <c r="H43" s="18"/>
      <c r="I43" s="18"/>
      <c r="J43" s="28"/>
      <c r="K43" s="28"/>
      <c r="L43" s="28"/>
    </row>
  </sheetData>
  <mergeCells count="17">
    <mergeCell ref="B7:E7"/>
    <mergeCell ref="B9:B10"/>
    <mergeCell ref="C9:C10"/>
    <mergeCell ref="D9:D10"/>
    <mergeCell ref="E9:E10"/>
    <mergeCell ref="B26:B40"/>
    <mergeCell ref="L26:L40"/>
    <mergeCell ref="K9:K10"/>
    <mergeCell ref="L9:L10"/>
    <mergeCell ref="T10:W10"/>
    <mergeCell ref="B11:B25"/>
    <mergeCell ref="L11:L25"/>
    <mergeCell ref="F9:F10"/>
    <mergeCell ref="G9:G10"/>
    <mergeCell ref="I9:I10"/>
    <mergeCell ref="J9:J10"/>
    <mergeCell ref="H9:H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A1:S19"/>
  <sheetViews>
    <sheetView showGridLines="0" zoomScale="80" zoomScaleNormal="80" workbookViewId="0">
      <selection activeCell="P25" sqref="P25"/>
    </sheetView>
  </sheetViews>
  <sheetFormatPr baseColWidth="10" defaultColWidth="10.7109375" defaultRowHeight="12.75" x14ac:dyDescent="0.2"/>
  <cols>
    <col min="1" max="1" width="33" style="2" customWidth="1"/>
    <col min="2" max="2" width="33" style="2" bestFit="1" customWidth="1"/>
    <col min="3" max="12" width="14.7109375" style="2" customWidth="1"/>
    <col min="13" max="13" width="33.42578125" style="2" bestFit="1" customWidth="1"/>
    <col min="14" max="14" width="14.7109375" style="2" customWidth="1"/>
    <col min="15" max="15" width="33.42578125" style="2" bestFit="1" customWidth="1"/>
    <col min="16" max="16" width="14.7109375" style="2" customWidth="1"/>
    <col min="17" max="17" width="14.28515625" style="2" customWidth="1"/>
    <col min="18" max="16384" width="10.7109375" style="2"/>
  </cols>
  <sheetData>
    <row r="1" spans="1:19" x14ac:dyDescent="0.2">
      <c r="B1" s="31"/>
      <c r="C1" s="31"/>
      <c r="D1" s="31" t="s">
        <v>201</v>
      </c>
      <c r="E1" s="31"/>
      <c r="F1" s="31"/>
      <c r="G1" s="31"/>
      <c r="H1" s="31"/>
      <c r="I1" s="31"/>
      <c r="J1" s="31"/>
      <c r="K1" s="31"/>
      <c r="L1" s="31"/>
      <c r="M1" s="31"/>
      <c r="N1" s="31"/>
      <c r="P1" s="31"/>
    </row>
    <row r="2" spans="1:19" x14ac:dyDescent="0.2">
      <c r="B2" s="31"/>
      <c r="C2" s="31"/>
      <c r="D2" s="31" t="s">
        <v>193</v>
      </c>
      <c r="E2" s="31"/>
      <c r="F2" s="31"/>
      <c r="G2" s="31"/>
      <c r="H2" s="31"/>
      <c r="I2" s="31"/>
      <c r="J2" s="31"/>
      <c r="K2" s="31"/>
      <c r="L2" s="31"/>
      <c r="M2" s="31"/>
      <c r="N2" s="31"/>
      <c r="P2" s="31"/>
    </row>
    <row r="3" spans="1:19" x14ac:dyDescent="0.2">
      <c r="C3" s="4"/>
      <c r="D3" s="4"/>
      <c r="E3" s="4"/>
      <c r="F3" s="4"/>
      <c r="G3" s="4"/>
      <c r="H3" s="4"/>
      <c r="I3" s="4"/>
      <c r="J3" s="4"/>
      <c r="K3" s="4"/>
      <c r="L3" s="4"/>
      <c r="N3" s="4"/>
      <c r="P3" s="4"/>
    </row>
    <row r="4" spans="1:19" ht="18.75" customHeight="1" x14ac:dyDescent="0.2">
      <c r="C4" s="13" t="s">
        <v>0</v>
      </c>
      <c r="D4" s="926" t="s">
        <v>244</v>
      </c>
      <c r="E4" s="735"/>
      <c r="F4" s="927"/>
      <c r="G4" s="31"/>
      <c r="H4" s="31"/>
      <c r="I4" s="31"/>
      <c r="J4" s="31"/>
      <c r="K4" s="31"/>
      <c r="L4" s="31"/>
      <c r="N4" s="31"/>
      <c r="P4" s="31"/>
    </row>
    <row r="5" spans="1:19" x14ac:dyDescent="0.2">
      <c r="A5" s="6"/>
      <c r="B5" s="6"/>
      <c r="C5" s="31"/>
      <c r="D5" s="31"/>
      <c r="E5" s="31"/>
      <c r="F5" s="31"/>
      <c r="G5" s="31"/>
      <c r="H5" s="31"/>
      <c r="I5" s="31"/>
      <c r="J5" s="31"/>
      <c r="K5" s="31"/>
      <c r="L5" s="31"/>
      <c r="M5" s="31"/>
      <c r="N5" s="31"/>
      <c r="P5" s="31"/>
    </row>
    <row r="6" spans="1:19" x14ac:dyDescent="0.2">
      <c r="A6" s="6"/>
      <c r="B6" s="6"/>
      <c r="C6" s="31"/>
      <c r="D6" s="31"/>
      <c r="E6" s="31"/>
      <c r="F6" s="31"/>
      <c r="G6" s="31"/>
      <c r="H6" s="31"/>
      <c r="I6" s="31"/>
      <c r="J6" s="31"/>
      <c r="K6" s="31"/>
      <c r="L6" s="31"/>
      <c r="M6" s="31"/>
      <c r="N6" s="31"/>
      <c r="P6" s="31"/>
    </row>
    <row r="7" spans="1:19" ht="12.75" customHeight="1" x14ac:dyDescent="0.2">
      <c r="A7" s="939" t="s">
        <v>127</v>
      </c>
      <c r="B7" s="940"/>
      <c r="C7" s="940"/>
      <c r="D7" s="940"/>
      <c r="E7" s="940"/>
      <c r="F7" s="940"/>
      <c r="G7" s="940"/>
      <c r="H7" s="940"/>
      <c r="I7" s="940"/>
      <c r="J7" s="940"/>
      <c r="K7" s="940"/>
      <c r="L7" s="940"/>
      <c r="M7" s="940"/>
      <c r="N7" s="940"/>
      <c r="O7" s="941"/>
      <c r="P7" s="35"/>
    </row>
    <row r="8" spans="1:19" x14ac:dyDescent="0.2">
      <c r="A8" s="942"/>
      <c r="B8" s="943"/>
      <c r="C8" s="943"/>
      <c r="D8" s="943"/>
      <c r="E8" s="943"/>
      <c r="F8" s="943"/>
      <c r="G8" s="943"/>
      <c r="H8" s="943"/>
      <c r="I8" s="943"/>
      <c r="J8" s="943"/>
      <c r="K8" s="943"/>
      <c r="L8" s="943"/>
      <c r="M8" s="943"/>
      <c r="N8" s="943"/>
      <c r="O8" s="944"/>
      <c r="P8" s="35"/>
    </row>
    <row r="9" spans="1:19" x14ac:dyDescent="0.2">
      <c r="A9" s="945"/>
      <c r="B9" s="946"/>
      <c r="C9" s="946"/>
      <c r="D9" s="946"/>
      <c r="E9" s="946"/>
      <c r="F9" s="946"/>
      <c r="G9" s="946"/>
      <c r="H9" s="946"/>
      <c r="I9" s="946"/>
      <c r="J9" s="946"/>
      <c r="K9" s="946"/>
      <c r="L9" s="946"/>
      <c r="M9" s="946"/>
      <c r="N9" s="946"/>
      <c r="O9" s="947"/>
      <c r="P9" s="35"/>
    </row>
    <row r="10" spans="1:19" x14ac:dyDescent="0.2">
      <c r="A10" s="35"/>
      <c r="B10" s="35"/>
      <c r="C10" s="35"/>
      <c r="D10" s="35"/>
      <c r="E10" s="35"/>
      <c r="F10" s="35"/>
      <c r="G10" s="35"/>
      <c r="H10" s="35"/>
      <c r="I10" s="35"/>
      <c r="J10" s="35"/>
      <c r="K10" s="35"/>
      <c r="L10" s="35"/>
      <c r="M10" s="35"/>
      <c r="N10" s="35"/>
      <c r="O10" s="35"/>
      <c r="P10" s="35"/>
    </row>
    <row r="11" spans="1:19" x14ac:dyDescent="0.2">
      <c r="A11" s="35"/>
      <c r="B11" s="35"/>
      <c r="C11" s="35"/>
      <c r="D11" s="35"/>
      <c r="E11" s="35"/>
      <c r="F11" s="35"/>
      <c r="G11" s="35"/>
      <c r="H11" s="35"/>
      <c r="I11" s="35"/>
      <c r="J11" s="35"/>
      <c r="K11" s="35"/>
      <c r="L11" s="35"/>
      <c r="M11" s="35"/>
      <c r="N11" s="35"/>
      <c r="O11" s="35"/>
      <c r="P11" s="35"/>
    </row>
    <row r="12" spans="1:19" ht="15.75" x14ac:dyDescent="0.2">
      <c r="A12" s="753" t="s">
        <v>155</v>
      </c>
      <c r="B12" s="753"/>
      <c r="C12" s="753"/>
      <c r="D12" s="753"/>
      <c r="E12" s="56"/>
      <c r="F12" s="35"/>
      <c r="G12" s="35"/>
      <c r="H12" s="35"/>
      <c r="I12" s="34"/>
      <c r="J12" s="34"/>
      <c r="K12" s="35"/>
      <c r="L12" s="35"/>
      <c r="M12" s="35"/>
      <c r="N12" s="35"/>
      <c r="O12" s="35"/>
      <c r="P12" s="35"/>
    </row>
    <row r="13" spans="1:19" ht="13.5" thickBot="1" x14ac:dyDescent="0.25">
      <c r="A13" s="6"/>
      <c r="B13" s="6"/>
      <c r="C13" s="31"/>
      <c r="D13" s="31"/>
      <c r="E13" s="31"/>
      <c r="F13" s="31"/>
      <c r="G13" s="31"/>
      <c r="H13" s="31"/>
      <c r="I13" s="31"/>
      <c r="J13" s="31"/>
      <c r="K13" s="31"/>
      <c r="L13" s="31"/>
      <c r="M13" s="31"/>
      <c r="N13" s="31"/>
      <c r="P13" s="31"/>
    </row>
    <row r="14" spans="1:19" ht="20.25" customHeight="1" x14ac:dyDescent="0.2">
      <c r="A14" s="930" t="s">
        <v>132</v>
      </c>
      <c r="B14" s="932" t="s">
        <v>5</v>
      </c>
      <c r="C14" s="742" t="s">
        <v>251</v>
      </c>
      <c r="D14" s="743"/>
      <c r="E14" s="743"/>
      <c r="F14" s="743"/>
      <c r="G14" s="744"/>
      <c r="H14" s="936" t="s">
        <v>137</v>
      </c>
      <c r="I14" s="937"/>
      <c r="J14" s="937"/>
      <c r="K14" s="937"/>
      <c r="L14" s="938"/>
      <c r="M14" s="934" t="s">
        <v>111</v>
      </c>
      <c r="N14" s="935"/>
      <c r="O14" s="928" t="s">
        <v>112</v>
      </c>
      <c r="P14" s="929"/>
      <c r="Q14" s="924" t="s">
        <v>128</v>
      </c>
    </row>
    <row r="15" spans="1:19" ht="70.5" customHeight="1" thickBot="1" x14ac:dyDescent="0.25">
      <c r="A15" s="931"/>
      <c r="B15" s="933"/>
      <c r="C15" s="165" t="s">
        <v>87</v>
      </c>
      <c r="D15" s="166" t="s">
        <v>133</v>
      </c>
      <c r="E15" s="166" t="s">
        <v>134</v>
      </c>
      <c r="F15" s="166" t="s">
        <v>88</v>
      </c>
      <c r="G15" s="167" t="s">
        <v>89</v>
      </c>
      <c r="H15" s="168" t="s">
        <v>87</v>
      </c>
      <c r="I15" s="169" t="s">
        <v>133</v>
      </c>
      <c r="J15" s="169" t="s">
        <v>134</v>
      </c>
      <c r="K15" s="169" t="s">
        <v>88</v>
      </c>
      <c r="L15" s="170" t="s">
        <v>89</v>
      </c>
      <c r="M15" s="171" t="s">
        <v>72</v>
      </c>
      <c r="N15" s="439" t="s">
        <v>86</v>
      </c>
      <c r="O15" s="172" t="s">
        <v>72</v>
      </c>
      <c r="P15" s="62" t="s">
        <v>86</v>
      </c>
      <c r="Q15" s="925"/>
    </row>
    <row r="16" spans="1:19" ht="12.75" customHeight="1" x14ac:dyDescent="0.2">
      <c r="A16" s="920" t="str">
        <f>'B) Reajuste Tarifas y Ocupación'!A12</f>
        <v>Jardín Infantil Mar y Cielo</v>
      </c>
      <c r="B16" s="159" t="str">
        <f>+'B) Reajuste Tarifas y Ocupación'!B12</f>
        <v>Media jornada</v>
      </c>
      <c r="C16" s="446">
        <f>+'B) Reajuste Tarifas y Ocupación'!M12</f>
        <v>100100</v>
      </c>
      <c r="D16" s="447">
        <f>+'B) Reajuste Tarifas y Ocupación'!N12</f>
        <v>135100</v>
      </c>
      <c r="E16" s="447">
        <f>+'B) Reajuste Tarifas y Ocupación'!O12</f>
        <v>140100</v>
      </c>
      <c r="F16" s="447">
        <f>+'B) Reajuste Tarifas y Ocupación'!P12</f>
        <v>156600</v>
      </c>
      <c r="G16" s="448">
        <f>+'B) Reajuste Tarifas y Ocupación'!Q12</f>
        <v>185100</v>
      </c>
      <c r="H16" s="519">
        <f t="shared" ref="H16:K18" si="0">IFERROR(C16/$Q16,0)</f>
        <v>1.0111111111111111</v>
      </c>
      <c r="I16" s="518">
        <f t="shared" si="0"/>
        <v>1.3646464646464647</v>
      </c>
      <c r="J16" s="518">
        <f t="shared" si="0"/>
        <v>1.415151515151515</v>
      </c>
      <c r="K16" s="518">
        <f t="shared" si="0"/>
        <v>1.5818181818181818</v>
      </c>
      <c r="L16" s="301">
        <f t="shared" ref="L16" si="1">IFERROR(G16/$Q16,0)</f>
        <v>1.8696969696969696</v>
      </c>
      <c r="M16" s="277" t="s">
        <v>303</v>
      </c>
      <c r="N16" s="440">
        <v>0</v>
      </c>
      <c r="O16" s="238" t="s">
        <v>319</v>
      </c>
      <c r="P16" s="522">
        <v>198000</v>
      </c>
      <c r="Q16" s="525">
        <f>AVERAGE(N16,P16)</f>
        <v>99000</v>
      </c>
      <c r="R16" s="14"/>
      <c r="S16" s="15"/>
    </row>
    <row r="17" spans="1:19" ht="12.75" customHeight="1" x14ac:dyDescent="0.2">
      <c r="A17" s="921"/>
      <c r="B17" s="269" t="str">
        <f>+'B) Reajuste Tarifas y Ocupación'!B13</f>
        <v>Media Jornada extendida</v>
      </c>
      <c r="C17" s="449">
        <f>+'B) Reajuste Tarifas y Ocupación'!M13</f>
        <v>156400</v>
      </c>
      <c r="D17" s="428">
        <f>+'B) Reajuste Tarifas y Ocupación'!N13</f>
        <v>211100</v>
      </c>
      <c r="E17" s="428">
        <f>+'B) Reajuste Tarifas y Ocupación'!O13</f>
        <v>218900</v>
      </c>
      <c r="F17" s="428">
        <f>+'B) Reajuste Tarifas y Ocupación'!P13</f>
        <v>195500</v>
      </c>
      <c r="G17" s="450">
        <f>+'B) Reajuste Tarifas y Ocupación'!Q13</f>
        <v>234400</v>
      </c>
      <c r="H17" s="520">
        <f t="shared" ref="H17" si="2">IFERROR(C17/$Q17,0)</f>
        <v>0</v>
      </c>
      <c r="I17" s="517">
        <f t="shared" ref="I17" si="3">IFERROR(D17/$Q17,0)</f>
        <v>0</v>
      </c>
      <c r="J17" s="517">
        <f t="shared" ref="J17" si="4">IFERROR(E17/$Q17,0)</f>
        <v>0</v>
      </c>
      <c r="K17" s="517">
        <f t="shared" ref="K17" si="5">IFERROR(F17/$Q17,0)</f>
        <v>0</v>
      </c>
      <c r="L17" s="302">
        <f t="shared" ref="L17" si="6">IFERROR(G17/$Q17,0)</f>
        <v>0</v>
      </c>
      <c r="M17" s="278" t="s">
        <v>303</v>
      </c>
      <c r="N17" s="304">
        <v>0</v>
      </c>
      <c r="O17" s="438" t="s">
        <v>319</v>
      </c>
      <c r="P17" s="523">
        <v>0</v>
      </c>
      <c r="Q17" s="526">
        <f>AVERAGE(N17,P17)</f>
        <v>0</v>
      </c>
      <c r="R17" s="14"/>
      <c r="S17" s="15"/>
    </row>
    <row r="18" spans="1:19" ht="12.75" customHeight="1" x14ac:dyDescent="0.2">
      <c r="A18" s="922"/>
      <c r="B18" s="269" t="str">
        <f>+'B) Reajuste Tarifas y Ocupación'!B14</f>
        <v xml:space="preserve">Doble jornada </v>
      </c>
      <c r="C18" s="449">
        <f>+'B) Reajuste Tarifas y Ocupación'!M14</f>
        <v>141400</v>
      </c>
      <c r="D18" s="428">
        <f>+'B) Reajuste Tarifas y Ocupación'!N14</f>
        <v>190900</v>
      </c>
      <c r="E18" s="428">
        <f>+'B) Reajuste Tarifas y Ocupación'!O14</f>
        <v>197900</v>
      </c>
      <c r="F18" s="428">
        <f>+'B) Reajuste Tarifas y Ocupación'!P14</f>
        <v>212200</v>
      </c>
      <c r="G18" s="450">
        <f>+'B) Reajuste Tarifas y Ocupación'!Q14</f>
        <v>248700</v>
      </c>
      <c r="H18" s="520">
        <f t="shared" si="0"/>
        <v>0</v>
      </c>
      <c r="I18" s="517">
        <f t="shared" si="0"/>
        <v>0</v>
      </c>
      <c r="J18" s="517">
        <f t="shared" si="0"/>
        <v>0</v>
      </c>
      <c r="K18" s="517">
        <f t="shared" si="0"/>
        <v>0</v>
      </c>
      <c r="L18" s="302">
        <f t="shared" ref="L18" si="7">IFERROR(G18/$Q18,0)</f>
        <v>0</v>
      </c>
      <c r="M18" s="278" t="s">
        <v>303</v>
      </c>
      <c r="N18" s="304">
        <v>0</v>
      </c>
      <c r="O18" s="438" t="s">
        <v>319</v>
      </c>
      <c r="P18" s="523">
        <v>0</v>
      </c>
      <c r="Q18" s="526">
        <f>AVERAGE(N18,P18)</f>
        <v>0</v>
      </c>
      <c r="R18" s="14"/>
      <c r="S18" s="15"/>
    </row>
    <row r="19" spans="1:19" ht="13.5" thickBot="1" x14ac:dyDescent="0.25">
      <c r="A19" s="923"/>
      <c r="B19" s="160" t="str">
        <f>+'B) Reajuste Tarifas y Ocupación'!B15</f>
        <v>Jornada completa</v>
      </c>
      <c r="C19" s="162">
        <f>+'B) Reajuste Tarifas y Ocupación'!M15</f>
        <v>212900</v>
      </c>
      <c r="D19" s="163">
        <f>+'B) Reajuste Tarifas y Ocupación'!N15</f>
        <v>287400</v>
      </c>
      <c r="E19" s="163">
        <f>+'B) Reajuste Tarifas y Ocupación'!O15</f>
        <v>298000</v>
      </c>
      <c r="F19" s="163">
        <f>+'B) Reajuste Tarifas y Ocupación'!P15</f>
        <v>266100</v>
      </c>
      <c r="G19" s="164">
        <f>+'B) Reajuste Tarifas y Ocupación'!Q15</f>
        <v>276700</v>
      </c>
      <c r="H19" s="521">
        <f t="shared" ref="H19" si="8">IFERROR(C19/$Q19,0)</f>
        <v>0.73795493934142109</v>
      </c>
      <c r="I19" s="67">
        <f t="shared" ref="I19" si="9">IFERROR(D19/$Q19,0)</f>
        <v>0.99618717504332754</v>
      </c>
      <c r="J19" s="67">
        <f t="shared" ref="J19" si="10">IFERROR(E19/$Q19,0)</f>
        <v>1.0329289428076256</v>
      </c>
      <c r="K19" s="67">
        <f t="shared" ref="K19" si="11">IFERROR(F19/$Q19,0)</f>
        <v>0.92235701906412482</v>
      </c>
      <c r="L19" s="303">
        <f t="shared" ref="L19" si="12">IFERROR(G19/$Q19,0)</f>
        <v>0.95909878682842287</v>
      </c>
      <c r="M19" s="65" t="s">
        <v>303</v>
      </c>
      <c r="N19" s="66">
        <v>209000</v>
      </c>
      <c r="O19" s="241" t="s">
        <v>319</v>
      </c>
      <c r="P19" s="524">
        <v>368000</v>
      </c>
      <c r="Q19" s="527">
        <f t="shared" ref="Q19" si="13">AVERAGE(N19,P19)</f>
        <v>288500</v>
      </c>
      <c r="R19" s="14"/>
      <c r="S19" s="15"/>
    </row>
  </sheetData>
  <sheetProtection algorithmName="SHA-512" hashValue="WONitaDks/oW+uKOc1cXx2w63dn81Zbma3X2Kwa4L2OI+R/pPAsoeNuM0igThUgS/Cc/sxrfG+We4gxHViEkhA==" saltValue="k2i4iFMKjtU2Co7iR6v1jw==" spinCount="100000" sheet="1" objects="1" scenarios="1"/>
  <mergeCells count="11">
    <mergeCell ref="A16:A19"/>
    <mergeCell ref="Q14:Q15"/>
    <mergeCell ref="D4:F4"/>
    <mergeCell ref="O14:P14"/>
    <mergeCell ref="A14:A15"/>
    <mergeCell ref="B14:B15"/>
    <mergeCell ref="M14:N14"/>
    <mergeCell ref="C14:G14"/>
    <mergeCell ref="H14:L14"/>
    <mergeCell ref="A7:O9"/>
    <mergeCell ref="A12:D12"/>
  </mergeCells>
  <pageMargins left="0.7" right="0.7" top="0.75" bottom="0.75" header="0.51180555555555551" footer="0.51180555555555551"/>
  <pageSetup scale="50"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12</vt:i4>
      </vt:variant>
    </vt:vector>
  </HeadingPairs>
  <TitlesOfParts>
    <vt:vector size="23" baseType="lpstr">
      <vt:lpstr>Instrucciones</vt:lpstr>
      <vt:lpstr>Índice Tablas</vt:lpstr>
      <vt:lpstr>A) Resumen Ingresos y Egresos</vt:lpstr>
      <vt:lpstr>B) Reajuste Tarifas y Ocupación</vt:lpstr>
      <vt:lpstr>C) Costos Directos</vt:lpstr>
      <vt:lpstr>D) Costos Indirectos</vt:lpstr>
      <vt:lpstr>E) Resumen Tarifado </vt:lpstr>
      <vt:lpstr>F) Remuneraciones</vt:lpstr>
      <vt:lpstr>G) Comparación Mercado</vt:lpstr>
      <vt:lpstr>H) Detalle Datos</vt:lpstr>
      <vt:lpstr>I) Proyección Mensual.</vt:lpstr>
      <vt:lpstr>__xlnm_Print_Area</vt:lpstr>
      <vt:lpstr>__xlnm_Print_Area_1</vt:lpstr>
      <vt:lpstr>__xlnm_Print_Area_2</vt:lpstr>
      <vt:lpstr>__xlnm_Print_Titles</vt:lpstr>
      <vt:lpstr>__xlnm_Print_Titles_1</vt:lpstr>
      <vt:lpstr>'A) Resumen Ingresos y Egresos'!Área_de_impresión</vt:lpstr>
      <vt:lpstr>'C) Costos Directos'!Área_de_impresión</vt:lpstr>
      <vt:lpstr>'E) Resumen Tarifado '!Área_de_impresión</vt:lpstr>
      <vt:lpstr>bienique1</vt:lpstr>
      <vt:lpstr>'C) Costos Directos'!Excel_BuiltIn_Print_Area</vt:lpstr>
      <vt:lpstr>'A) Resumen Ingresos y Egresos'!Títulos_a_imprimir</vt:lpstr>
      <vt:lpstr>'C) Costos Directos'!Títulos_a_imprimir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cverall@armada.cl</dc:creator>
  <cp:lastModifiedBy>130 Carolina Vera</cp:lastModifiedBy>
  <cp:lastPrinted>2017-09-14T16:34:08Z</cp:lastPrinted>
  <dcterms:created xsi:type="dcterms:W3CDTF">2017-05-11T00:45:10Z</dcterms:created>
  <dcterms:modified xsi:type="dcterms:W3CDTF">2024-11-18T13:26:46Z</dcterms:modified>
</cp:coreProperties>
</file>