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Z:\02 USUARIOS\R. MERY\MIS COMPARTIDAS\COMPARTIDAS\EDUCACIONAL\TARIFAS\TARIFAS 2025\TARIFAS FINALES 2025\"/>
    </mc:Choice>
  </mc:AlternateContent>
  <xr:revisionPtr revIDLastSave="0" documentId="13_ncr:1_{B66A5C7D-AE4C-4F01-86A0-37A04E8AEE94}" xr6:coauthVersionLast="47" xr6:coauthVersionMax="47" xr10:uidLastSave="{00000000-0000-0000-0000-000000000000}"/>
  <bookViews>
    <workbookView xWindow="-120" yWindow="-120" windowWidth="29040" windowHeight="15840" tabRatio="929" activeTab="2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Proyección Mensual." sheetId="15" r:id="rId11"/>
  </sheets>
  <externalReferences>
    <externalReference r:id="rId12"/>
  </externalReference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I13" i="2" l="1"/>
  <c r="G29" i="12"/>
  <c r="W78" i="13"/>
  <c r="K76" i="13"/>
  <c r="J76" i="13"/>
  <c r="J75" i="13"/>
  <c r="K75" i="13" s="1"/>
  <c r="J74" i="13"/>
  <c r="K74" i="13" s="1"/>
  <c r="J73" i="13"/>
  <c r="K73" i="13" s="1"/>
  <c r="K72" i="13"/>
  <c r="J72" i="13"/>
  <c r="W70" i="13"/>
  <c r="J69" i="13"/>
  <c r="K69" i="13" s="1"/>
  <c r="J68" i="13"/>
  <c r="K68" i="13" s="1"/>
  <c r="K67" i="13"/>
  <c r="J67" i="13"/>
  <c r="J66" i="13"/>
  <c r="K66" i="13" s="1"/>
  <c r="J65" i="13"/>
  <c r="K65" i="13" s="1"/>
  <c r="S61" i="13"/>
  <c r="K61" i="13"/>
  <c r="R61" i="13" s="1"/>
  <c r="J61" i="13"/>
  <c r="W60" i="13"/>
  <c r="W40" i="13" s="1"/>
  <c r="S60" i="13"/>
  <c r="K60" i="13"/>
  <c r="J60" i="13"/>
  <c r="S59" i="13"/>
  <c r="J59" i="13"/>
  <c r="K59" i="13" s="1"/>
  <c r="S58" i="13"/>
  <c r="J58" i="13"/>
  <c r="K58" i="13" s="1"/>
  <c r="S57" i="13"/>
  <c r="J57" i="13"/>
  <c r="K57" i="13" s="1"/>
  <c r="P57" i="13" s="1"/>
  <c r="S56" i="13"/>
  <c r="J56" i="13"/>
  <c r="K56" i="13" s="1"/>
  <c r="S55" i="13"/>
  <c r="J55" i="13"/>
  <c r="K55" i="13" s="1"/>
  <c r="S54" i="13"/>
  <c r="J54" i="13"/>
  <c r="K54" i="13" s="1"/>
  <c r="S53" i="13"/>
  <c r="J53" i="13"/>
  <c r="K53" i="13" s="1"/>
  <c r="P53" i="13" s="1"/>
  <c r="S52" i="13"/>
  <c r="J52" i="13"/>
  <c r="K52" i="13" s="1"/>
  <c r="S51" i="13"/>
  <c r="J51" i="13"/>
  <c r="K51" i="13" s="1"/>
  <c r="S50" i="13"/>
  <c r="J50" i="13"/>
  <c r="K50" i="13" s="1"/>
  <c r="W49" i="13"/>
  <c r="S49" i="13"/>
  <c r="J49" i="13"/>
  <c r="K49" i="13" s="1"/>
  <c r="R49" i="13" s="1"/>
  <c r="S48" i="13"/>
  <c r="J48" i="13"/>
  <c r="K48" i="13" s="1"/>
  <c r="S47" i="13"/>
  <c r="J47" i="13"/>
  <c r="K47" i="13" s="1"/>
  <c r="R47" i="13" s="1"/>
  <c r="W46" i="13"/>
  <c r="S46" i="13"/>
  <c r="J46" i="13"/>
  <c r="K46" i="13" s="1"/>
  <c r="P46" i="13" s="1"/>
  <c r="S45" i="13"/>
  <c r="J45" i="13"/>
  <c r="K45" i="13" s="1"/>
  <c r="S44" i="13"/>
  <c r="I44" i="13"/>
  <c r="G44" i="13"/>
  <c r="S43" i="13"/>
  <c r="I43" i="13"/>
  <c r="G43" i="13"/>
  <c r="S42" i="13"/>
  <c r="I42" i="13"/>
  <c r="G42" i="13"/>
  <c r="W41" i="13"/>
  <c r="S41" i="13"/>
  <c r="I41" i="13"/>
  <c r="G41" i="13"/>
  <c r="J41" i="13" s="1"/>
  <c r="K41" i="13" s="1"/>
  <c r="R41" i="13" s="1"/>
  <c r="S40" i="13"/>
  <c r="I40" i="13"/>
  <c r="G40" i="13"/>
  <c r="S39" i="13"/>
  <c r="J39" i="13"/>
  <c r="K39" i="13" s="1"/>
  <c r="S38" i="13"/>
  <c r="J38" i="13"/>
  <c r="K38" i="13" s="1"/>
  <c r="P38" i="13" s="1"/>
  <c r="S37" i="13"/>
  <c r="J37" i="13"/>
  <c r="K37" i="13" s="1"/>
  <c r="S36" i="13"/>
  <c r="J36" i="13"/>
  <c r="K36" i="13" s="1"/>
  <c r="S35" i="13"/>
  <c r="I35" i="13"/>
  <c r="G35" i="13"/>
  <c r="J35" i="13" s="1"/>
  <c r="K35" i="13" s="1"/>
  <c r="W34" i="13"/>
  <c r="W20" i="13" s="1"/>
  <c r="W15" i="13" s="1"/>
  <c r="S34" i="13"/>
  <c r="J34" i="13"/>
  <c r="K34" i="13" s="1"/>
  <c r="S33" i="13"/>
  <c r="J33" i="13"/>
  <c r="K33" i="13" s="1"/>
  <c r="R33" i="13" s="1"/>
  <c r="S32" i="13"/>
  <c r="J32" i="13"/>
  <c r="K32" i="13" s="1"/>
  <c r="S31" i="13"/>
  <c r="J31" i="13"/>
  <c r="K31" i="13" s="1"/>
  <c r="R31" i="13" s="1"/>
  <c r="S30" i="13"/>
  <c r="P30" i="13"/>
  <c r="K30" i="13"/>
  <c r="R30" i="13" s="1"/>
  <c r="J30" i="13"/>
  <c r="W29" i="13"/>
  <c r="S29" i="13"/>
  <c r="J29" i="13"/>
  <c r="K29" i="13" s="1"/>
  <c r="W28" i="13"/>
  <c r="S28" i="13"/>
  <c r="G28" i="13"/>
  <c r="J28" i="13" s="1"/>
  <c r="K28" i="13" s="1"/>
  <c r="R28" i="13" s="1"/>
  <c r="S27" i="13"/>
  <c r="G27" i="13"/>
  <c r="J27" i="13" s="1"/>
  <c r="K27" i="13" s="1"/>
  <c r="P27" i="13" s="1"/>
  <c r="S26" i="13"/>
  <c r="G26" i="13"/>
  <c r="J26" i="13" s="1"/>
  <c r="K26" i="13" s="1"/>
  <c r="N26" i="13" s="1"/>
  <c r="S25" i="13"/>
  <c r="G25" i="13"/>
  <c r="J25" i="13" s="1"/>
  <c r="K25" i="13" s="1"/>
  <c r="S24" i="13"/>
  <c r="G24" i="13"/>
  <c r="J24" i="13" s="1"/>
  <c r="K24" i="13" s="1"/>
  <c r="S23" i="13"/>
  <c r="G23" i="13"/>
  <c r="J23" i="13" s="1"/>
  <c r="K23" i="13" s="1"/>
  <c r="P23" i="13" s="1"/>
  <c r="S22" i="13"/>
  <c r="G22" i="13"/>
  <c r="J22" i="13" s="1"/>
  <c r="K22" i="13" s="1"/>
  <c r="S21" i="13"/>
  <c r="G21" i="13"/>
  <c r="J21" i="13" s="1"/>
  <c r="K21" i="13" s="1"/>
  <c r="S20" i="13"/>
  <c r="G20" i="13"/>
  <c r="J20" i="13" s="1"/>
  <c r="K20" i="13" s="1"/>
  <c r="S19" i="13"/>
  <c r="G19" i="13"/>
  <c r="J19" i="13" s="1"/>
  <c r="K19" i="13" s="1"/>
  <c r="R19" i="13" s="1"/>
  <c r="S18" i="13"/>
  <c r="P18" i="13"/>
  <c r="G18" i="13"/>
  <c r="J18" i="13" s="1"/>
  <c r="K18" i="13" s="1"/>
  <c r="S17" i="13"/>
  <c r="G17" i="13"/>
  <c r="J17" i="13" s="1"/>
  <c r="K17" i="13" s="1"/>
  <c r="N17" i="13" s="1"/>
  <c r="W16" i="13"/>
  <c r="S16" i="13"/>
  <c r="P16" i="13"/>
  <c r="G16" i="13"/>
  <c r="J16" i="13" s="1"/>
  <c r="K16" i="13" s="1"/>
  <c r="R16" i="13" s="1"/>
  <c r="S15" i="13"/>
  <c r="G15" i="13"/>
  <c r="J15" i="13" s="1"/>
  <c r="K15" i="13" s="1"/>
  <c r="E4" i="13"/>
  <c r="R32" i="13" l="1"/>
  <c r="P32" i="13"/>
  <c r="N32" i="13"/>
  <c r="R48" i="13"/>
  <c r="N48" i="13"/>
  <c r="P48" i="13"/>
  <c r="R34" i="13"/>
  <c r="N34" i="13"/>
  <c r="P34" i="13"/>
  <c r="N16" i="13"/>
  <c r="N30" i="13"/>
  <c r="J40" i="13"/>
  <c r="K40" i="13" s="1"/>
  <c r="R40" i="13" s="1"/>
  <c r="J44" i="13"/>
  <c r="K44" i="13" s="1"/>
  <c r="J42" i="13"/>
  <c r="K42" i="13" s="1"/>
  <c r="N61" i="13"/>
  <c r="J43" i="13"/>
  <c r="K43" i="13" s="1"/>
  <c r="N43" i="13" s="1"/>
  <c r="P61" i="13"/>
  <c r="R35" i="13"/>
  <c r="N35" i="13"/>
  <c r="P35" i="13"/>
  <c r="R15" i="13"/>
  <c r="P15" i="13"/>
  <c r="N15" i="13"/>
  <c r="P24" i="13"/>
  <c r="N24" i="13"/>
  <c r="N36" i="13"/>
  <c r="R36" i="13"/>
  <c r="R37" i="13"/>
  <c r="N37" i="13"/>
  <c r="P37" i="13"/>
  <c r="W80" i="13"/>
  <c r="N42" i="13"/>
  <c r="R42" i="13"/>
  <c r="N44" i="13"/>
  <c r="R44" i="13"/>
  <c r="R45" i="13"/>
  <c r="P45" i="13"/>
  <c r="N45" i="13"/>
  <c r="K70" i="13"/>
  <c r="R22" i="13"/>
  <c r="P22" i="13"/>
  <c r="R24" i="13"/>
  <c r="R25" i="13"/>
  <c r="N25" i="13"/>
  <c r="P25" i="13"/>
  <c r="P36" i="13"/>
  <c r="P42" i="13"/>
  <c r="P44" i="13"/>
  <c r="N51" i="13"/>
  <c r="R51" i="13"/>
  <c r="R52" i="13"/>
  <c r="N52" i="13"/>
  <c r="P52" i="13"/>
  <c r="N55" i="13"/>
  <c r="R55" i="13"/>
  <c r="R56" i="13"/>
  <c r="N56" i="13"/>
  <c r="P56" i="13"/>
  <c r="N59" i="13"/>
  <c r="R59" i="13"/>
  <c r="R60" i="13"/>
  <c r="N60" i="13"/>
  <c r="P60" i="13"/>
  <c r="K77" i="13"/>
  <c r="N18" i="13"/>
  <c r="R18" i="13"/>
  <c r="P19" i="13"/>
  <c r="N19" i="13"/>
  <c r="N22" i="13"/>
  <c r="N27" i="13"/>
  <c r="R27" i="13"/>
  <c r="P28" i="13"/>
  <c r="N28" i="13"/>
  <c r="N38" i="13"/>
  <c r="R38" i="13"/>
  <c r="R39" i="13"/>
  <c r="N39" i="13"/>
  <c r="P39" i="13"/>
  <c r="N46" i="13"/>
  <c r="R46" i="13"/>
  <c r="P47" i="13"/>
  <c r="N47" i="13"/>
  <c r="P49" i="13"/>
  <c r="N49" i="13"/>
  <c r="P51" i="13"/>
  <c r="P55" i="13"/>
  <c r="P59" i="13"/>
  <c r="R21" i="13"/>
  <c r="N21" i="13"/>
  <c r="P21" i="13"/>
  <c r="R17" i="13"/>
  <c r="P17" i="13"/>
  <c r="R20" i="13"/>
  <c r="N20" i="13"/>
  <c r="P20" i="13"/>
  <c r="P26" i="13"/>
  <c r="R26" i="13"/>
  <c r="R29" i="13"/>
  <c r="P29" i="13"/>
  <c r="N29" i="13"/>
  <c r="P31" i="13"/>
  <c r="N31" i="13"/>
  <c r="P33" i="13"/>
  <c r="N33" i="13"/>
  <c r="P41" i="13"/>
  <c r="N41" i="13"/>
  <c r="R50" i="13"/>
  <c r="P50" i="13"/>
  <c r="N50" i="13"/>
  <c r="N53" i="13"/>
  <c r="R53" i="13"/>
  <c r="R54" i="13"/>
  <c r="P54" i="13"/>
  <c r="N54" i="13"/>
  <c r="N57" i="13"/>
  <c r="R57" i="13"/>
  <c r="R58" i="13"/>
  <c r="P58" i="13"/>
  <c r="N58" i="13"/>
  <c r="N23" i="13"/>
  <c r="R23" i="13"/>
  <c r="M106" i="3"/>
  <c r="C22" i="9"/>
  <c r="M112" i="3"/>
  <c r="M111" i="3"/>
  <c r="M129" i="3"/>
  <c r="M118" i="3"/>
  <c r="G38" i="12"/>
  <c r="G11" i="12"/>
  <c r="H11" i="12" s="1"/>
  <c r="D72" i="3"/>
  <c r="D68" i="3"/>
  <c r="D28" i="3"/>
  <c r="E30" i="3"/>
  <c r="G29" i="9"/>
  <c r="G28" i="9"/>
  <c r="B20" i="9"/>
  <c r="B21" i="9" s="1"/>
  <c r="H50" i="9"/>
  <c r="B70" i="9"/>
  <c r="D70" i="9" s="1"/>
  <c r="D43" i="9"/>
  <c r="D44" i="9"/>
  <c r="D46" i="9"/>
  <c r="B39" i="9"/>
  <c r="G42" i="12"/>
  <c r="G41" i="12"/>
  <c r="G37" i="12"/>
  <c r="G47" i="12"/>
  <c r="G45" i="12"/>
  <c r="G46" i="12"/>
  <c r="G44" i="12"/>
  <c r="G35" i="12"/>
  <c r="G34" i="12"/>
  <c r="G33" i="12"/>
  <c r="G32" i="12"/>
  <c r="G31" i="12"/>
  <c r="G30" i="12"/>
  <c r="D69" i="9"/>
  <c r="D68" i="9"/>
  <c r="D67" i="9"/>
  <c r="D66" i="9"/>
  <c r="D65" i="9"/>
  <c r="D64" i="9"/>
  <c r="D63" i="9"/>
  <c r="D62" i="9"/>
  <c r="D61" i="9"/>
  <c r="G52" i="9"/>
  <c r="G51" i="9"/>
  <c r="I49" i="9"/>
  <c r="I48" i="9"/>
  <c r="I47" i="9"/>
  <c r="D47" i="9"/>
  <c r="I46" i="9"/>
  <c r="I45" i="9"/>
  <c r="D45" i="9"/>
  <c r="I44" i="9"/>
  <c r="I43" i="9"/>
  <c r="I42" i="9"/>
  <c r="D42" i="9"/>
  <c r="I41" i="9"/>
  <c r="D41" i="9"/>
  <c r="I40" i="9"/>
  <c r="D40" i="9"/>
  <c r="I39" i="9"/>
  <c r="I38" i="9"/>
  <c r="D38" i="9"/>
  <c r="D28" i="9"/>
  <c r="C28" i="9"/>
  <c r="D22" i="9"/>
  <c r="H20" i="9"/>
  <c r="G20" i="9" s="1"/>
  <c r="M13" i="9"/>
  <c r="E13" i="9"/>
  <c r="G13" i="9" s="1"/>
  <c r="I13" i="9" s="1"/>
  <c r="J13" i="9" s="1"/>
  <c r="L13" i="9" s="1"/>
  <c r="M12" i="9"/>
  <c r="E12" i="9"/>
  <c r="G12" i="9" s="1"/>
  <c r="I12" i="9" s="1"/>
  <c r="J12" i="9" s="1"/>
  <c r="L12" i="9" s="1"/>
  <c r="M11" i="9"/>
  <c r="E11" i="9"/>
  <c r="G11" i="9" s="1"/>
  <c r="I11" i="9" s="1"/>
  <c r="J11" i="9" s="1"/>
  <c r="L11" i="9" s="1"/>
  <c r="J4" i="9"/>
  <c r="K62" i="13" l="1"/>
  <c r="R43" i="13"/>
  <c r="P43" i="13"/>
  <c r="P40" i="13"/>
  <c r="P62" i="13" s="1"/>
  <c r="N40" i="13"/>
  <c r="I50" i="9"/>
  <c r="G27" i="9"/>
  <c r="N62" i="13"/>
  <c r="R62" i="13"/>
  <c r="G53" i="9"/>
  <c r="B75" i="9"/>
  <c r="D71" i="9"/>
  <c r="D48" i="9"/>
  <c r="D49" i="9"/>
  <c r="B52" i="9"/>
  <c r="B50" i="9"/>
  <c r="B51" i="9"/>
  <c r="D39" i="9"/>
  <c r="B22" i="9"/>
  <c r="B23" i="9" s="1"/>
  <c r="B28" i="9"/>
  <c r="B29" i="9" l="1"/>
  <c r="G21" i="9"/>
  <c r="O62" i="13"/>
  <c r="AB15" i="13" s="1"/>
  <c r="AI15" i="13" s="1"/>
  <c r="AJ15" i="13" s="1"/>
  <c r="AC15" i="13"/>
  <c r="AA15" i="13"/>
  <c r="M62" i="13"/>
  <c r="Z15" i="13" s="1"/>
  <c r="AG15" i="13" s="1"/>
  <c r="AH15" i="13" s="1"/>
  <c r="AN15" i="13" s="1"/>
  <c r="AE15" i="13"/>
  <c r="Q62" i="13"/>
  <c r="AD15" i="13" s="1"/>
  <c r="AK15" i="13" s="1"/>
  <c r="AL15" i="13" s="1"/>
  <c r="AR15" i="13" s="1"/>
  <c r="B53" i="9"/>
  <c r="B74" i="9"/>
  <c r="B76" i="9" s="1"/>
  <c r="D72" i="9"/>
  <c r="D73" i="9" s="1"/>
  <c r="B73" i="9"/>
  <c r="D50" i="9"/>
  <c r="B27" i="9"/>
  <c r="G19" i="9"/>
  <c r="M21" i="7"/>
  <c r="M20" i="7"/>
  <c r="M19" i="7"/>
  <c r="M15" i="7"/>
  <c r="M14" i="7"/>
  <c r="M13" i="7"/>
  <c r="M12" i="7"/>
  <c r="AP15" i="13" l="1"/>
  <c r="J47" i="15"/>
  <c r="B47" i="15"/>
  <c r="C42" i="15"/>
  <c r="D42" i="15"/>
  <c r="E42" i="15"/>
  <c r="F42" i="15"/>
  <c r="G42" i="15"/>
  <c r="H42" i="15"/>
  <c r="I42" i="15"/>
  <c r="J42" i="15"/>
  <c r="K42" i="15"/>
  <c r="L42" i="15"/>
  <c r="M42" i="15"/>
  <c r="B42" i="15"/>
  <c r="J35" i="15"/>
  <c r="B35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J23" i="15"/>
  <c r="B23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J11" i="15"/>
  <c r="B11" i="15"/>
  <c r="P32" i="2"/>
  <c r="P34" i="2" s="1"/>
  <c r="P29" i="2"/>
  <c r="P31" i="2" s="1"/>
  <c r="C6" i="15"/>
  <c r="D6" i="15"/>
  <c r="E6" i="15"/>
  <c r="F6" i="15"/>
  <c r="G6" i="15"/>
  <c r="H6" i="15"/>
  <c r="I6" i="15"/>
  <c r="J6" i="15"/>
  <c r="K6" i="15"/>
  <c r="L6" i="15"/>
  <c r="M6" i="15"/>
  <c r="B6" i="15"/>
  <c r="H45" i="12"/>
  <c r="K45" i="12" s="1"/>
  <c r="H46" i="12"/>
  <c r="K46" i="12" s="1"/>
  <c r="H47" i="12"/>
  <c r="K47" i="12" s="1"/>
  <c r="H48" i="12"/>
  <c r="K48" i="12" s="1"/>
  <c r="H49" i="12"/>
  <c r="K49" i="12" s="1"/>
  <c r="H50" i="12"/>
  <c r="K50" i="12" s="1"/>
  <c r="H51" i="12"/>
  <c r="K51" i="12" s="1"/>
  <c r="H52" i="12"/>
  <c r="K52" i="12" s="1"/>
  <c r="H53" i="12"/>
  <c r="K53" i="12" s="1"/>
  <c r="H54" i="12"/>
  <c r="K54" i="12" s="1"/>
  <c r="H55" i="12"/>
  <c r="K55" i="12" s="1"/>
  <c r="H56" i="12"/>
  <c r="K56" i="12" s="1"/>
  <c r="H57" i="12"/>
  <c r="K57" i="12" s="1"/>
  <c r="H58" i="12"/>
  <c r="K58" i="12" s="1"/>
  <c r="H44" i="12"/>
  <c r="K44" i="12" s="1"/>
  <c r="H31" i="12"/>
  <c r="K31" i="12" s="1"/>
  <c r="H32" i="12"/>
  <c r="K32" i="12" s="1"/>
  <c r="H33" i="12"/>
  <c r="K33" i="12" s="1"/>
  <c r="H34" i="12"/>
  <c r="H35" i="12"/>
  <c r="K35" i="12" s="1"/>
  <c r="H36" i="12"/>
  <c r="K36" i="12" s="1"/>
  <c r="H37" i="12"/>
  <c r="K37" i="12" s="1"/>
  <c r="H38" i="12"/>
  <c r="K38" i="12" s="1"/>
  <c r="H39" i="12"/>
  <c r="K39" i="12" s="1"/>
  <c r="H40" i="12"/>
  <c r="K40" i="12" s="1"/>
  <c r="H41" i="12"/>
  <c r="K41" i="12" s="1"/>
  <c r="H42" i="12"/>
  <c r="K42" i="12" s="1"/>
  <c r="H43" i="12"/>
  <c r="K43" i="12" s="1"/>
  <c r="H30" i="12"/>
  <c r="K30" i="12" s="1"/>
  <c r="H29" i="12"/>
  <c r="H26" i="12"/>
  <c r="K26" i="12" s="1"/>
  <c r="H25" i="12"/>
  <c r="K25" i="12" s="1"/>
  <c r="H24" i="12"/>
  <c r="K24" i="12" s="1"/>
  <c r="H23" i="12"/>
  <c r="H21" i="12"/>
  <c r="H22" i="12"/>
  <c r="K22" i="12" s="1"/>
  <c r="H20" i="12"/>
  <c r="K20" i="12" s="1"/>
  <c r="H19" i="12"/>
  <c r="H18" i="12"/>
  <c r="H17" i="12"/>
  <c r="K17" i="12" s="1"/>
  <c r="H16" i="12"/>
  <c r="K16" i="12" s="1"/>
  <c r="H15" i="12"/>
  <c r="K15" i="12" s="1"/>
  <c r="H14" i="12"/>
  <c r="H13" i="12"/>
  <c r="K13" i="12" s="1"/>
  <c r="H12" i="12"/>
  <c r="K12" i="12" s="1"/>
  <c r="K18" i="12"/>
  <c r="R15" i="5"/>
  <c r="R16" i="5"/>
  <c r="I16" i="5"/>
  <c r="J16" i="5"/>
  <c r="K16" i="5"/>
  <c r="L16" i="5"/>
  <c r="R12" i="5"/>
  <c r="R13" i="5"/>
  <c r="H12" i="5"/>
  <c r="I12" i="5"/>
  <c r="J12" i="5"/>
  <c r="K12" i="5"/>
  <c r="L12" i="5"/>
  <c r="H13" i="5"/>
  <c r="I13" i="5"/>
  <c r="J13" i="5"/>
  <c r="K13" i="5"/>
  <c r="L13" i="5"/>
  <c r="I11" i="5"/>
  <c r="J11" i="5"/>
  <c r="K11" i="5"/>
  <c r="L11" i="5"/>
  <c r="I13" i="7"/>
  <c r="J13" i="7"/>
  <c r="K13" i="7"/>
  <c r="L13" i="7"/>
  <c r="Q13" i="7" s="1"/>
  <c r="G11" i="5" s="1"/>
  <c r="F10" i="15" l="1"/>
  <c r="D22" i="15"/>
  <c r="C34" i="15"/>
  <c r="M11" i="15"/>
  <c r="N11" i="15" s="1"/>
  <c r="M23" i="15"/>
  <c r="C10" i="15"/>
  <c r="E22" i="15"/>
  <c r="H34" i="15"/>
  <c r="T11" i="5"/>
  <c r="O13" i="7"/>
  <c r="E11" i="5" s="1"/>
  <c r="O11" i="5" s="1"/>
  <c r="S11" i="5"/>
  <c r="N13" i="7"/>
  <c r="D11" i="5" s="1"/>
  <c r="N11" i="5" s="1"/>
  <c r="V11" i="5"/>
  <c r="P13" i="7"/>
  <c r="F11" i="5" s="1"/>
  <c r="P11" i="5" s="1"/>
  <c r="P35" i="2"/>
  <c r="B21" i="15" s="1"/>
  <c r="G10" i="15"/>
  <c r="K21" i="12"/>
  <c r="K14" i="12"/>
  <c r="K34" i="12"/>
  <c r="M10" i="15"/>
  <c r="I10" i="15"/>
  <c r="E10" i="15"/>
  <c r="K22" i="15"/>
  <c r="G22" i="15"/>
  <c r="C22" i="15"/>
  <c r="B34" i="15"/>
  <c r="J34" i="15"/>
  <c r="F34" i="15"/>
  <c r="L46" i="15"/>
  <c r="H46" i="15"/>
  <c r="D46" i="15"/>
  <c r="K11" i="12"/>
  <c r="K29" i="12"/>
  <c r="L10" i="15"/>
  <c r="H10" i="15"/>
  <c r="D10" i="15"/>
  <c r="B22" i="15"/>
  <c r="J22" i="15"/>
  <c r="F22" i="15"/>
  <c r="M34" i="15"/>
  <c r="I34" i="15"/>
  <c r="E34" i="15"/>
  <c r="K46" i="15"/>
  <c r="G46" i="15"/>
  <c r="C46" i="15"/>
  <c r="K10" i="15"/>
  <c r="M22" i="15"/>
  <c r="I22" i="15"/>
  <c r="L34" i="15"/>
  <c r="D34" i="15"/>
  <c r="B46" i="15"/>
  <c r="J46" i="15"/>
  <c r="F46" i="15"/>
  <c r="B10" i="15"/>
  <c r="J10" i="15"/>
  <c r="L22" i="15"/>
  <c r="H22" i="15"/>
  <c r="K34" i="15"/>
  <c r="G34" i="15"/>
  <c r="M46" i="15"/>
  <c r="I46" i="15"/>
  <c r="E46" i="15"/>
  <c r="U11" i="5"/>
  <c r="Q11" i="5"/>
  <c r="M47" i="15"/>
  <c r="N47" i="15" s="1"/>
  <c r="M35" i="15"/>
  <c r="N35" i="15" s="1"/>
  <c r="N10" i="15" l="1"/>
  <c r="N34" i="15"/>
  <c r="N22" i="15"/>
  <c r="N46" i="15"/>
  <c r="N23" i="15"/>
  <c r="K19" i="12"/>
  <c r="K23" i="12"/>
  <c r="I14" i="7" l="1"/>
  <c r="N14" i="7" s="1"/>
  <c r="J14" i="7"/>
  <c r="O14" i="7" s="1"/>
  <c r="K14" i="7"/>
  <c r="P14" i="7" s="1"/>
  <c r="L14" i="7"/>
  <c r="Q14" i="7" s="1"/>
  <c r="I15" i="7"/>
  <c r="N15" i="7" s="1"/>
  <c r="J15" i="7"/>
  <c r="O15" i="7" s="1"/>
  <c r="K15" i="7"/>
  <c r="P15" i="7" s="1"/>
  <c r="L15" i="7"/>
  <c r="Q15" i="7" s="1"/>
  <c r="U13" i="5" l="1"/>
  <c r="T13" i="5"/>
  <c r="E13" i="5"/>
  <c r="O13" i="5" s="1"/>
  <c r="S13" i="5"/>
  <c r="V13" i="5"/>
  <c r="G29" i="2"/>
  <c r="L29" i="2" s="1"/>
  <c r="U12" i="5"/>
  <c r="E18" i="1"/>
  <c r="T12" i="5"/>
  <c r="D18" i="1"/>
  <c r="S12" i="5"/>
  <c r="V12" i="5"/>
  <c r="C18" i="1"/>
  <c r="C19" i="1"/>
  <c r="Q19" i="1"/>
  <c r="B19" i="1"/>
  <c r="Q18" i="1"/>
  <c r="B18" i="1"/>
  <c r="A18" i="1"/>
  <c r="G19" i="1"/>
  <c r="F19" i="1"/>
  <c r="D13" i="5"/>
  <c r="N13" i="5" s="1"/>
  <c r="G18" i="1"/>
  <c r="F18" i="1"/>
  <c r="H15" i="5"/>
  <c r="H16" i="5"/>
  <c r="I14" i="5"/>
  <c r="J14" i="5"/>
  <c r="K14" i="5"/>
  <c r="L14" i="5"/>
  <c r="R11" i="5"/>
  <c r="H11" i="5"/>
  <c r="N124" i="3"/>
  <c r="O124" i="3"/>
  <c r="D265" i="3" s="1"/>
  <c r="P124" i="3"/>
  <c r="D133" i="3" s="1"/>
  <c r="N125" i="3"/>
  <c r="D200" i="3" s="1"/>
  <c r="O125" i="3"/>
  <c r="D266" i="3" s="1"/>
  <c r="P125" i="3"/>
  <c r="N126" i="3"/>
  <c r="D201" i="3" s="1"/>
  <c r="O126" i="3"/>
  <c r="D267" i="3" s="1"/>
  <c r="P126" i="3"/>
  <c r="D135" i="3" s="1"/>
  <c r="N127" i="3"/>
  <c r="D202" i="3" s="1"/>
  <c r="O127" i="3"/>
  <c r="D268" i="3" s="1"/>
  <c r="P127" i="3"/>
  <c r="N128" i="3"/>
  <c r="D203" i="3" s="1"/>
  <c r="O128" i="3"/>
  <c r="D269" i="3" s="1"/>
  <c r="P128" i="3"/>
  <c r="D137" i="3" s="1"/>
  <c r="N129" i="3"/>
  <c r="D204" i="3" s="1"/>
  <c r="O129" i="3"/>
  <c r="D270" i="3" s="1"/>
  <c r="P129" i="3"/>
  <c r="D138" i="3" s="1"/>
  <c r="N116" i="3"/>
  <c r="D190" i="3" s="1"/>
  <c r="O116" i="3"/>
  <c r="D256" i="3" s="1"/>
  <c r="P116" i="3"/>
  <c r="D124" i="3" s="1"/>
  <c r="N117" i="3"/>
  <c r="D191" i="3" s="1"/>
  <c r="O117" i="3"/>
  <c r="D257" i="3" s="1"/>
  <c r="P117" i="3"/>
  <c r="D125" i="3" s="1"/>
  <c r="N118" i="3"/>
  <c r="D192" i="3" s="1"/>
  <c r="O118" i="3"/>
  <c r="D258" i="3" s="1"/>
  <c r="P118" i="3"/>
  <c r="D126" i="3" s="1"/>
  <c r="N119" i="3"/>
  <c r="D194" i="3" s="1"/>
  <c r="O119" i="3"/>
  <c r="D260" i="3" s="1"/>
  <c r="P119" i="3"/>
  <c r="D128" i="3" s="1"/>
  <c r="N120" i="3"/>
  <c r="D195" i="3" s="1"/>
  <c r="O120" i="3"/>
  <c r="D261" i="3" s="1"/>
  <c r="P120" i="3"/>
  <c r="D129" i="3" s="1"/>
  <c r="N121" i="3"/>
  <c r="D196" i="3" s="1"/>
  <c r="O121" i="3"/>
  <c r="D262" i="3" s="1"/>
  <c r="P121" i="3"/>
  <c r="D130" i="3" s="1"/>
  <c r="N107" i="3"/>
  <c r="D181" i="3" s="1"/>
  <c r="O107" i="3"/>
  <c r="D247" i="3" s="1"/>
  <c r="P107" i="3"/>
  <c r="D115" i="3" s="1"/>
  <c r="N108" i="3"/>
  <c r="D182" i="3" s="1"/>
  <c r="O108" i="3"/>
  <c r="D248" i="3" s="1"/>
  <c r="P108" i="3"/>
  <c r="D116" i="3" s="1"/>
  <c r="N109" i="3"/>
  <c r="D183" i="3" s="1"/>
  <c r="O109" i="3"/>
  <c r="D249" i="3"/>
  <c r="P109" i="3"/>
  <c r="D117" i="3" s="1"/>
  <c r="N110" i="3"/>
  <c r="D184" i="3" s="1"/>
  <c r="O110" i="3"/>
  <c r="D250" i="3" s="1"/>
  <c r="P110" i="3"/>
  <c r="D118" i="3" s="1"/>
  <c r="N111" i="3"/>
  <c r="D185" i="3" s="1"/>
  <c r="O111" i="3"/>
  <c r="D251" i="3" s="1"/>
  <c r="P111" i="3"/>
  <c r="D119" i="3" s="1"/>
  <c r="N112" i="3"/>
  <c r="D186" i="3" s="1"/>
  <c r="O112" i="3"/>
  <c r="D252" i="3" s="1"/>
  <c r="P112" i="3"/>
  <c r="D120" i="3" s="1"/>
  <c r="N113" i="3"/>
  <c r="D187" i="3" s="1"/>
  <c r="O113" i="3"/>
  <c r="D253" i="3" s="1"/>
  <c r="P113" i="3"/>
  <c r="D121" i="3" s="1"/>
  <c r="O104" i="3"/>
  <c r="D244" i="3" s="1"/>
  <c r="N83" i="3"/>
  <c r="D155" i="3" s="1"/>
  <c r="N84" i="3"/>
  <c r="D156" i="3" s="1"/>
  <c r="N85" i="3"/>
  <c r="D157" i="3" s="1"/>
  <c r="N86" i="3"/>
  <c r="D158" i="3" s="1"/>
  <c r="H158" i="3" s="1"/>
  <c r="N87" i="3"/>
  <c r="D159" i="3" s="1"/>
  <c r="N88" i="3"/>
  <c r="D160" i="3" s="1"/>
  <c r="N89" i="3"/>
  <c r="D161" i="3" s="1"/>
  <c r="N90" i="3"/>
  <c r="D162" i="3" s="1"/>
  <c r="N91" i="3"/>
  <c r="N92" i="3"/>
  <c r="D164" i="3" s="1"/>
  <c r="N93" i="3"/>
  <c r="D165" i="3" s="1"/>
  <c r="N94" i="3"/>
  <c r="D166" i="3" s="1"/>
  <c r="N95" i="3"/>
  <c r="D167" i="3" s="1"/>
  <c r="N96" i="3"/>
  <c r="D168" i="3" s="1"/>
  <c r="N97" i="3"/>
  <c r="D169" i="3" s="1"/>
  <c r="N98" i="3"/>
  <c r="O83" i="3"/>
  <c r="D221" i="3" s="1"/>
  <c r="O84" i="3"/>
  <c r="D222" i="3" s="1"/>
  <c r="O85" i="3"/>
  <c r="O86" i="3"/>
  <c r="D224" i="3" s="1"/>
  <c r="O87" i="3"/>
  <c r="D225" i="3" s="1"/>
  <c r="O88" i="3"/>
  <c r="D226" i="3" s="1"/>
  <c r="O89" i="3"/>
  <c r="D227" i="3" s="1"/>
  <c r="O90" i="3"/>
  <c r="D228" i="3" s="1"/>
  <c r="O91" i="3"/>
  <c r="D229" i="3" s="1"/>
  <c r="O92" i="3"/>
  <c r="D230" i="3" s="1"/>
  <c r="O93" i="3"/>
  <c r="O94" i="3"/>
  <c r="D232" i="3" s="1"/>
  <c r="O95" i="3"/>
  <c r="D233" i="3" s="1"/>
  <c r="O96" i="3"/>
  <c r="D234" i="3" s="1"/>
  <c r="O97" i="3"/>
  <c r="D235" i="3" s="1"/>
  <c r="O98" i="3"/>
  <c r="D236" i="3" s="1"/>
  <c r="P83" i="3"/>
  <c r="D89" i="3" s="1"/>
  <c r="P84" i="3"/>
  <c r="D90" i="3" s="1"/>
  <c r="P85" i="3"/>
  <c r="D91" i="3" s="1"/>
  <c r="P86" i="3"/>
  <c r="D92" i="3" s="1"/>
  <c r="P87" i="3"/>
  <c r="D93" i="3" s="1"/>
  <c r="P88" i="3"/>
  <c r="D94" i="3" s="1"/>
  <c r="P89" i="3"/>
  <c r="P90" i="3"/>
  <c r="D96" i="3" s="1"/>
  <c r="P91" i="3"/>
  <c r="D97" i="3" s="1"/>
  <c r="P92" i="3"/>
  <c r="D98" i="3" s="1"/>
  <c r="P93" i="3"/>
  <c r="D99" i="3" s="1"/>
  <c r="P94" i="3"/>
  <c r="D100" i="3" s="1"/>
  <c r="P95" i="3"/>
  <c r="D101" i="3" s="1"/>
  <c r="P96" i="3"/>
  <c r="D102" i="3" s="1"/>
  <c r="P97" i="3"/>
  <c r="D103" i="3" s="1"/>
  <c r="P98" i="3"/>
  <c r="D104" i="3" s="1"/>
  <c r="O123" i="3"/>
  <c r="D264" i="3" s="1"/>
  <c r="D223" i="3"/>
  <c r="H223" i="3" s="1"/>
  <c r="D231" i="3"/>
  <c r="O82" i="3"/>
  <c r="D220" i="3" s="1"/>
  <c r="G272" i="3"/>
  <c r="D271" i="3"/>
  <c r="G270" i="3"/>
  <c r="G269" i="3"/>
  <c r="G268" i="3"/>
  <c r="G267" i="3"/>
  <c r="G266" i="3"/>
  <c r="G265" i="3"/>
  <c r="G264" i="3"/>
  <c r="G262" i="3"/>
  <c r="G261" i="3"/>
  <c r="G260" i="3"/>
  <c r="G259" i="3"/>
  <c r="H259" i="3" s="1"/>
  <c r="G258" i="3"/>
  <c r="G257" i="3"/>
  <c r="G256" i="3"/>
  <c r="G255" i="3"/>
  <c r="G253" i="3"/>
  <c r="G252" i="3"/>
  <c r="G251" i="3"/>
  <c r="G250" i="3"/>
  <c r="G249" i="3"/>
  <c r="G248" i="3"/>
  <c r="G247" i="3"/>
  <c r="G246" i="3"/>
  <c r="G244" i="3"/>
  <c r="G243" i="3" s="1"/>
  <c r="G242" i="3"/>
  <c r="G241" i="3"/>
  <c r="G240" i="3"/>
  <c r="H240" i="3" s="1"/>
  <c r="G239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D199" i="3"/>
  <c r="N123" i="3"/>
  <c r="D198" i="3" s="1"/>
  <c r="G206" i="3"/>
  <c r="G205" i="3" s="1"/>
  <c r="N104" i="3"/>
  <c r="D178" i="3" s="1"/>
  <c r="D163" i="3"/>
  <c r="D170" i="3"/>
  <c r="N82" i="3"/>
  <c r="D154" i="3" s="1"/>
  <c r="D205" i="3"/>
  <c r="G204" i="3"/>
  <c r="G203" i="3"/>
  <c r="G202" i="3"/>
  <c r="G201" i="3"/>
  <c r="G200" i="3"/>
  <c r="G199" i="3"/>
  <c r="G198" i="3"/>
  <c r="G196" i="3"/>
  <c r="G195" i="3"/>
  <c r="G194" i="3"/>
  <c r="G192" i="3"/>
  <c r="G191" i="3"/>
  <c r="G190" i="3"/>
  <c r="G189" i="3"/>
  <c r="G187" i="3"/>
  <c r="G186" i="3"/>
  <c r="G185" i="3"/>
  <c r="G184" i="3"/>
  <c r="G183" i="3"/>
  <c r="G182" i="3"/>
  <c r="G181" i="3"/>
  <c r="G180" i="3"/>
  <c r="G178" i="3"/>
  <c r="G177" i="3" s="1"/>
  <c r="G176" i="3"/>
  <c r="G175" i="3"/>
  <c r="G174" i="3"/>
  <c r="H174" i="3" s="1"/>
  <c r="G173" i="3"/>
  <c r="H173" i="3" s="1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H153" i="3"/>
  <c r="G152" i="3"/>
  <c r="G151" i="3"/>
  <c r="H151" i="3" s="1"/>
  <c r="G149" i="3"/>
  <c r="H149" i="3" s="1"/>
  <c r="G148" i="3"/>
  <c r="H148" i="3" s="1"/>
  <c r="G147" i="3"/>
  <c r="H147" i="3" s="1"/>
  <c r="G146" i="3"/>
  <c r="D134" i="3"/>
  <c r="D136" i="3"/>
  <c r="P104" i="3"/>
  <c r="D112" i="3" s="1"/>
  <c r="D95" i="3"/>
  <c r="P82" i="3"/>
  <c r="D88" i="3"/>
  <c r="G17" i="3"/>
  <c r="H17" i="3" s="1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D65" i="3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6" i="3"/>
  <c r="H16" i="3" s="1"/>
  <c r="G15" i="3"/>
  <c r="G14" i="3"/>
  <c r="D29" i="2"/>
  <c r="I29" i="2" s="1"/>
  <c r="I30" i="2"/>
  <c r="D30" i="2" s="1"/>
  <c r="J30" i="2"/>
  <c r="E30" i="2" s="1"/>
  <c r="K30" i="2"/>
  <c r="F30" i="2" s="1"/>
  <c r="L30" i="2"/>
  <c r="G30" i="2" s="1"/>
  <c r="H29" i="2"/>
  <c r="M29" i="2" s="1"/>
  <c r="M30" i="2"/>
  <c r="H30" i="2" s="1"/>
  <c r="D32" i="2"/>
  <c r="I32" i="2" s="1"/>
  <c r="I33" i="2"/>
  <c r="D33" i="2" s="1"/>
  <c r="E32" i="2"/>
  <c r="J33" i="2"/>
  <c r="E33" i="2" s="1"/>
  <c r="K33" i="2"/>
  <c r="F33" i="2" s="1"/>
  <c r="G32" i="2"/>
  <c r="L32" i="2" s="1"/>
  <c r="L33" i="2"/>
  <c r="G33" i="2" s="1"/>
  <c r="H32" i="2"/>
  <c r="M32" i="2" s="1"/>
  <c r="M33" i="2"/>
  <c r="H33" i="2" s="1"/>
  <c r="J37" i="2"/>
  <c r="E37" i="2" s="1"/>
  <c r="K37" i="2"/>
  <c r="F37" i="2" s="1"/>
  <c r="L37" i="2"/>
  <c r="G37" i="2" s="1"/>
  <c r="M37" i="2"/>
  <c r="I37" i="2"/>
  <c r="H30" i="7"/>
  <c r="E12" i="5"/>
  <c r="O12" i="5" s="1"/>
  <c r="F12" i="5"/>
  <c r="P12" i="5" s="1"/>
  <c r="A12" i="5"/>
  <c r="B12" i="5"/>
  <c r="C12" i="5"/>
  <c r="M12" i="5" s="1"/>
  <c r="G12" i="5"/>
  <c r="Q12" i="5" s="1"/>
  <c r="B13" i="5"/>
  <c r="C13" i="5"/>
  <c r="M13" i="5" s="1"/>
  <c r="P123" i="3"/>
  <c r="D132" i="3" s="1"/>
  <c r="P115" i="3"/>
  <c r="D123" i="3" s="1"/>
  <c r="O115" i="3"/>
  <c r="D255" i="3" s="1"/>
  <c r="N115" i="3"/>
  <c r="D189" i="3" s="1"/>
  <c r="N106" i="3"/>
  <c r="D180" i="3" s="1"/>
  <c r="O106" i="3"/>
  <c r="D246" i="3" s="1"/>
  <c r="P106" i="3"/>
  <c r="D114" i="3" s="1"/>
  <c r="H114" i="3" s="1"/>
  <c r="A12" i="3"/>
  <c r="A78" i="3"/>
  <c r="N102" i="3"/>
  <c r="D176" i="3" s="1"/>
  <c r="P102" i="3"/>
  <c r="D110" i="3" s="1"/>
  <c r="P101" i="3"/>
  <c r="D109" i="3" s="1"/>
  <c r="O102" i="3"/>
  <c r="D242" i="3" s="1"/>
  <c r="H242" i="3" s="1"/>
  <c r="O101" i="3"/>
  <c r="D241" i="3" s="1"/>
  <c r="N101" i="3"/>
  <c r="D175" i="3" s="1"/>
  <c r="G140" i="3"/>
  <c r="H140" i="3" s="1"/>
  <c r="H139" i="3" s="1"/>
  <c r="D139" i="3"/>
  <c r="G138" i="3"/>
  <c r="G137" i="3"/>
  <c r="G136" i="3"/>
  <c r="G135" i="3"/>
  <c r="G134" i="3"/>
  <c r="G133" i="3"/>
  <c r="G132" i="3"/>
  <c r="G130" i="3"/>
  <c r="G129" i="3"/>
  <c r="G128" i="3"/>
  <c r="G126" i="3"/>
  <c r="G125" i="3"/>
  <c r="G124" i="3"/>
  <c r="G123" i="3"/>
  <c r="G121" i="3"/>
  <c r="H121" i="3" s="1"/>
  <c r="G120" i="3"/>
  <c r="G119" i="3"/>
  <c r="G118" i="3"/>
  <c r="G117" i="3"/>
  <c r="G116" i="3"/>
  <c r="G115" i="3"/>
  <c r="G114" i="3"/>
  <c r="G112" i="3"/>
  <c r="G111" i="3" s="1"/>
  <c r="G110" i="3"/>
  <c r="G109" i="3"/>
  <c r="G108" i="3"/>
  <c r="H108" i="3" s="1"/>
  <c r="G107" i="3"/>
  <c r="H107" i="3" s="1"/>
  <c r="G104" i="3"/>
  <c r="H104" i="3" s="1"/>
  <c r="G103" i="3"/>
  <c r="G102" i="3"/>
  <c r="G101" i="3"/>
  <c r="G100" i="3"/>
  <c r="H100" i="3" s="1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G85" i="3"/>
  <c r="H85" i="3" s="1"/>
  <c r="G83" i="3"/>
  <c r="H83" i="3" s="1"/>
  <c r="G82" i="3"/>
  <c r="H82" i="3" s="1"/>
  <c r="G81" i="3"/>
  <c r="H81" i="3" s="1"/>
  <c r="G80" i="3"/>
  <c r="J43" i="2"/>
  <c r="E43" i="2" s="1"/>
  <c r="K43" i="2"/>
  <c r="F43" i="2" s="1"/>
  <c r="L43" i="2"/>
  <c r="G43" i="2" s="1"/>
  <c r="M43" i="2"/>
  <c r="H43" i="2" s="1"/>
  <c r="G13" i="5"/>
  <c r="Q13" i="5" s="1"/>
  <c r="F13" i="5"/>
  <c r="P13" i="5" s="1"/>
  <c r="C17" i="1"/>
  <c r="D12" i="5"/>
  <c r="N12" i="5" s="1"/>
  <c r="A10" i="2"/>
  <c r="A29" i="7"/>
  <c r="B29" i="7"/>
  <c r="H29" i="7"/>
  <c r="B30" i="7"/>
  <c r="B32" i="2" s="1"/>
  <c r="B29" i="2"/>
  <c r="A22" i="2"/>
  <c r="A8" i="15" s="1"/>
  <c r="I12" i="7"/>
  <c r="C10" i="5"/>
  <c r="H35" i="7"/>
  <c r="Q16" i="1"/>
  <c r="R14" i="5"/>
  <c r="R10" i="5"/>
  <c r="H14" i="5"/>
  <c r="J10" i="5"/>
  <c r="K10" i="5"/>
  <c r="L10" i="5"/>
  <c r="B44" i="12"/>
  <c r="B29" i="12"/>
  <c r="D41" i="2"/>
  <c r="D38" i="2"/>
  <c r="I23" i="2"/>
  <c r="D23" i="2" s="1"/>
  <c r="C16" i="5"/>
  <c r="C15" i="5"/>
  <c r="M15" i="5" s="1"/>
  <c r="I36" i="2"/>
  <c r="F41" i="2"/>
  <c r="K41" i="2"/>
  <c r="L21" i="7"/>
  <c r="K21" i="7"/>
  <c r="J21" i="7"/>
  <c r="O21" i="7" s="1"/>
  <c r="I21" i="7"/>
  <c r="L19" i="7"/>
  <c r="K19" i="7"/>
  <c r="J19" i="7"/>
  <c r="I19" i="7"/>
  <c r="C11" i="5"/>
  <c r="L12" i="7"/>
  <c r="K12" i="7"/>
  <c r="P12" i="7" s="1"/>
  <c r="P22" i="2"/>
  <c r="P24" i="2" s="1"/>
  <c r="E17" i="1"/>
  <c r="G17" i="1"/>
  <c r="D17" i="1"/>
  <c r="F17" i="1"/>
  <c r="P25" i="2"/>
  <c r="P27" i="2" s="1"/>
  <c r="K26" i="2"/>
  <c r="F26" i="2" s="1"/>
  <c r="K23" i="2"/>
  <c r="F23" i="2" s="1"/>
  <c r="J12" i="7"/>
  <c r="O12" i="7" s="1"/>
  <c r="H27" i="7"/>
  <c r="K25" i="2"/>
  <c r="F25" i="2" s="1"/>
  <c r="E4" i="12"/>
  <c r="B11" i="12"/>
  <c r="I43" i="2"/>
  <c r="I40" i="2"/>
  <c r="H37" i="2"/>
  <c r="B42" i="2"/>
  <c r="B39" i="2"/>
  <c r="B36" i="2"/>
  <c r="J26" i="2"/>
  <c r="E26" i="2" s="1"/>
  <c r="L26" i="2"/>
  <c r="G26" i="2" s="1"/>
  <c r="M26" i="2"/>
  <c r="H26" i="2" s="1"/>
  <c r="I26" i="2"/>
  <c r="D26" i="2" s="1"/>
  <c r="J23" i="2"/>
  <c r="E23" i="2" s="1"/>
  <c r="L23" i="2"/>
  <c r="G23" i="2" s="1"/>
  <c r="M23" i="2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H36" i="7"/>
  <c r="B36" i="7"/>
  <c r="B35" i="7"/>
  <c r="H34" i="7"/>
  <c r="B34" i="7"/>
  <c r="A34" i="7"/>
  <c r="M25" i="2"/>
  <c r="H25" i="2" s="1"/>
  <c r="H28" i="7"/>
  <c r="A27" i="7"/>
  <c r="B28" i="7"/>
  <c r="B27" i="7"/>
  <c r="A16" i="1"/>
  <c r="C8" i="2"/>
  <c r="B8" i="2"/>
  <c r="M41" i="2"/>
  <c r="H41" i="2"/>
  <c r="H23" i="2"/>
  <c r="L41" i="2"/>
  <c r="L25" i="2"/>
  <c r="L27" i="2" s="1"/>
  <c r="G41" i="2"/>
  <c r="Q17" i="1"/>
  <c r="Q23" i="1"/>
  <c r="Q24" i="1"/>
  <c r="Q25" i="1"/>
  <c r="G4" i="5"/>
  <c r="D4" i="1"/>
  <c r="B10" i="5"/>
  <c r="A10" i="5"/>
  <c r="A9" i="2"/>
  <c r="D44" i="2"/>
  <c r="A9" i="5"/>
  <c r="B9" i="5"/>
  <c r="J41" i="2"/>
  <c r="J25" i="2"/>
  <c r="E25" i="2" s="1"/>
  <c r="E41" i="2"/>
  <c r="H134" i="3" l="1"/>
  <c r="H88" i="3"/>
  <c r="H266" i="3"/>
  <c r="M31" i="2"/>
  <c r="H92" i="3"/>
  <c r="H180" i="3"/>
  <c r="H96" i="3"/>
  <c r="M11" i="5"/>
  <c r="I30" i="7"/>
  <c r="H196" i="3"/>
  <c r="H258" i="3"/>
  <c r="N41" i="2"/>
  <c r="B12" i="2" s="1"/>
  <c r="H206" i="3"/>
  <c r="H205" i="3" s="1"/>
  <c r="H226" i="3"/>
  <c r="K19" i="1"/>
  <c r="L19" i="1"/>
  <c r="I18" i="1"/>
  <c r="K17" i="1"/>
  <c r="I17" i="1"/>
  <c r="J17" i="1"/>
  <c r="H120" i="3"/>
  <c r="H99" i="3"/>
  <c r="H110" i="3"/>
  <c r="H138" i="3"/>
  <c r="H176" i="3"/>
  <c r="I34" i="2"/>
  <c r="H46" i="3"/>
  <c r="H45" i="3" s="1"/>
  <c r="G172" i="3"/>
  <c r="H202" i="3"/>
  <c r="H250" i="3"/>
  <c r="K18" i="1"/>
  <c r="H194" i="3"/>
  <c r="H224" i="3"/>
  <c r="H232" i="3"/>
  <c r="H231" i="3"/>
  <c r="H222" i="3"/>
  <c r="H117" i="3"/>
  <c r="L18" i="1"/>
  <c r="H162" i="3"/>
  <c r="G139" i="3"/>
  <c r="G113" i="3"/>
  <c r="H103" i="3"/>
  <c r="H221" i="3"/>
  <c r="H255" i="3"/>
  <c r="H264" i="3"/>
  <c r="P28" i="2"/>
  <c r="B9" i="15" s="1"/>
  <c r="M16" i="5"/>
  <c r="U16" i="5"/>
  <c r="P21" i="7"/>
  <c r="S16" i="5"/>
  <c r="N21" i="7"/>
  <c r="V16" i="5"/>
  <c r="Q21" i="7"/>
  <c r="U14" i="5"/>
  <c r="P19" i="7"/>
  <c r="F14" i="5" s="1"/>
  <c r="P14" i="5" s="1"/>
  <c r="Q19" i="7"/>
  <c r="G14" i="5" s="1"/>
  <c r="Q14" i="5" s="1"/>
  <c r="N19" i="7"/>
  <c r="J36" i="2" s="1"/>
  <c r="O19" i="7"/>
  <c r="E14" i="5" s="1"/>
  <c r="O14" i="5" s="1"/>
  <c r="V10" i="5"/>
  <c r="Q12" i="7"/>
  <c r="N12" i="7"/>
  <c r="J22" i="2" s="1"/>
  <c r="D41" i="15"/>
  <c r="H41" i="15"/>
  <c r="L41" i="15"/>
  <c r="E41" i="15"/>
  <c r="I41" i="15"/>
  <c r="M41" i="15"/>
  <c r="F41" i="15"/>
  <c r="J41" i="15"/>
  <c r="B41" i="15"/>
  <c r="C41" i="15"/>
  <c r="G41" i="15"/>
  <c r="K41" i="15"/>
  <c r="E34" i="2"/>
  <c r="L34" i="2"/>
  <c r="I31" i="2"/>
  <c r="I28" i="7"/>
  <c r="F17" i="15"/>
  <c r="J17" i="15"/>
  <c r="D17" i="15"/>
  <c r="F127" i="3"/>
  <c r="G127" i="3" s="1"/>
  <c r="H127" i="3" s="1"/>
  <c r="G17" i="15"/>
  <c r="H17" i="15"/>
  <c r="L17" i="15"/>
  <c r="E17" i="15"/>
  <c r="I17" i="15"/>
  <c r="M17" i="15"/>
  <c r="K17" i="15"/>
  <c r="F32" i="2"/>
  <c r="K32" i="2" s="1"/>
  <c r="K34" i="2" s="1"/>
  <c r="F29" i="2"/>
  <c r="K29" i="2" s="1"/>
  <c r="K31" i="2" s="1"/>
  <c r="H89" i="3"/>
  <c r="D84" i="3"/>
  <c r="D113" i="3"/>
  <c r="H160" i="3"/>
  <c r="H252" i="3"/>
  <c r="H191" i="3"/>
  <c r="H90" i="3"/>
  <c r="H94" i="3"/>
  <c r="H169" i="3"/>
  <c r="H198" i="3"/>
  <c r="H265" i="3"/>
  <c r="H97" i="3"/>
  <c r="H233" i="3"/>
  <c r="H225" i="3"/>
  <c r="H248" i="3"/>
  <c r="H74" i="3"/>
  <c r="H73" i="3" s="1"/>
  <c r="G145" i="3"/>
  <c r="H166" i="3"/>
  <c r="H187" i="3"/>
  <c r="H156" i="3"/>
  <c r="H98" i="3"/>
  <c r="H116" i="3"/>
  <c r="H234" i="3"/>
  <c r="H253" i="3"/>
  <c r="H257" i="3"/>
  <c r="H101" i="3"/>
  <c r="H93" i="3"/>
  <c r="H229" i="3"/>
  <c r="H186" i="3"/>
  <c r="H249" i="3"/>
  <c r="H91" i="3"/>
  <c r="H190" i="3"/>
  <c r="H247" i="3"/>
  <c r="H227" i="3"/>
  <c r="H251" i="3"/>
  <c r="H183" i="3"/>
  <c r="H256" i="3"/>
  <c r="H267" i="3"/>
  <c r="E16" i="5"/>
  <c r="O16" i="5" s="1"/>
  <c r="T16" i="5"/>
  <c r="E19" i="1"/>
  <c r="J19" i="1" s="1"/>
  <c r="D34" i="2"/>
  <c r="E29" i="2"/>
  <c r="J29" i="2" s="1"/>
  <c r="J31" i="2" s="1"/>
  <c r="C16" i="1"/>
  <c r="H16" i="1" s="1"/>
  <c r="I22" i="2"/>
  <c r="D22" i="2" s="1"/>
  <c r="D24" i="2" s="1"/>
  <c r="H192" i="3"/>
  <c r="I36" i="7"/>
  <c r="L31" i="2"/>
  <c r="H27" i="2"/>
  <c r="M10" i="5"/>
  <c r="B19" i="12"/>
  <c r="A29" i="2"/>
  <c r="A20" i="15" s="1"/>
  <c r="D245" i="3"/>
  <c r="G40" i="3"/>
  <c r="H42" i="3"/>
  <c r="H40" i="3" s="1"/>
  <c r="H57" i="3"/>
  <c r="H125" i="3"/>
  <c r="D45" i="2"/>
  <c r="H86" i="3"/>
  <c r="G84" i="3"/>
  <c r="H47" i="3"/>
  <c r="H65" i="3"/>
  <c r="E16" i="1"/>
  <c r="J16" i="1" s="1"/>
  <c r="T10" i="5"/>
  <c r="T14" i="5"/>
  <c r="G13" i="3"/>
  <c r="H15" i="3"/>
  <c r="D111" i="3"/>
  <c r="H112" i="3"/>
  <c r="H111" i="3" s="1"/>
  <c r="H152" i="3"/>
  <c r="G150" i="3"/>
  <c r="G144" i="3" s="1"/>
  <c r="H163" i="3"/>
  <c r="G211" i="3"/>
  <c r="H102" i="3"/>
  <c r="G238" i="3"/>
  <c r="G263" i="3"/>
  <c r="H230" i="3"/>
  <c r="H270" i="3"/>
  <c r="H159" i="3"/>
  <c r="H185" i="3"/>
  <c r="H182" i="3"/>
  <c r="H130" i="3"/>
  <c r="H201" i="3"/>
  <c r="H136" i="3"/>
  <c r="H109" i="3"/>
  <c r="H106" i="3" s="1"/>
  <c r="M34" i="2"/>
  <c r="M35" i="2" s="1"/>
  <c r="H129" i="3"/>
  <c r="H167" i="3"/>
  <c r="H239" i="3"/>
  <c r="H228" i="3"/>
  <c r="H118" i="3"/>
  <c r="H262" i="3"/>
  <c r="H261" i="3"/>
  <c r="H269" i="3"/>
  <c r="H19" i="1"/>
  <c r="J27" i="2"/>
  <c r="I38" i="2"/>
  <c r="H115" i="3"/>
  <c r="H119" i="3"/>
  <c r="H124" i="3"/>
  <c r="H128" i="3"/>
  <c r="H133" i="3"/>
  <c r="H137" i="3"/>
  <c r="H126" i="3"/>
  <c r="H170" i="3"/>
  <c r="H184" i="3"/>
  <c r="H204" i="3"/>
  <c r="H165" i="3"/>
  <c r="H157" i="3"/>
  <c r="H195" i="3"/>
  <c r="H203" i="3"/>
  <c r="H268" i="3"/>
  <c r="H135" i="3"/>
  <c r="J32" i="2"/>
  <c r="J34" i="2" s="1"/>
  <c r="V14" i="5"/>
  <c r="K36" i="2"/>
  <c r="S14" i="5"/>
  <c r="L22" i="2"/>
  <c r="G22" i="2" s="1"/>
  <c r="G24" i="2" s="1"/>
  <c r="F16" i="1"/>
  <c r="K16" i="1" s="1"/>
  <c r="F10" i="5"/>
  <c r="P10" i="5" s="1"/>
  <c r="U10" i="5"/>
  <c r="S10" i="5"/>
  <c r="K27" i="2"/>
  <c r="G34" i="2"/>
  <c r="H34" i="2"/>
  <c r="I25" i="2"/>
  <c r="I39" i="2"/>
  <c r="I41" i="2" s="1"/>
  <c r="C23" i="1"/>
  <c r="H23" i="1" s="1"/>
  <c r="C24" i="1"/>
  <c r="H24" i="1" s="1"/>
  <c r="I42" i="2"/>
  <c r="I44" i="2" s="1"/>
  <c r="L29" i="12"/>
  <c r="D146" i="3" s="1"/>
  <c r="L11" i="12"/>
  <c r="G25" i="2"/>
  <c r="G27" i="2" s="1"/>
  <c r="F27" i="2"/>
  <c r="L19" i="12"/>
  <c r="D80" i="3" s="1"/>
  <c r="M27" i="2"/>
  <c r="C14" i="5"/>
  <c r="M14" i="5" s="1"/>
  <c r="C25" i="1"/>
  <c r="H25" i="1" s="1"/>
  <c r="L44" i="12"/>
  <c r="H175" i="3"/>
  <c r="D172" i="3"/>
  <c r="H132" i="3"/>
  <c r="D131" i="3"/>
  <c r="E27" i="2"/>
  <c r="L17" i="1"/>
  <c r="H17" i="1"/>
  <c r="D122" i="3"/>
  <c r="H123" i="3"/>
  <c r="P45" i="2"/>
  <c r="H199" i="3"/>
  <c r="D197" i="3"/>
  <c r="G271" i="3"/>
  <c r="H272" i="3"/>
  <c r="H271" i="3" s="1"/>
  <c r="H260" i="3"/>
  <c r="G31" i="2"/>
  <c r="G216" i="3"/>
  <c r="H246" i="3"/>
  <c r="G254" i="3"/>
  <c r="H220" i="3"/>
  <c r="D216" i="3"/>
  <c r="D243" i="3"/>
  <c r="H244" i="3"/>
  <c r="H243" i="3" s="1"/>
  <c r="G106" i="3"/>
  <c r="G79" i="3"/>
  <c r="D238" i="3"/>
  <c r="H241" i="3"/>
  <c r="D39" i="3"/>
  <c r="H95" i="3"/>
  <c r="G197" i="3"/>
  <c r="H178" i="3"/>
  <c r="H177" i="3" s="1"/>
  <c r="D177" i="3"/>
  <c r="D263" i="3"/>
  <c r="H168" i="3"/>
  <c r="H164" i="3"/>
  <c r="D10" i="2"/>
  <c r="D19" i="1"/>
  <c r="I19" i="1" s="1"/>
  <c r="G131" i="3"/>
  <c r="D179" i="3"/>
  <c r="H31" i="2"/>
  <c r="D31" i="2"/>
  <c r="D106" i="3"/>
  <c r="H154" i="3"/>
  <c r="D150" i="3"/>
  <c r="H181" i="3"/>
  <c r="H235" i="3"/>
  <c r="H200" i="3"/>
  <c r="H189" i="3"/>
  <c r="D188" i="3"/>
  <c r="H19" i="3"/>
  <c r="H18" i="3" s="1"/>
  <c r="G18" i="3"/>
  <c r="G47" i="3"/>
  <c r="G179" i="3"/>
  <c r="H161" i="3"/>
  <c r="H236" i="3"/>
  <c r="H155" i="3"/>
  <c r="J18" i="1"/>
  <c r="D254" i="3"/>
  <c r="G65" i="3"/>
  <c r="G245" i="3"/>
  <c r="H18" i="1"/>
  <c r="D9" i="2" l="1"/>
  <c r="K35" i="2"/>
  <c r="H113" i="3"/>
  <c r="H172" i="3"/>
  <c r="G122" i="3"/>
  <c r="D14" i="5"/>
  <c r="N14" i="5" s="1"/>
  <c r="I35" i="2"/>
  <c r="M36" i="2"/>
  <c r="M38" i="2" s="1"/>
  <c r="F34" i="2"/>
  <c r="N34" i="2" s="1"/>
  <c r="D10" i="5"/>
  <c r="N10" i="5" s="1"/>
  <c r="E36" i="2"/>
  <c r="E38" i="2" s="1"/>
  <c r="J38" i="2"/>
  <c r="D23" i="1"/>
  <c r="I23" i="1" s="1"/>
  <c r="G23" i="1"/>
  <c r="L23" i="1" s="1"/>
  <c r="E23" i="1"/>
  <c r="J23" i="1" s="1"/>
  <c r="L35" i="2"/>
  <c r="D16" i="1"/>
  <c r="I16" i="1" s="1"/>
  <c r="I24" i="2"/>
  <c r="E29" i="15"/>
  <c r="I29" i="15"/>
  <c r="M29" i="15"/>
  <c r="F29" i="15"/>
  <c r="J29" i="15"/>
  <c r="D29" i="15"/>
  <c r="B29" i="15"/>
  <c r="G29" i="15"/>
  <c r="K29" i="15"/>
  <c r="F193" i="3"/>
  <c r="G193" i="3" s="1"/>
  <c r="C29" i="15"/>
  <c r="H29" i="15"/>
  <c r="L29" i="15"/>
  <c r="F5" i="15"/>
  <c r="J5" i="15"/>
  <c r="D5" i="15"/>
  <c r="K5" i="15"/>
  <c r="H5" i="15"/>
  <c r="L5" i="15"/>
  <c r="F61" i="3"/>
  <c r="G61" i="3" s="1"/>
  <c r="E5" i="15"/>
  <c r="I5" i="15"/>
  <c r="M5" i="15"/>
  <c r="G5" i="15"/>
  <c r="H254" i="3"/>
  <c r="F31" i="2"/>
  <c r="E31" i="2"/>
  <c r="E35" i="2" s="1"/>
  <c r="O31" i="2"/>
  <c r="E10" i="5"/>
  <c r="O10" i="5" s="1"/>
  <c r="H84" i="3"/>
  <c r="H245" i="3"/>
  <c r="H179" i="3"/>
  <c r="H263" i="3"/>
  <c r="G210" i="3"/>
  <c r="M42" i="2"/>
  <c r="M44" i="2" s="1"/>
  <c r="G16" i="5"/>
  <c r="Q16" i="5" s="1"/>
  <c r="J42" i="2"/>
  <c r="J44" i="2" s="1"/>
  <c r="D16" i="5"/>
  <c r="N16" i="5" s="1"/>
  <c r="L42" i="2"/>
  <c r="L44" i="2" s="1"/>
  <c r="F16" i="5"/>
  <c r="P16" i="5" s="1"/>
  <c r="F23" i="1"/>
  <c r="K23" i="1" s="1"/>
  <c r="D212" i="3"/>
  <c r="H212" i="3" s="1"/>
  <c r="H211" i="3" s="1"/>
  <c r="L59" i="12"/>
  <c r="O34" i="2"/>
  <c r="P46" i="2"/>
  <c r="G12" i="3"/>
  <c r="G78" i="3"/>
  <c r="H122" i="3"/>
  <c r="J35" i="2"/>
  <c r="K22" i="2"/>
  <c r="F22" i="2" s="1"/>
  <c r="F24" i="2" s="1"/>
  <c r="F28" i="2" s="1"/>
  <c r="G237" i="3"/>
  <c r="J272" i="3"/>
  <c r="H150" i="3"/>
  <c r="H197" i="3"/>
  <c r="D105" i="3"/>
  <c r="H238" i="3"/>
  <c r="H131" i="3"/>
  <c r="G28" i="2"/>
  <c r="L24" i="2"/>
  <c r="L28" i="2" s="1"/>
  <c r="F25" i="1"/>
  <c r="K25" i="1" s="1"/>
  <c r="L36" i="2"/>
  <c r="L38" i="2" s="1"/>
  <c r="F36" i="2"/>
  <c r="F38" i="2" s="1"/>
  <c r="F45" i="2" s="1"/>
  <c r="K38" i="2"/>
  <c r="D25" i="1"/>
  <c r="I25" i="1" s="1"/>
  <c r="G25" i="1"/>
  <c r="L25" i="1" s="1"/>
  <c r="E22" i="2"/>
  <c r="E24" i="2" s="1"/>
  <c r="E28" i="2" s="1"/>
  <c r="J24" i="2"/>
  <c r="J28" i="2" s="1"/>
  <c r="O41" i="2"/>
  <c r="I45" i="2"/>
  <c r="H35" i="2"/>
  <c r="G35" i="2"/>
  <c r="D25" i="2"/>
  <c r="D27" i="2" s="1"/>
  <c r="D28" i="2" s="1"/>
  <c r="I27" i="2"/>
  <c r="K42" i="2"/>
  <c r="E25" i="1"/>
  <c r="J25" i="1" s="1"/>
  <c r="D237" i="3"/>
  <c r="M22" i="2"/>
  <c r="G10" i="5"/>
  <c r="Q10" i="5" s="1"/>
  <c r="G16" i="1"/>
  <c r="L16" i="1" s="1"/>
  <c r="D35" i="2"/>
  <c r="J140" i="3"/>
  <c r="H80" i="3"/>
  <c r="H79" i="3" s="1"/>
  <c r="D79" i="3"/>
  <c r="D78" i="3" s="1"/>
  <c r="D14" i="3"/>
  <c r="D13" i="2"/>
  <c r="G105" i="3"/>
  <c r="H216" i="3"/>
  <c r="D171" i="3"/>
  <c r="H146" i="3"/>
  <c r="H145" i="3" s="1"/>
  <c r="D145" i="3"/>
  <c r="D144" i="3" s="1"/>
  <c r="O35" i="2" l="1"/>
  <c r="L21" i="15" s="1"/>
  <c r="H36" i="2"/>
  <c r="H38" i="2" s="1"/>
  <c r="G273" i="3"/>
  <c r="G141" i="3"/>
  <c r="H105" i="3"/>
  <c r="H144" i="3"/>
  <c r="H78" i="3"/>
  <c r="I28" i="2"/>
  <c r="I46" i="2" s="1"/>
  <c r="E42" i="2"/>
  <c r="E44" i="2" s="1"/>
  <c r="E45" i="2" s="1"/>
  <c r="E46" i="2" s="1"/>
  <c r="F35" i="2"/>
  <c r="F46" i="2" s="1"/>
  <c r="J45" i="2"/>
  <c r="J46" i="2" s="1"/>
  <c r="N31" i="2"/>
  <c r="N35" i="2" s="1"/>
  <c r="H193" i="3"/>
  <c r="G188" i="3"/>
  <c r="G171" i="3" s="1"/>
  <c r="G207" i="3" s="1"/>
  <c r="H61" i="3"/>
  <c r="G56" i="3"/>
  <c r="G39" i="3" s="1"/>
  <c r="G75" i="3" s="1"/>
  <c r="D207" i="3"/>
  <c r="K24" i="2"/>
  <c r="K28" i="2" s="1"/>
  <c r="D211" i="3"/>
  <c r="D210" i="3" s="1"/>
  <c r="D273" i="3" s="1"/>
  <c r="H237" i="3"/>
  <c r="L45" i="2"/>
  <c r="L46" i="2" s="1"/>
  <c r="H42" i="2"/>
  <c r="H44" i="2" s="1"/>
  <c r="H45" i="2" s="1"/>
  <c r="G42" i="2"/>
  <c r="G44" i="2" s="1"/>
  <c r="C12" i="2"/>
  <c r="E12" i="2" s="1"/>
  <c r="C45" i="15"/>
  <c r="G45" i="15"/>
  <c r="K45" i="15"/>
  <c r="D45" i="15"/>
  <c r="H45" i="15"/>
  <c r="L45" i="15"/>
  <c r="E45" i="15"/>
  <c r="I45" i="15"/>
  <c r="M45" i="15"/>
  <c r="F45" i="15"/>
  <c r="J45" i="15"/>
  <c r="B45" i="15"/>
  <c r="C10" i="2"/>
  <c r="H21" i="15"/>
  <c r="I21" i="15"/>
  <c r="M21" i="15"/>
  <c r="F21" i="15"/>
  <c r="E21" i="15"/>
  <c r="G21" i="15"/>
  <c r="K21" i="15"/>
  <c r="Q34" i="2"/>
  <c r="D141" i="3"/>
  <c r="G36" i="2"/>
  <c r="G38" i="2" s="1"/>
  <c r="Q41" i="2"/>
  <c r="N27" i="2"/>
  <c r="D46" i="2"/>
  <c r="O27" i="2"/>
  <c r="F42" i="2"/>
  <c r="K44" i="2"/>
  <c r="M45" i="2"/>
  <c r="O38" i="2"/>
  <c r="D13" i="3"/>
  <c r="D12" i="3" s="1"/>
  <c r="D75" i="3" s="1"/>
  <c r="H14" i="3"/>
  <c r="H13" i="3" s="1"/>
  <c r="H12" i="3" s="1"/>
  <c r="H22" i="2"/>
  <c r="H24" i="2" s="1"/>
  <c r="M24" i="2"/>
  <c r="H210" i="3"/>
  <c r="J21" i="15" l="1"/>
  <c r="Q31" i="2"/>
  <c r="Q35" i="2" s="1"/>
  <c r="H141" i="3"/>
  <c r="K24" i="15" s="1"/>
  <c r="K25" i="15" s="1"/>
  <c r="G45" i="2"/>
  <c r="G46" i="2" s="1"/>
  <c r="J206" i="3"/>
  <c r="H188" i="3"/>
  <c r="H171" i="3" s="1"/>
  <c r="H207" i="3" s="1"/>
  <c r="H56" i="3"/>
  <c r="H39" i="3" s="1"/>
  <c r="H75" i="3" s="1"/>
  <c r="J74" i="3"/>
  <c r="H273" i="3"/>
  <c r="J48" i="15" s="1"/>
  <c r="J49" i="15" s="1"/>
  <c r="N44" i="2"/>
  <c r="N45" i="15"/>
  <c r="N38" i="2"/>
  <c r="Q38" i="2" s="1"/>
  <c r="B10" i="2"/>
  <c r="E10" i="2" s="1"/>
  <c r="C21" i="15"/>
  <c r="D21" i="15"/>
  <c r="Q27" i="2"/>
  <c r="K45" i="2"/>
  <c r="K46" i="2" s="1"/>
  <c r="O44" i="2"/>
  <c r="M28" i="2"/>
  <c r="M46" i="2" s="1"/>
  <c r="O24" i="2"/>
  <c r="O28" i="2" s="1"/>
  <c r="H28" i="2"/>
  <c r="H46" i="2" s="1"/>
  <c r="N24" i="2"/>
  <c r="F24" i="15" l="1"/>
  <c r="F25" i="15" s="1"/>
  <c r="M24" i="15"/>
  <c r="M25" i="15" s="1"/>
  <c r="G24" i="15"/>
  <c r="G25" i="15" s="1"/>
  <c r="C24" i="15"/>
  <c r="C25" i="15" s="1"/>
  <c r="I24" i="15"/>
  <c r="I25" i="15" s="1"/>
  <c r="J141" i="3"/>
  <c r="E24" i="15"/>
  <c r="E25" i="15" s="1"/>
  <c r="L24" i="15"/>
  <c r="L25" i="15" s="1"/>
  <c r="H24" i="15"/>
  <c r="H25" i="15" s="1"/>
  <c r="F10" i="2"/>
  <c r="B24" i="15"/>
  <c r="D24" i="15"/>
  <c r="D25" i="15" s="1"/>
  <c r="J24" i="15"/>
  <c r="J25" i="15" s="1"/>
  <c r="F48" i="15"/>
  <c r="F49" i="15" s="1"/>
  <c r="L48" i="15"/>
  <c r="L49" i="15" s="1"/>
  <c r="K48" i="15"/>
  <c r="K49" i="15" s="1"/>
  <c r="F12" i="2"/>
  <c r="M48" i="15"/>
  <c r="M49" i="15" s="1"/>
  <c r="H48" i="15"/>
  <c r="H49" i="15" s="1"/>
  <c r="G48" i="15"/>
  <c r="G49" i="15" s="1"/>
  <c r="J273" i="3"/>
  <c r="I48" i="15"/>
  <c r="I49" i="15" s="1"/>
  <c r="D48" i="15"/>
  <c r="D49" i="15" s="1"/>
  <c r="C48" i="15"/>
  <c r="C49" i="15" s="1"/>
  <c r="B48" i="15"/>
  <c r="B49" i="15" s="1"/>
  <c r="E48" i="15"/>
  <c r="E49" i="15" s="1"/>
  <c r="J207" i="3"/>
  <c r="H36" i="15"/>
  <c r="C36" i="15"/>
  <c r="M36" i="15"/>
  <c r="K36" i="15"/>
  <c r="J36" i="15"/>
  <c r="E36" i="15"/>
  <c r="L36" i="15"/>
  <c r="G36" i="15"/>
  <c r="F36" i="15"/>
  <c r="F11" i="2"/>
  <c r="D36" i="15"/>
  <c r="B36" i="15"/>
  <c r="I36" i="15"/>
  <c r="G12" i="15"/>
  <c r="L12" i="15"/>
  <c r="M12" i="15"/>
  <c r="B12" i="15"/>
  <c r="B13" i="15" s="1"/>
  <c r="K12" i="15"/>
  <c r="F12" i="15"/>
  <c r="C12" i="15"/>
  <c r="E12" i="15"/>
  <c r="J12" i="15"/>
  <c r="F9" i="2"/>
  <c r="J75" i="3"/>
  <c r="H12" i="15"/>
  <c r="I12" i="15"/>
  <c r="D12" i="15"/>
  <c r="H274" i="3"/>
  <c r="B11" i="2"/>
  <c r="Q44" i="2"/>
  <c r="Q45" i="2" s="1"/>
  <c r="N45" i="2"/>
  <c r="D33" i="15"/>
  <c r="H33" i="15"/>
  <c r="L33" i="15"/>
  <c r="E33" i="15"/>
  <c r="I33" i="15"/>
  <c r="M33" i="15"/>
  <c r="F33" i="15"/>
  <c r="J33" i="15"/>
  <c r="B33" i="15"/>
  <c r="C33" i="15"/>
  <c r="G33" i="15"/>
  <c r="K33" i="15"/>
  <c r="N21" i="15"/>
  <c r="F9" i="15"/>
  <c r="J9" i="15"/>
  <c r="E9" i="15"/>
  <c r="G9" i="15"/>
  <c r="K9" i="15"/>
  <c r="H9" i="15"/>
  <c r="L9" i="15"/>
  <c r="I9" i="15"/>
  <c r="M9" i="15"/>
  <c r="O45" i="2"/>
  <c r="O46" i="2" s="1"/>
  <c r="C11" i="2"/>
  <c r="N28" i="2"/>
  <c r="Q24" i="2"/>
  <c r="Q28" i="2" s="1"/>
  <c r="C9" i="2"/>
  <c r="N24" i="15" l="1"/>
  <c r="N25" i="15" s="1"/>
  <c r="B25" i="15"/>
  <c r="K13" i="15"/>
  <c r="M37" i="15"/>
  <c r="J13" i="15"/>
  <c r="D37" i="15"/>
  <c r="H37" i="15"/>
  <c r="H13" i="15"/>
  <c r="N48" i="15"/>
  <c r="N49" i="15" s="1"/>
  <c r="I13" i="15"/>
  <c r="G13" i="15"/>
  <c r="G37" i="15"/>
  <c r="L37" i="15"/>
  <c r="M13" i="15"/>
  <c r="E11" i="2"/>
  <c r="C37" i="15"/>
  <c r="N36" i="15"/>
  <c r="I37" i="15"/>
  <c r="K37" i="15"/>
  <c r="E37" i="15"/>
  <c r="F13" i="2"/>
  <c r="G12" i="2" s="1"/>
  <c r="F13" i="15"/>
  <c r="N12" i="15"/>
  <c r="E13" i="15"/>
  <c r="F37" i="15"/>
  <c r="J37" i="15"/>
  <c r="L13" i="15"/>
  <c r="N33" i="15"/>
  <c r="B37" i="15"/>
  <c r="D9" i="15"/>
  <c r="D13" i="15" s="1"/>
  <c r="C9" i="15"/>
  <c r="Q46" i="2"/>
  <c r="C13" i="2"/>
  <c r="B9" i="2"/>
  <c r="N46" i="2"/>
  <c r="G9" i="2" l="1"/>
  <c r="H9" i="2" s="1"/>
  <c r="N37" i="15"/>
  <c r="G11" i="2"/>
  <c r="H11" i="2" s="1"/>
  <c r="I11" i="2" s="1"/>
  <c r="G13" i="2"/>
  <c r="G10" i="2"/>
  <c r="H10" i="2" s="1"/>
  <c r="I10" i="2" s="1"/>
  <c r="H12" i="2"/>
  <c r="I12" i="2" s="1"/>
  <c r="C13" i="15"/>
  <c r="N9" i="15"/>
  <c r="N13" i="15" s="1"/>
  <c r="B13" i="2"/>
  <c r="E9" i="2"/>
  <c r="L11" i="2" l="1"/>
  <c r="H13" i="2"/>
  <c r="I9" i="2"/>
  <c r="E13" i="2"/>
  <c r="L10" i="2" l="1"/>
  <c r="L9" i="2"/>
  <c r="L12" i="2"/>
  <c r="L13" i="2" l="1"/>
</calcChain>
</file>

<file path=xl/sharedStrings.xml><?xml version="1.0" encoding="utf-8"?>
<sst xmlns="http://schemas.openxmlformats.org/spreadsheetml/2006/main" count="1194" uniqueCount="434">
  <si>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</si>
  <si>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</si>
  <si>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</si>
  <si>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</si>
  <si>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</si>
  <si>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</si>
  <si>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</si>
  <si>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</si>
  <si>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</si>
  <si>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</si>
  <si>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</si>
  <si>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</si>
  <si>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</si>
  <si>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</si>
  <si>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</si>
  <si>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</si>
  <si>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</si>
  <si>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</si>
  <si>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</si>
  <si>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</si>
  <si>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</si>
  <si>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</si>
  <si>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</si>
  <si>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</si>
  <si>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</si>
  <si>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</si>
  <si>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</si>
  <si>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</si>
  <si>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</si>
  <si>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</si>
  <si>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</si>
  <si>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</si>
  <si>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</si>
  <si>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</si>
  <si>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</si>
  <si>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</si>
  <si>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</si>
  <si>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</si>
  <si>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</si>
  <si>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</si>
  <si>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</si>
  <si>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</si>
  <si>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</si>
  <si>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</si>
  <si>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</si>
  <si>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</si>
  <si>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</si>
  <si>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</si>
  <si>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</si>
  <si>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</si>
  <si>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</si>
  <si>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</si>
  <si>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</si>
  <si>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</si>
  <si>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</si>
  <si>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</si>
  <si>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</si>
  <si>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</si>
  <si>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</si>
  <si>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</si>
  <si>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</si>
  <si>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</si>
  <si>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</si>
  <si>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</si>
  <si>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</si>
  <si>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</si>
  <si>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</si>
  <si>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</si>
  <si>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</si>
  <si>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</si>
  <si>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</si>
  <si>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</si>
  <si>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</si>
  <si>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</si>
  <si>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</si>
  <si>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</si>
  <si>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</si>
  <si>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</si>
  <si>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</si>
  <si>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</si>
  <si>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</si>
  <si>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</si>
  <si>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</si>
  <si>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</si>
  <si>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</si>
  <si>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</si>
  <si>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</si>
  <si>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</si>
  <si>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</si>
  <si>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</si>
  <si>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</si>
  <si>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</si>
  <si>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</si>
  <si>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</si>
  <si>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</si>
  <si>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</si>
  <si>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</si>
  <si>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</si>
  <si>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</si>
  <si>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</si>
  <si>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</si>
  <si>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</si>
  <si>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</si>
  <si>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</si>
  <si>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</si>
  <si>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</si>
  <si>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</si>
  <si>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</si>
  <si>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</si>
  <si>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</si>
  <si>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</si>
  <si>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</si>
  <si>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</si>
  <si>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</si>
  <si>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</si>
  <si>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</si>
  <si>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</si>
  <si>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</si>
  <si>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</si>
  <si>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</si>
  <si>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</si>
  <si>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</si>
  <si>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</si>
  <si>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</si>
  <si>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</si>
  <si>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</si>
  <si>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</si>
  <si>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</si>
  <si>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</si>
  <si>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</si>
  <si>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</si>
  <si>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</si>
  <si>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</si>
  <si>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</si>
  <si>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Media Jornada</t>
  </si>
  <si>
    <t>Jardines Infantiles</t>
  </si>
  <si>
    <t>Salas Cunas</t>
  </si>
  <si>
    <t xml:space="preserve">Ej. Ed. De Párvulos </t>
  </si>
  <si>
    <t>PDI</t>
  </si>
  <si>
    <t>GENDARMERIA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</si>
  <si>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</si>
  <si>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</si>
  <si>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</si>
  <si>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</si>
  <si>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</si>
  <si>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</si>
  <si>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</si>
  <si>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</si>
  <si>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</si>
  <si>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</si>
  <si>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</si>
  <si>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</si>
  <si>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</si>
  <si>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</si>
  <si>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</si>
  <si>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</si>
  <si>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</si>
  <si>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</si>
  <si>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</si>
  <si>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</si>
  <si>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</si>
  <si>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</si>
  <si>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</si>
  <si>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</si>
  <si>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</si>
  <si>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</si>
  <si>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</si>
  <si>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</si>
  <si>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</si>
  <si>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</si>
  <si>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</si>
  <si>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</si>
  <si>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</si>
  <si>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</si>
  <si>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</si>
  <si>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</si>
  <si>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</si>
  <si>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</si>
  <si>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</si>
  <si>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</si>
  <si>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</si>
  <si>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</si>
  <si>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</si>
  <si>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</si>
  <si>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</si>
  <si>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</si>
  <si>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</si>
  <si>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</si>
  <si>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</si>
  <si>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</si>
  <si>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</si>
  <si>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</si>
  <si>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</si>
  <si>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</si>
  <si>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</si>
  <si>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</si>
  <si>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</si>
  <si>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</si>
  <si>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</si>
  <si>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</si>
  <si>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</si>
  <si>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</si>
  <si>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</si>
  <si>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</si>
  <si>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</si>
  <si>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</si>
  <si>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</si>
  <si>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</si>
  <si>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</si>
  <si>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</si>
  <si>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</si>
  <si>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</si>
  <si>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</si>
  <si>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</si>
  <si>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</si>
  <si>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</si>
  <si>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</si>
  <si>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</si>
  <si>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Jardín Infantil Burbujitas de Mar</t>
  </si>
  <si>
    <t>Jornada  Completa</t>
  </si>
  <si>
    <t>Gasto Total empresa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</si>
  <si>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</si>
  <si>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</si>
  <si>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</si>
  <si>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</si>
  <si>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</si>
  <si>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 xml:space="preserve"> </t>
  </si>
  <si>
    <t xml:space="preserve"> COSTOS DIRECTOS COMUNES  "BURBUJITAS DE MAR"</t>
  </si>
  <si>
    <t>AFL</t>
  </si>
  <si>
    <t>PAF</t>
  </si>
  <si>
    <t>JI
 (20%)</t>
  </si>
  <si>
    <t>SCD 
(60%)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</si>
  <si>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</si>
  <si>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</si>
  <si>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</si>
  <si>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</si>
  <si>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</si>
  <si>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</si>
  <si>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</si>
  <si>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</si>
  <si>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</si>
  <si>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</si>
  <si>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</si>
  <si>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</si>
  <si>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</si>
  <si>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</si>
  <si>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</si>
  <si>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</si>
  <si>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</si>
  <si>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</si>
  <si>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</si>
  <si>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</si>
  <si>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</si>
  <si>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</si>
  <si>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Jardín Infantil Burbujita de Mar</t>
  </si>
  <si>
    <t>Sala Cuna Burbujita de Mar</t>
  </si>
  <si>
    <t>BIENTALC</t>
  </si>
  <si>
    <t>Sala Cuna Brurbujita de Mar Diurna</t>
  </si>
  <si>
    <t>Sala Cuna Brurbujita de Mar Nocturna</t>
  </si>
  <si>
    <t>Mensualidad 2024</t>
  </si>
  <si>
    <t>Gasto Total empresa
2024</t>
  </si>
  <si>
    <t>Matrícula 2025</t>
  </si>
  <si>
    <t>Mensualidad 2025</t>
  </si>
  <si>
    <t>Tarifa 2025</t>
  </si>
  <si>
    <t>Meta Ocupación niños 2025</t>
  </si>
  <si>
    <t>Propuesta Mensualidad 2025</t>
  </si>
  <si>
    <t>COSTO DIRECTO ESTIMADO 2025</t>
  </si>
  <si>
    <t>REMUNERACIONES 2024</t>
  </si>
  <si>
    <t>Costo Total anual por Servidor 2024</t>
  </si>
  <si>
    <t>Costo Total por Servidor Reajustado 2025</t>
  </si>
  <si>
    <t>COSTO INDIRECTO ESTIMADO 2025</t>
  </si>
  <si>
    <t>Gasto Total empresa
2025</t>
  </si>
  <si>
    <t>NR</t>
  </si>
  <si>
    <t>Valor Rac. Proyec.</t>
  </si>
  <si>
    <t>Dias Mes</t>
  </si>
  <si>
    <t>Total C/U</t>
  </si>
  <si>
    <t>DESC.</t>
  </si>
  <si>
    <t>TOTAL  COSTO</t>
  </si>
  <si>
    <t>Total E.P.</t>
  </si>
  <si>
    <t>Total Mes</t>
  </si>
  <si>
    <t>SUB Total  Anual</t>
  </si>
  <si>
    <t>DIST. ADM.</t>
  </si>
  <si>
    <t>RACIONES</t>
  </si>
  <si>
    <t>Sala Cuna Dia</t>
  </si>
  <si>
    <t>20</t>
  </si>
  <si>
    <t>Sala Cuna Nocturna</t>
  </si>
  <si>
    <t>15</t>
  </si>
  <si>
    <t>Jardin Burbujitas</t>
  </si>
  <si>
    <t>modificado según cantidad de personal y solo por 11 meses al año</t>
  </si>
  <si>
    <t>COMPORTAMIENTO</t>
  </si>
  <si>
    <t>Raciones Salla cuna Dia</t>
  </si>
  <si>
    <t>Raciones Salla cuna Noche</t>
  </si>
  <si>
    <t>Raciones Jardin Infantil</t>
  </si>
  <si>
    <t>ANUAL</t>
  </si>
  <si>
    <t>Anual</t>
  </si>
  <si>
    <t>Prom. Ocupación  2022 (43)</t>
  </si>
  <si>
    <t>Prom. Ocupación  2023 (28)</t>
  </si>
  <si>
    <t>COMP. ENERO - JULIO</t>
  </si>
  <si>
    <t>PROY. AGO - DIC</t>
  </si>
  <si>
    <t xml:space="preserve">TOTAL RACIONES </t>
  </si>
  <si>
    <t>COSTO UNITARIO</t>
  </si>
  <si>
    <t>Raciones Sala cuna Noche</t>
  </si>
  <si>
    <t>3) Consumos Basicos</t>
  </si>
  <si>
    <t>DEPENDENCIAS SALA CUNA</t>
  </si>
  <si>
    <t>SALA</t>
  </si>
  <si>
    <t>CUNA</t>
  </si>
  <si>
    <t>KW</t>
  </si>
  <si>
    <t>VALOR</t>
  </si>
  <si>
    <t xml:space="preserve">CUNA </t>
  </si>
  <si>
    <t>M3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</si>
  <si>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</si>
  <si>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</si>
  <si>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</si>
  <si>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</si>
  <si>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</si>
  <si>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</si>
  <si>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</si>
  <si>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</si>
  <si>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</si>
  <si>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</si>
  <si>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</si>
  <si>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</si>
  <si>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</si>
  <si>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ta</t>
  </si>
  <si>
    <t>tb</t>
  </si>
  <si>
    <t>total</t>
  </si>
  <si>
    <t xml:space="preserve">4) Se considera servicio de fumigación para ambas instalaciones de  frecuencia mensual y proyectada de acuerdo valor que se cancela </t>
  </si>
  <si>
    <t>actualmente, contrato de servicio es anual y es licitadoa a travéss de Mercado Público.</t>
  </si>
  <si>
    <t>5) Notas Generales</t>
  </si>
  <si>
    <t xml:space="preserve">La tarifa considera situación actual referente a personal de Educadoras de Párvulos que pertenecen  a la Institución y  personal contratado </t>
  </si>
  <si>
    <t>en calidad de Personal a Contrata , de  haber  cambios por proceso de trasbordo o la disminución de este tipo de personal para este tipo de</t>
  </si>
  <si>
    <t xml:space="preserve">personal para el Departamento implicaría  incurrir en mayores gastos. </t>
  </si>
  <si>
    <t>1) Calculo gasto Alimentacion del personal 2025</t>
  </si>
  <si>
    <t>2) Calculo racionamiento Párvulo 2025</t>
  </si>
  <si>
    <t xml:space="preserve"> Elsa  Graciela</t>
  </si>
  <si>
    <t>Conztanzo Montecinos</t>
  </si>
  <si>
    <t>Encargada de Ppto. y Area Inst.</t>
  </si>
  <si>
    <t>Administración Central</t>
  </si>
  <si>
    <t>Amelia  Perla</t>
  </si>
  <si>
    <t>Garcia  Arredondo</t>
  </si>
  <si>
    <t>Operadora de Sistemas</t>
  </si>
  <si>
    <t>Erika Katherine</t>
  </si>
  <si>
    <t xml:space="preserve">Groth Vega </t>
  </si>
  <si>
    <t>Encargada de Descuentos</t>
  </si>
  <si>
    <t>Maritza Cristina</t>
  </si>
  <si>
    <t>Mellado Medina</t>
  </si>
  <si>
    <t>Roxana Fabiola</t>
  </si>
  <si>
    <t>Correa Villa</t>
  </si>
  <si>
    <t>Cajera</t>
  </si>
  <si>
    <t>Rodrigo  Eduardo</t>
  </si>
  <si>
    <t>Muñoz Ulloa</t>
  </si>
  <si>
    <t>Adm. Contabilidad y Finanzas</t>
  </si>
  <si>
    <t>Roxana Isabel</t>
  </si>
  <si>
    <t>Muñoz Cruces</t>
  </si>
  <si>
    <t>Analista de Cuentas</t>
  </si>
  <si>
    <t>Francisco</t>
  </si>
  <si>
    <t>Monsalves Rosel</t>
  </si>
  <si>
    <t>Control y Análisis Proveedores</t>
  </si>
  <si>
    <t>Antonio</t>
  </si>
  <si>
    <t>Toledo Araneda</t>
  </si>
  <si>
    <t>Adm. Adquisiciones</t>
  </si>
  <si>
    <t>Maximo Cesar</t>
  </si>
  <si>
    <t>Aravena Bustos</t>
  </si>
  <si>
    <t>Luis Armando</t>
  </si>
  <si>
    <t>Garrido Miranda</t>
  </si>
  <si>
    <t>Administrativo</t>
  </si>
  <si>
    <t>Lilian Andrea</t>
  </si>
  <si>
    <t>Gargia Ponce</t>
  </si>
  <si>
    <t>Encargado Rec. Humanos</t>
  </si>
  <si>
    <t>Macarena Lilian</t>
  </si>
  <si>
    <t>Meriño  Muñoz</t>
  </si>
  <si>
    <t>Richard Abraham</t>
  </si>
  <si>
    <t>Jara Diaz</t>
  </si>
  <si>
    <t>Jorge Gabriel</t>
  </si>
  <si>
    <t>Ramirez Sepulveda</t>
  </si>
  <si>
    <t>Mant. y Cons de Predio</t>
  </si>
  <si>
    <t>Hector David</t>
  </si>
  <si>
    <t>Valencia Coronado</t>
  </si>
  <si>
    <t>Carlos</t>
  </si>
  <si>
    <t>Rojas Solar</t>
  </si>
  <si>
    <t xml:space="preserve"> Planes y Gestión</t>
  </si>
  <si>
    <t>Sylvia Edia</t>
  </si>
  <si>
    <t>Soto Villegas</t>
  </si>
  <si>
    <t>Auditoria Interna</t>
  </si>
  <si>
    <t>Jaime del Transito</t>
  </si>
  <si>
    <t>Ramos Morales</t>
  </si>
  <si>
    <t>Adm. Aud.y Enc. Pañol</t>
  </si>
  <si>
    <t>Silvana</t>
  </si>
  <si>
    <t>Mena Meriño</t>
  </si>
  <si>
    <t>Prevenc. de Riesgos</t>
  </si>
  <si>
    <t>Martínez Flores Francisca Javiera</t>
  </si>
  <si>
    <t>Riffo Torres Ysthar Constanza</t>
  </si>
  <si>
    <t>Hidalgo Nocetti Leidy Adriana</t>
  </si>
  <si>
    <t>Arias Utreras Marianela Isabel</t>
  </si>
  <si>
    <t>Educadora de Parvulos</t>
  </si>
  <si>
    <t>Asistente de la Educ.Parvulos</t>
  </si>
  <si>
    <t>Valentina</t>
  </si>
  <si>
    <t>Lucila Stephanie</t>
  </si>
  <si>
    <t>Yarlin Ivonne</t>
  </si>
  <si>
    <t>Natalia Del Carmen</t>
  </si>
  <si>
    <t>Nadia Ana</t>
  </si>
  <si>
    <t>Constanza Stepania</t>
  </si>
  <si>
    <t>Javiera Valentina</t>
  </si>
  <si>
    <t xml:space="preserve">Monares Manzo </t>
  </si>
  <si>
    <t xml:space="preserve">Catalán Gallegos </t>
  </si>
  <si>
    <t xml:space="preserve">Maturana Rojas </t>
  </si>
  <si>
    <t xml:space="preserve">Jiménez Sanhueza </t>
  </si>
  <si>
    <t>Nuñez Riquelme</t>
  </si>
  <si>
    <t xml:space="preserve">González Andrade </t>
  </si>
  <si>
    <t xml:space="preserve">Carrillo Salgado Javiera </t>
  </si>
  <si>
    <t>Auxiliar de Aseo</t>
  </si>
  <si>
    <t>Jardín Infantil I.Quiriquina</t>
  </si>
  <si>
    <t>Jardín Inf. Burbujitas de Mar</t>
  </si>
  <si>
    <t>Tracy Scarlett</t>
  </si>
  <si>
    <t>Yasnarin Andrea</t>
  </si>
  <si>
    <t>Alicia Andrea</t>
  </si>
  <si>
    <t>Catalina</t>
  </si>
  <si>
    <t>Juana Del Carmen</t>
  </si>
  <si>
    <t xml:space="preserve">Cartez Medina </t>
  </si>
  <si>
    <t xml:space="preserve">Vera Donoso </t>
  </si>
  <si>
    <t xml:space="preserve">Canales Verdejo </t>
  </si>
  <si>
    <t xml:space="preserve">González Núñez </t>
  </si>
  <si>
    <t xml:space="preserve">Erices Solar </t>
  </si>
  <si>
    <t>PROYECCION 2025</t>
  </si>
  <si>
    <t>TOTAL GASTO PROY. 2024</t>
  </si>
  <si>
    <t>Proy. Ocupación  2025 (45)</t>
  </si>
  <si>
    <t>Proy. Ocupaciób  2025 (28)</t>
  </si>
  <si>
    <t>Proy. Ocupación  2025 (25)</t>
  </si>
  <si>
    <t>Jardín Infantil "Azucarcandia".</t>
  </si>
  <si>
    <t>Jardín Infantil  "Montessori".</t>
  </si>
  <si>
    <t>Sala Cuna  "Montessori".</t>
  </si>
  <si>
    <t>Sala "Azucarcandia"</t>
  </si>
  <si>
    <t>Asistencia Comercial</t>
  </si>
  <si>
    <t>pac 1°DE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</si>
</sst>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  <numFmt numFmtId="187" formatCode="_-* #,##0_-;\-* #,##0_-;_-* &quot;-&quot;??_-;_-@_-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909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4" fillId="0" borderId="0"/>
  </cellStyleXfs>
  <cellXfs count="1051">
    <xf numFmtId="0" fontId="0" fillId="0" borderId="0" xfId="0"/>
    <xf numFmtId="169" fontId="0" fillId="0" borderId="0" xfId="16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left" vertical="center"/>
    </xf>
    <xf numFmtId="168" fontId="13" fillId="9" borderId="0" xfId="13" applyNumberFormat="1" applyFont="1" applyFill="1" applyAlignment="1">
      <alignment vertical="center"/>
    </xf>
    <xf numFmtId="166" fontId="13" fillId="0" borderId="0" xfId="13" applyFont="1" applyAlignment="1">
      <alignment vertical="center"/>
    </xf>
    <xf numFmtId="171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6" fontId="0" fillId="0" borderId="0" xfId="13" applyFont="1" applyAlignment="1">
      <alignment vertical="center"/>
    </xf>
    <xf numFmtId="169" fontId="16" fillId="0" borderId="0" xfId="16" applyFont="1" applyAlignment="1">
      <alignment vertical="center"/>
    </xf>
    <xf numFmtId="174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7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177" fontId="13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7" fontId="0" fillId="0" borderId="0" xfId="0" applyNumberFormat="1"/>
    <xf numFmtId="177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8" fillId="24" borderId="9" xfId="0" applyFont="1" applyFill="1" applyBorder="1" applyAlignment="1">
      <alignment horizontal="center" vertical="center" wrapText="1"/>
    </xf>
    <xf numFmtId="0" fontId="18" fillId="24" borderId="6" xfId="0" applyFont="1" applyFill="1" applyBorder="1" applyAlignment="1">
      <alignment horizontal="center" vertical="center" wrapText="1"/>
    </xf>
    <xf numFmtId="0" fontId="18" fillId="24" borderId="3" xfId="0" applyFont="1" applyFill="1" applyBorder="1" applyAlignment="1">
      <alignment horizontal="center" vertical="center" wrapText="1"/>
    </xf>
    <xf numFmtId="168" fontId="0" fillId="19" borderId="10" xfId="13" applyNumberFormat="1" applyFont="1" applyFill="1" applyBorder="1" applyAlignment="1">
      <alignment vertical="center"/>
    </xf>
    <xf numFmtId="168" fontId="0" fillId="19" borderId="6" xfId="13" applyNumberFormat="1" applyFont="1" applyFill="1" applyBorder="1" applyAlignment="1">
      <alignment vertical="center"/>
    </xf>
    <xf numFmtId="168" fontId="0" fillId="19" borderId="16" xfId="13" applyNumberFormat="1" applyFont="1" applyFill="1" applyBorder="1" applyAlignment="1">
      <alignment vertical="center"/>
    </xf>
    <xf numFmtId="168" fontId="13" fillId="19" borderId="3" xfId="13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169" fontId="13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3" fillId="0" borderId="0" xfId="0" applyFont="1" applyAlignment="1">
      <alignment horizontal="center"/>
    </xf>
    <xf numFmtId="177" fontId="13" fillId="0" borderId="0" xfId="0" applyNumberFormat="1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168" fontId="18" fillId="35" borderId="13" xfId="0" applyNumberFormat="1" applyFont="1" applyFill="1" applyBorder="1" applyAlignment="1">
      <alignment horizontal="center" vertical="center" wrapText="1"/>
    </xf>
    <xf numFmtId="168" fontId="18" fillId="35" borderId="4" xfId="0" applyNumberFormat="1" applyFont="1" applyFill="1" applyBorder="1" applyAlignment="1">
      <alignment horizontal="center" vertical="center" wrapText="1"/>
    </xf>
    <xf numFmtId="168" fontId="18" fillId="35" borderId="24" xfId="0" applyNumberFormat="1" applyFont="1" applyFill="1" applyBorder="1" applyAlignment="1">
      <alignment horizontal="center" vertical="center" wrapText="1"/>
    </xf>
    <xf numFmtId="0" fontId="18" fillId="35" borderId="5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168" fontId="0" fillId="28" borderId="13" xfId="13" applyNumberFormat="1" applyFont="1" applyFill="1" applyBorder="1" applyAlignment="1">
      <alignment vertical="center"/>
    </xf>
    <xf numFmtId="168" fontId="0" fillId="28" borderId="3" xfId="13" applyNumberFormat="1" applyFont="1" applyFill="1" applyBorder="1" applyAlignment="1">
      <alignment vertical="center"/>
    </xf>
    <xf numFmtId="168" fontId="13" fillId="28" borderId="23" xfId="13" applyNumberFormat="1" applyFont="1" applyFill="1" applyBorder="1" applyAlignment="1">
      <alignment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13" fillId="25" borderId="26" xfId="0" applyNumberFormat="1" applyFont="1" applyFill="1" applyBorder="1" applyAlignment="1">
      <alignment horizontal="center" vertical="center"/>
    </xf>
    <xf numFmtId="170" fontId="13" fillId="19" borderId="26" xfId="16" applyNumberFormat="1" applyFont="1" applyFill="1" applyBorder="1" applyAlignment="1">
      <alignment horizontal="center" vertical="center"/>
    </xf>
    <xf numFmtId="168" fontId="0" fillId="28" borderId="42" xfId="13" applyNumberFormat="1" applyFont="1" applyFill="1" applyBorder="1" applyAlignment="1">
      <alignment vertical="center"/>
    </xf>
    <xf numFmtId="168" fontId="13" fillId="0" borderId="3" xfId="13" applyNumberFormat="1" applyFont="1" applyBorder="1" applyAlignment="1">
      <alignment vertical="center"/>
    </xf>
    <xf numFmtId="168" fontId="0" fillId="28" borderId="43" xfId="13" applyNumberFormat="1" applyFont="1" applyFill="1" applyBorder="1" applyAlignment="1">
      <alignment vertical="center"/>
    </xf>
    <xf numFmtId="169" fontId="15" fillId="19" borderId="8" xfId="16" applyFont="1" applyFill="1" applyBorder="1" applyAlignment="1">
      <alignment horizontal="center" vertical="center"/>
    </xf>
    <xf numFmtId="168" fontId="22" fillId="15" borderId="11" xfId="13" applyNumberFormat="1" applyFont="1" applyFill="1" applyBorder="1" applyAlignment="1">
      <alignment vertical="center"/>
    </xf>
    <xf numFmtId="168" fontId="22" fillId="15" borderId="30" xfId="13" applyNumberFormat="1" applyFont="1" applyFill="1" applyBorder="1" applyAlignment="1">
      <alignment vertical="center"/>
    </xf>
    <xf numFmtId="178" fontId="0" fillId="0" borderId="0" xfId="13" applyNumberFormat="1" applyFont="1" applyAlignment="1">
      <alignment vertical="center"/>
    </xf>
    <xf numFmtId="178" fontId="0" fillId="0" borderId="0" xfId="13" applyNumberFormat="1" applyFont="1"/>
    <xf numFmtId="0" fontId="0" fillId="12" borderId="35" xfId="0" applyFill="1" applyBorder="1" applyAlignment="1" applyProtection="1">
      <alignment horizontal="left" vertical="center"/>
      <protection locked="0"/>
    </xf>
    <xf numFmtId="169" fontId="14" fillId="0" borderId="26" xfId="16" applyBorder="1" applyAlignment="1">
      <alignment horizontal="center" vertical="center"/>
    </xf>
    <xf numFmtId="169" fontId="14" fillId="0" borderId="0" xfId="16" applyAlignment="1">
      <alignment horizontal="center" vertical="center"/>
    </xf>
    <xf numFmtId="169" fontId="13" fillId="16" borderId="26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13" fillId="34" borderId="53" xfId="0" applyNumberFormat="1" applyFont="1" applyFill="1" applyBorder="1" applyAlignment="1">
      <alignment horizontal="center" vertical="center" wrapText="1"/>
    </xf>
    <xf numFmtId="168" fontId="13" fillId="34" borderId="54" xfId="0" applyNumberFormat="1" applyFont="1" applyFill="1" applyBorder="1" applyAlignment="1">
      <alignment horizontal="center" vertical="center" wrapText="1"/>
    </xf>
    <xf numFmtId="168" fontId="0" fillId="28" borderId="52" xfId="13" applyNumberFormat="1" applyFont="1" applyFill="1" applyBorder="1" applyAlignment="1">
      <alignment vertical="center"/>
    </xf>
    <xf numFmtId="168" fontId="13" fillId="28" borderId="59" xfId="13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169" fontId="29" fillId="0" borderId="0" xfId="16" applyFont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5" fillId="11" borderId="0" xfId="0" applyFont="1" applyFill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82" fontId="0" fillId="11" borderId="0" xfId="0" applyNumberFormat="1" applyFill="1"/>
    <xf numFmtId="181" fontId="0" fillId="11" borderId="0" xfId="0" applyNumberFormat="1" applyFill="1"/>
    <xf numFmtId="168" fontId="0" fillId="28" borderId="66" xfId="13" applyNumberFormat="1" applyFont="1" applyFill="1" applyBorder="1" applyAlignment="1">
      <alignment vertical="center"/>
    </xf>
    <xf numFmtId="168" fontId="0" fillId="28" borderId="74" xfId="13" applyNumberFormat="1" applyFont="1" applyFill="1" applyBorder="1" applyAlignment="1">
      <alignment vertical="center"/>
    </xf>
    <xf numFmtId="167" fontId="0" fillId="0" borderId="76" xfId="13" applyNumberFormat="1" applyFont="1" applyBorder="1" applyAlignment="1">
      <alignment vertical="center"/>
    </xf>
    <xf numFmtId="168" fontId="0" fillId="28" borderId="77" xfId="13" applyNumberFormat="1" applyFont="1" applyFill="1" applyBorder="1" applyAlignment="1">
      <alignment vertical="center"/>
    </xf>
    <xf numFmtId="168" fontId="13" fillId="15" borderId="78" xfId="0" applyNumberFormat="1" applyFont="1" applyFill="1" applyBorder="1" applyAlignment="1">
      <alignment horizontal="center" vertical="center" wrapText="1"/>
    </xf>
    <xf numFmtId="180" fontId="14" fillId="36" borderId="66" xfId="16" applyNumberFormat="1" applyFill="1" applyBorder="1" applyAlignment="1">
      <alignment horizontal="center" vertical="center"/>
    </xf>
    <xf numFmtId="180" fontId="14" fillId="36" borderId="81" xfId="16" applyNumberFormat="1" applyFill="1" applyBorder="1" applyAlignment="1">
      <alignment horizontal="center" vertical="center"/>
    </xf>
    <xf numFmtId="168" fontId="13" fillId="15" borderId="83" xfId="0" applyNumberFormat="1" applyFont="1" applyFill="1" applyBorder="1" applyAlignment="1">
      <alignment horizontal="center" vertical="center" wrapText="1"/>
    </xf>
    <xf numFmtId="179" fontId="0" fillId="12" borderId="84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/>
    <xf numFmtId="181" fontId="14" fillId="0" borderId="0" xfId="13" applyNumberFormat="1"/>
    <xf numFmtId="0" fontId="23" fillId="12" borderId="38" xfId="0" applyFont="1" applyFill="1" applyBorder="1" applyAlignment="1" applyProtection="1">
      <alignment horizontal="center" vertical="center"/>
      <protection locked="0"/>
    </xf>
    <xf numFmtId="178" fontId="0" fillId="12" borderId="80" xfId="13" applyNumberFormat="1" applyFont="1" applyFill="1" applyBorder="1" applyAlignment="1" applyProtection="1">
      <alignment vertical="center"/>
      <protection locked="0"/>
    </xf>
    <xf numFmtId="0" fontId="10" fillId="48" borderId="98" xfId="0" applyFont="1" applyFill="1" applyBorder="1" applyAlignment="1">
      <alignment horizontal="center" vertical="center"/>
    </xf>
    <xf numFmtId="169" fontId="0" fillId="12" borderId="98" xfId="16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169" fontId="30" fillId="0" borderId="70" xfId="16" applyFont="1" applyBorder="1" applyAlignment="1">
      <alignment horizontal="center" vertical="center"/>
    </xf>
    <xf numFmtId="177" fontId="0" fillId="26" borderId="69" xfId="0" applyNumberFormat="1" applyFill="1" applyBorder="1" applyAlignment="1">
      <alignment horizontal="right" vertical="center"/>
    </xf>
    <xf numFmtId="177" fontId="0" fillId="26" borderId="102" xfId="0" applyNumberFormat="1" applyFill="1" applyBorder="1" applyAlignment="1">
      <alignment horizontal="right" vertical="center"/>
    </xf>
    <xf numFmtId="0" fontId="0" fillId="11" borderId="105" xfId="0" applyFill="1" applyBorder="1"/>
    <xf numFmtId="0" fontId="0" fillId="11" borderId="60" xfId="0" applyFill="1" applyBorder="1"/>
    <xf numFmtId="0" fontId="0" fillId="11" borderId="95" xfId="0" applyFill="1" applyBorder="1"/>
    <xf numFmtId="0" fontId="0" fillId="11" borderId="101" xfId="0" applyFill="1" applyBorder="1"/>
    <xf numFmtId="0" fontId="0" fillId="11" borderId="55" xfId="0" applyFill="1" applyBorder="1"/>
    <xf numFmtId="0" fontId="13" fillId="16" borderId="103" xfId="0" applyFont="1" applyFill="1" applyBorder="1" applyAlignment="1">
      <alignment horizontal="center" vertical="center" wrapText="1"/>
    </xf>
    <xf numFmtId="0" fontId="0" fillId="12" borderId="80" xfId="0" applyFill="1" applyBorder="1" applyAlignment="1" applyProtection="1">
      <alignment horizontal="left" vertical="center"/>
      <protection locked="0"/>
    </xf>
    <xf numFmtId="0" fontId="0" fillId="12" borderId="79" xfId="0" applyFill="1" applyBorder="1" applyAlignment="1" applyProtection="1">
      <alignment horizontal="left" vertical="center"/>
      <protection locked="0"/>
    </xf>
    <xf numFmtId="178" fontId="0" fillId="12" borderId="79" xfId="13" applyNumberFormat="1" applyFont="1" applyFill="1" applyBorder="1" applyAlignment="1" applyProtection="1">
      <alignment vertical="center"/>
      <protection locked="0"/>
    </xf>
    <xf numFmtId="0" fontId="0" fillId="12" borderId="62" xfId="0" applyFill="1" applyBorder="1" applyAlignment="1" applyProtection="1">
      <alignment horizontal="left" vertical="center"/>
      <protection locked="0"/>
    </xf>
    <xf numFmtId="0" fontId="0" fillId="12" borderId="92" xfId="0" applyFill="1" applyBorder="1" applyAlignment="1" applyProtection="1">
      <alignment horizontal="left" vertical="center"/>
      <protection locked="0"/>
    </xf>
    <xf numFmtId="177" fontId="0" fillId="28" borderId="97" xfId="0" applyNumberFormat="1" applyFill="1" applyBorder="1" applyAlignment="1">
      <alignment horizontal="right" vertical="center"/>
    </xf>
    <xf numFmtId="177" fontId="0" fillId="28" borderId="113" xfId="0" applyNumberFormat="1" applyFill="1" applyBorder="1" applyAlignment="1">
      <alignment horizontal="right" vertical="center"/>
    </xf>
    <xf numFmtId="177" fontId="23" fillId="27" borderId="46" xfId="0" applyNumberFormat="1" applyFont="1" applyFill="1" applyBorder="1" applyAlignment="1">
      <alignment vertical="center"/>
    </xf>
    <xf numFmtId="180" fontId="14" fillId="36" borderId="77" xfId="16" applyNumberFormat="1" applyFill="1" applyBorder="1" applyAlignment="1">
      <alignment horizontal="center" vertical="center"/>
    </xf>
    <xf numFmtId="0" fontId="0" fillId="12" borderId="81" xfId="0" applyFill="1" applyBorder="1" applyAlignment="1" applyProtection="1">
      <alignment horizontal="left" vertical="center"/>
      <protection locked="0"/>
    </xf>
    <xf numFmtId="168" fontId="0" fillId="12" borderId="82" xfId="13" applyNumberFormat="1" applyFont="1" applyFill="1" applyBorder="1" applyAlignment="1" applyProtection="1">
      <alignment vertical="center"/>
      <protection locked="0"/>
    </xf>
    <xf numFmtId="0" fontId="0" fillId="12" borderId="86" xfId="0" applyFill="1" applyBorder="1" applyAlignment="1" applyProtection="1">
      <alignment horizontal="left" vertical="center"/>
      <protection locked="0"/>
    </xf>
    <xf numFmtId="168" fontId="0" fillId="12" borderId="85" xfId="13" applyNumberFormat="1" applyFont="1" applyFill="1" applyBorder="1" applyAlignment="1" applyProtection="1">
      <alignment vertical="center"/>
      <protection locked="0"/>
    </xf>
    <xf numFmtId="0" fontId="0" fillId="12" borderId="99" xfId="0" applyFill="1" applyBorder="1" applyAlignment="1" applyProtection="1">
      <alignment horizontal="left" vertical="center"/>
      <protection locked="0"/>
    </xf>
    <xf numFmtId="0" fontId="0" fillId="12" borderId="98" xfId="0" applyFill="1" applyBorder="1" applyAlignment="1" applyProtection="1">
      <alignment horizontal="left" vertical="center"/>
      <protection locked="0"/>
    </xf>
    <xf numFmtId="0" fontId="13" fillId="16" borderId="85" xfId="0" applyFont="1" applyFill="1" applyBorder="1" applyAlignment="1">
      <alignment horizontal="center" vertical="center" wrapText="1"/>
    </xf>
    <xf numFmtId="180" fontId="14" fillId="36" borderId="86" xfId="16" applyNumberFormat="1" applyFill="1" applyBorder="1" applyAlignment="1">
      <alignment horizontal="center" vertical="center"/>
    </xf>
    <xf numFmtId="180" fontId="14" fillId="36" borderId="84" xfId="16" applyNumberFormat="1" applyFill="1" applyBorder="1" applyAlignment="1">
      <alignment horizontal="center" vertical="center"/>
    </xf>
    <xf numFmtId="180" fontId="14" fillId="36" borderId="85" xfId="16" applyNumberFormat="1" applyFill="1" applyBorder="1" applyAlignment="1">
      <alignment horizontal="center" vertical="center"/>
    </xf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168" fontId="0" fillId="0" borderId="0" xfId="0" applyNumberFormat="1" applyAlignment="1">
      <alignment vertical="center"/>
    </xf>
    <xf numFmtId="168" fontId="13" fillId="0" borderId="0" xfId="0" applyNumberFormat="1" applyFont="1" applyAlignment="1">
      <alignment vertical="center"/>
    </xf>
    <xf numFmtId="168" fontId="0" fillId="28" borderId="118" xfId="13" applyNumberFormat="1" applyFont="1" applyFill="1" applyBorder="1" applyAlignment="1">
      <alignment vertical="center"/>
    </xf>
    <xf numFmtId="0" fontId="13" fillId="15" borderId="87" xfId="0" applyFont="1" applyFill="1" applyBorder="1" applyAlignment="1">
      <alignment horizontal="center" vertical="center"/>
    </xf>
    <xf numFmtId="0" fontId="13" fillId="15" borderId="116" xfId="0" applyFont="1" applyFill="1" applyBorder="1" applyAlignment="1">
      <alignment horizontal="center" vertical="center"/>
    </xf>
    <xf numFmtId="177" fontId="23" fillId="25" borderId="61" xfId="0" applyNumberFormat="1" applyFont="1" applyFill="1" applyBorder="1" applyAlignment="1">
      <alignment horizontal="right" vertical="center"/>
    </xf>
    <xf numFmtId="169" fontId="15" fillId="19" borderId="49" xfId="16" applyFont="1" applyFill="1" applyBorder="1" applyAlignment="1">
      <alignment horizontal="center" vertical="center"/>
    </xf>
    <xf numFmtId="177" fontId="23" fillId="25" borderId="51" xfId="0" applyNumberFormat="1" applyFont="1" applyFill="1" applyBorder="1" applyAlignment="1">
      <alignment horizontal="right" vertical="center"/>
    </xf>
    <xf numFmtId="177" fontId="0" fillId="28" borderId="109" xfId="0" applyNumberFormat="1" applyFill="1" applyBorder="1" applyAlignment="1">
      <alignment horizontal="right" vertical="center"/>
    </xf>
    <xf numFmtId="177" fontId="0" fillId="0" borderId="109" xfId="0" applyNumberFormat="1" applyBorder="1" applyAlignment="1">
      <alignment horizontal="right" vertical="center"/>
    </xf>
    <xf numFmtId="177" fontId="0" fillId="28" borderId="110" xfId="0" applyNumberFormat="1" applyFill="1" applyBorder="1" applyAlignment="1">
      <alignment horizontal="right" vertical="center"/>
    </xf>
    <xf numFmtId="9" fontId="0" fillId="43" borderId="49" xfId="0" applyNumberFormat="1" applyFill="1" applyBorder="1" applyAlignment="1">
      <alignment horizontal="center" vertical="center"/>
    </xf>
    <xf numFmtId="177" fontId="0" fillId="25" borderId="50" xfId="0" applyNumberFormat="1" applyFill="1" applyBorder="1" applyAlignment="1">
      <alignment horizontal="right" vertical="center"/>
    </xf>
    <xf numFmtId="9" fontId="0" fillId="43" borderId="50" xfId="0" applyNumberFormat="1" applyFill="1" applyBorder="1" applyAlignment="1">
      <alignment horizontal="center" vertical="center"/>
    </xf>
    <xf numFmtId="169" fontId="0" fillId="43" borderId="50" xfId="16" applyFont="1" applyFill="1" applyBorder="1" applyAlignment="1">
      <alignment horizontal="center" vertical="center"/>
    </xf>
    <xf numFmtId="177" fontId="0" fillId="25" borderId="51" xfId="0" applyNumberFormat="1" applyFill="1" applyBorder="1" applyAlignment="1">
      <alignment horizontal="right" vertical="center"/>
    </xf>
    <xf numFmtId="168" fontId="13" fillId="34" borderId="128" xfId="0" applyNumberFormat="1" applyFont="1" applyFill="1" applyBorder="1" applyAlignment="1">
      <alignment horizontal="center" vertical="center" wrapText="1"/>
    </xf>
    <xf numFmtId="168" fontId="13" fillId="34" borderId="129" xfId="0" applyNumberFormat="1" applyFont="1" applyFill="1" applyBorder="1" applyAlignment="1">
      <alignment horizontal="center" vertical="center" wrapText="1"/>
    </xf>
    <xf numFmtId="168" fontId="13" fillId="34" borderId="127" xfId="0" applyNumberFormat="1" applyFont="1" applyFill="1" applyBorder="1" applyAlignment="1">
      <alignment horizontal="center" vertical="center" wrapText="1"/>
    </xf>
    <xf numFmtId="168" fontId="22" fillId="31" borderId="49" xfId="13" applyNumberFormat="1" applyFont="1" applyFill="1" applyBorder="1" applyAlignment="1">
      <alignment vertical="center" wrapText="1"/>
    </xf>
    <xf numFmtId="168" fontId="13" fillId="34" borderId="140" xfId="0" applyNumberFormat="1" applyFont="1" applyFill="1" applyBorder="1" applyAlignment="1">
      <alignment horizontal="center" vertical="center" wrapText="1"/>
    </xf>
    <xf numFmtId="0" fontId="13" fillId="16" borderId="141" xfId="0" applyFont="1" applyFill="1" applyBorder="1" applyAlignment="1">
      <alignment horizontal="center" vertical="center" wrapText="1"/>
    </xf>
    <xf numFmtId="179" fontId="0" fillId="12" borderId="66" xfId="13" applyNumberFormat="1" applyFont="1" applyFill="1" applyBorder="1" applyAlignment="1" applyProtection="1">
      <alignment horizontal="center" vertical="center"/>
      <protection locked="0"/>
    </xf>
    <xf numFmtId="179" fontId="0" fillId="12" borderId="130" xfId="13" applyNumberFormat="1" applyFont="1" applyFill="1" applyBorder="1" applyAlignment="1" applyProtection="1">
      <alignment horizontal="center" vertical="center"/>
      <protection locked="0"/>
    </xf>
    <xf numFmtId="179" fontId="0" fillId="12" borderId="86" xfId="13" applyNumberFormat="1" applyFont="1" applyFill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179" fontId="0" fillId="12" borderId="81" xfId="13" applyNumberFormat="1" applyFont="1" applyFill="1" applyBorder="1" applyAlignment="1" applyProtection="1">
      <alignment horizontal="center" vertical="center"/>
      <protection locked="0"/>
    </xf>
    <xf numFmtId="168" fontId="13" fillId="15" borderId="129" xfId="0" applyNumberFormat="1" applyFont="1" applyFill="1" applyBorder="1" applyAlignment="1">
      <alignment horizontal="center" vertical="center" wrapText="1"/>
    </xf>
    <xf numFmtId="168" fontId="13" fillId="15" borderId="134" xfId="0" applyNumberFormat="1" applyFont="1" applyFill="1" applyBorder="1" applyAlignment="1">
      <alignment horizontal="center" vertical="center" wrapText="1"/>
    </xf>
    <xf numFmtId="0" fontId="13" fillId="15" borderId="128" xfId="0" applyFont="1" applyFill="1" applyBorder="1" applyAlignment="1">
      <alignment horizontal="center" vertical="center"/>
    </xf>
    <xf numFmtId="0" fontId="13" fillId="15" borderId="126" xfId="0" applyFont="1" applyFill="1" applyBorder="1" applyAlignment="1">
      <alignment horizontal="center" vertical="center"/>
    </xf>
    <xf numFmtId="167" fontId="0" fillId="0" borderId="135" xfId="13" applyNumberFormat="1" applyFont="1" applyBorder="1" applyAlignment="1">
      <alignment vertical="center"/>
    </xf>
    <xf numFmtId="168" fontId="0" fillId="28" borderId="148" xfId="13" applyNumberFormat="1" applyFont="1" applyFill="1" applyBorder="1" applyAlignment="1">
      <alignment vertical="center"/>
    </xf>
    <xf numFmtId="168" fontId="0" fillId="28" borderId="138" xfId="13" applyNumberFormat="1" applyFont="1" applyFill="1" applyBorder="1" applyAlignment="1">
      <alignment vertical="center"/>
    </xf>
    <xf numFmtId="180" fontId="14" fillId="36" borderId="130" xfId="16" applyNumberFormat="1" applyFill="1" applyBorder="1" applyAlignment="1">
      <alignment horizontal="center" vertical="center"/>
    </xf>
    <xf numFmtId="180" fontId="14" fillId="36" borderId="131" xfId="16" applyNumberFormat="1" applyFill="1" applyBorder="1" applyAlignment="1">
      <alignment horizontal="center" vertical="center"/>
    </xf>
    <xf numFmtId="0" fontId="0" fillId="12" borderId="149" xfId="0" applyFill="1" applyBorder="1" applyAlignment="1" applyProtection="1">
      <alignment horizontal="left" vertical="center"/>
      <protection locked="0"/>
    </xf>
    <xf numFmtId="168" fontId="0" fillId="12" borderId="131" xfId="13" applyNumberFormat="1" applyFont="1" applyFill="1" applyBorder="1" applyAlignment="1" applyProtection="1">
      <alignment vertical="center"/>
      <protection locked="0"/>
    </xf>
    <xf numFmtId="168" fontId="0" fillId="28" borderId="86" xfId="13" applyNumberFormat="1" applyFont="1" applyFill="1" applyBorder="1" applyAlignment="1">
      <alignment vertical="center"/>
    </xf>
    <xf numFmtId="168" fontId="0" fillId="28" borderId="84" xfId="13" applyNumberFormat="1" applyFont="1" applyFill="1" applyBorder="1" applyAlignment="1">
      <alignment vertical="center"/>
    </xf>
    <xf numFmtId="168" fontId="13" fillId="15" borderId="133" xfId="0" applyNumberFormat="1" applyFont="1" applyFill="1" applyBorder="1" applyAlignment="1">
      <alignment horizontal="center" vertical="center" wrapText="1"/>
    </xf>
    <xf numFmtId="168" fontId="13" fillId="15" borderId="135" xfId="0" applyNumberFormat="1" applyFont="1" applyFill="1" applyBorder="1" applyAlignment="1">
      <alignment horizontal="center" vertical="center" wrapText="1"/>
    </xf>
    <xf numFmtId="167" fontId="0" fillId="0" borderId="152" xfId="13" applyNumberFormat="1" applyFont="1" applyBorder="1" applyAlignment="1">
      <alignment vertical="center"/>
    </xf>
    <xf numFmtId="180" fontId="14" fillId="36" borderId="148" xfId="16" applyNumberFormat="1" applyFill="1" applyBorder="1" applyAlignment="1">
      <alignment horizontal="center" vertical="center"/>
    </xf>
    <xf numFmtId="180" fontId="14" fillId="36" borderId="138" xfId="16" applyNumberFormat="1" applyFill="1" applyBorder="1" applyAlignment="1">
      <alignment horizontal="center" vertical="center"/>
    </xf>
    <xf numFmtId="0" fontId="0" fillId="12" borderId="66" xfId="0" applyFill="1" applyBorder="1" applyAlignment="1" applyProtection="1">
      <alignment horizontal="left" vertical="center"/>
      <protection locked="0"/>
    </xf>
    <xf numFmtId="0" fontId="0" fillId="12" borderId="153" xfId="0" applyFill="1" applyBorder="1" applyAlignment="1" applyProtection="1">
      <alignment horizontal="left" vertical="center"/>
      <protection locked="0"/>
    </xf>
    <xf numFmtId="168" fontId="0" fillId="28" borderId="144" xfId="13" applyNumberFormat="1" applyFont="1" applyFill="1" applyBorder="1" applyAlignment="1">
      <alignment vertical="center"/>
    </xf>
    <xf numFmtId="168" fontId="0" fillId="28" borderId="81" xfId="13" applyNumberFormat="1" applyFont="1" applyFill="1" applyBorder="1" applyAlignment="1">
      <alignment vertical="center"/>
    </xf>
    <xf numFmtId="168" fontId="0" fillId="28" borderId="137" xfId="13" applyNumberFormat="1" applyFont="1" applyFill="1" applyBorder="1" applyAlignment="1">
      <alignment vertical="center"/>
    </xf>
    <xf numFmtId="0" fontId="13" fillId="16" borderId="33" xfId="0" applyFont="1" applyFill="1" applyBorder="1" applyAlignment="1">
      <alignment horizontal="center" vertical="center" wrapText="1"/>
    </xf>
    <xf numFmtId="0" fontId="13" fillId="20" borderId="114" xfId="0" applyFont="1" applyFill="1" applyBorder="1" applyAlignment="1">
      <alignment horizontal="center" vertical="center" wrapText="1"/>
    </xf>
    <xf numFmtId="1" fontId="0" fillId="0" borderId="114" xfId="0" applyNumberFormat="1" applyBorder="1" applyAlignment="1">
      <alignment horizontal="center" vertical="center" wrapText="1"/>
    </xf>
    <xf numFmtId="1" fontId="0" fillId="0" borderId="156" xfId="0" applyNumberFormat="1" applyBorder="1" applyAlignment="1">
      <alignment horizontal="center"/>
    </xf>
    <xf numFmtId="1" fontId="0" fillId="0" borderId="115" xfId="0" applyNumberFormat="1" applyBorder="1"/>
    <xf numFmtId="1" fontId="0" fillId="43" borderId="114" xfId="0" applyNumberFormat="1" applyFill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 wrapText="1"/>
    </xf>
    <xf numFmtId="0" fontId="11" fillId="23" borderId="162" xfId="0" applyFont="1" applyFill="1" applyBorder="1" applyAlignment="1">
      <alignment horizontal="left" vertical="center"/>
    </xf>
    <xf numFmtId="168" fontId="11" fillId="23" borderId="163" xfId="13" applyNumberFormat="1" applyFont="1" applyFill="1" applyBorder="1" applyAlignment="1">
      <alignment horizontal="center" vertical="center"/>
    </xf>
    <xf numFmtId="168" fontId="11" fillId="23" borderId="160" xfId="13" applyNumberFormat="1" applyFont="1" applyFill="1" applyBorder="1" applyAlignment="1">
      <alignment horizontal="center" vertical="center"/>
    </xf>
    <xf numFmtId="168" fontId="11" fillId="20" borderId="159" xfId="13" applyNumberFormat="1" applyFont="1" applyFill="1" applyBorder="1" applyAlignment="1">
      <alignment horizontal="center" vertical="center"/>
    </xf>
    <xf numFmtId="168" fontId="11" fillId="20" borderId="163" xfId="13" applyNumberFormat="1" applyFont="1" applyFill="1" applyBorder="1" applyAlignment="1">
      <alignment horizontal="center" vertical="center"/>
    </xf>
    <xf numFmtId="168" fontId="11" fillId="20" borderId="160" xfId="13" applyNumberFormat="1" applyFont="1" applyFill="1" applyBorder="1" applyAlignment="1">
      <alignment horizontal="center" vertical="center"/>
    </xf>
    <xf numFmtId="42" fontId="0" fillId="12" borderId="157" xfId="32" applyFont="1" applyFill="1" applyBorder="1" applyAlignment="1" applyProtection="1">
      <alignment horizontal="center" vertical="center"/>
      <protection locked="0"/>
    </xf>
    <xf numFmtId="181" fontId="14" fillId="48" borderId="157" xfId="13" applyNumberFormat="1" applyFill="1" applyBorder="1" applyAlignment="1">
      <alignment vertical="center"/>
    </xf>
    <xf numFmtId="181" fontId="14" fillId="48" borderId="157" xfId="13" applyNumberFormat="1" applyFill="1" applyBorder="1"/>
    <xf numFmtId="42" fontId="0" fillId="58" borderId="157" xfId="32" applyFont="1" applyFill="1" applyBorder="1" applyAlignment="1" applyProtection="1">
      <alignment horizontal="center" vertical="center"/>
      <protection locked="0"/>
    </xf>
    <xf numFmtId="0" fontId="11" fillId="20" borderId="162" xfId="0" applyFont="1" applyFill="1" applyBorder="1" applyAlignment="1">
      <alignment horizontal="left" vertical="center"/>
    </xf>
    <xf numFmtId="175" fontId="19" fillId="0" borderId="162" xfId="0" applyNumberFormat="1" applyFont="1" applyBorder="1" applyAlignment="1">
      <alignment horizontal="left" wrapText="1"/>
    </xf>
    <xf numFmtId="175" fontId="19" fillId="0" borderId="162" xfId="0" applyNumberFormat="1" applyFont="1" applyBorder="1" applyAlignment="1">
      <alignment horizontal="left"/>
    </xf>
    <xf numFmtId="0" fontId="0" fillId="12" borderId="157" xfId="0" applyFill="1" applyBorder="1" applyAlignment="1" applyProtection="1">
      <alignment horizontal="left" vertical="center"/>
      <protection locked="0"/>
    </xf>
    <xf numFmtId="0" fontId="0" fillId="12" borderId="159" xfId="0" applyFill="1" applyBorder="1" applyAlignment="1" applyProtection="1">
      <alignment horizontal="left" vertical="center"/>
      <protection locked="0"/>
    </xf>
    <xf numFmtId="178" fontId="0" fillId="12" borderId="157" xfId="13" applyNumberFormat="1" applyFont="1" applyFill="1" applyBorder="1" applyAlignment="1" applyProtection="1">
      <alignment vertical="center"/>
      <protection locked="0"/>
    </xf>
    <xf numFmtId="0" fontId="0" fillId="12" borderId="167" xfId="0" applyFill="1" applyBorder="1" applyAlignment="1" applyProtection="1">
      <alignment horizontal="left" vertical="center"/>
      <protection locked="0"/>
    </xf>
    <xf numFmtId="0" fontId="0" fillId="12" borderId="168" xfId="0" applyFill="1" applyBorder="1" applyAlignment="1" applyProtection="1">
      <alignment horizontal="left" vertical="center"/>
      <protection locked="0"/>
    </xf>
    <xf numFmtId="178" fontId="0" fillId="12" borderId="167" xfId="13" applyNumberFormat="1" applyFont="1" applyFill="1" applyBorder="1" applyAlignment="1" applyProtection="1">
      <alignment vertical="center"/>
      <protection locked="0"/>
    </xf>
    <xf numFmtId="177" fontId="0" fillId="28" borderId="170" xfId="0" applyNumberFormat="1" applyFill="1" applyBorder="1" applyAlignment="1">
      <alignment horizontal="right" vertical="center"/>
    </xf>
    <xf numFmtId="179" fontId="0" fillId="12" borderId="164" xfId="13" applyNumberFormat="1" applyFont="1" applyFill="1" applyBorder="1" applyAlignment="1" applyProtection="1">
      <alignment horizontal="center" vertical="center"/>
      <protection locked="0"/>
    </xf>
    <xf numFmtId="179" fontId="0" fillId="12" borderId="167" xfId="13" applyNumberFormat="1" applyFont="1" applyFill="1" applyBorder="1" applyAlignment="1" applyProtection="1">
      <alignment horizontal="center" vertical="center"/>
      <protection locked="0"/>
    </xf>
    <xf numFmtId="168" fontId="0" fillId="61" borderId="3" xfId="13" applyNumberFormat="1" applyFont="1" applyFill="1" applyBorder="1" applyAlignment="1">
      <alignment vertical="center"/>
    </xf>
    <xf numFmtId="168" fontId="0" fillId="61" borderId="52" xfId="13" applyNumberFormat="1" applyFont="1" applyFill="1" applyBorder="1" applyAlignment="1">
      <alignment vertical="center"/>
    </xf>
    <xf numFmtId="168" fontId="13" fillId="34" borderId="173" xfId="0" applyNumberFormat="1" applyFont="1" applyFill="1" applyBorder="1" applyAlignment="1">
      <alignment horizontal="center" vertical="center" wrapText="1"/>
    </xf>
    <xf numFmtId="168" fontId="13" fillId="34" borderId="174" xfId="0" applyNumberFormat="1" applyFont="1" applyFill="1" applyBorder="1" applyAlignment="1">
      <alignment horizontal="center" vertical="center" wrapText="1"/>
    </xf>
    <xf numFmtId="168" fontId="13" fillId="34" borderId="175" xfId="0" applyNumberFormat="1" applyFont="1" applyFill="1" applyBorder="1" applyAlignment="1">
      <alignment horizontal="center" vertical="center" wrapText="1"/>
    </xf>
    <xf numFmtId="179" fontId="13" fillId="28" borderId="131" xfId="0" applyNumberFormat="1" applyFont="1" applyFill="1" applyBorder="1" applyAlignment="1">
      <alignment horizontal="center" vertical="center"/>
    </xf>
    <xf numFmtId="179" fontId="13" fillId="28" borderId="82" xfId="0" applyNumberFormat="1" applyFont="1" applyFill="1" applyBorder="1" applyAlignment="1">
      <alignment horizontal="center" vertical="center"/>
    </xf>
    <xf numFmtId="179" fontId="13" fillId="28" borderId="85" xfId="0" applyNumberFormat="1" applyFont="1" applyFill="1" applyBorder="1" applyAlignment="1">
      <alignment horizontal="center" vertical="center"/>
    </xf>
    <xf numFmtId="0" fontId="13" fillId="21" borderId="186" xfId="0" applyFont="1" applyFill="1" applyBorder="1" applyAlignment="1">
      <alignment horizontal="center" vertical="center"/>
    </xf>
    <xf numFmtId="0" fontId="11" fillId="23" borderId="187" xfId="0" applyFont="1" applyFill="1" applyBorder="1" applyAlignment="1">
      <alignment horizontal="left" vertical="center"/>
    </xf>
    <xf numFmtId="168" fontId="11" fillId="23" borderId="183" xfId="13" applyNumberFormat="1" applyFont="1" applyFill="1" applyBorder="1" applyAlignment="1">
      <alignment horizontal="center" vertical="center"/>
    </xf>
    <xf numFmtId="0" fontId="11" fillId="20" borderId="187" xfId="0" applyFont="1" applyFill="1" applyBorder="1" applyAlignment="1">
      <alignment horizontal="left" vertical="center"/>
    </xf>
    <xf numFmtId="168" fontId="11" fillId="20" borderId="183" xfId="13" applyNumberFormat="1" applyFont="1" applyFill="1" applyBorder="1" applyAlignment="1">
      <alignment horizontal="center" vertical="center"/>
    </xf>
    <xf numFmtId="168" fontId="13" fillId="41" borderId="183" xfId="13" applyNumberFormat="1" applyFont="1" applyFill="1" applyBorder="1" applyAlignment="1">
      <alignment vertical="center"/>
    </xf>
    <xf numFmtId="175" fontId="19" fillId="0" borderId="187" xfId="0" applyNumberFormat="1" applyFont="1" applyBorder="1" applyAlignment="1">
      <alignment horizontal="left"/>
    </xf>
    <xf numFmtId="168" fontId="0" fillId="46" borderId="183" xfId="13" applyNumberFormat="1" applyFont="1" applyFill="1" applyBorder="1" applyAlignment="1">
      <alignment vertical="center"/>
    </xf>
    <xf numFmtId="168" fontId="19" fillId="28" borderId="183" xfId="13" applyNumberFormat="1" applyFont="1" applyFill="1" applyBorder="1" applyAlignment="1">
      <alignment vertical="center"/>
    </xf>
    <xf numFmtId="168" fontId="0" fillId="12" borderId="183" xfId="13" applyNumberFormat="1" applyFont="1" applyFill="1" applyBorder="1" applyAlignment="1" applyProtection="1">
      <alignment vertical="center"/>
      <protection locked="0"/>
    </xf>
    <xf numFmtId="168" fontId="19" fillId="12" borderId="183" xfId="13" applyNumberFormat="1" applyFont="1" applyFill="1" applyBorder="1" applyAlignment="1" applyProtection="1">
      <alignment vertical="center"/>
      <protection locked="0"/>
    </xf>
    <xf numFmtId="176" fontId="19" fillId="12" borderId="183" xfId="12" applyNumberFormat="1" applyFont="1" applyFill="1" applyBorder="1" applyAlignment="1" applyProtection="1">
      <alignment vertical="center"/>
      <protection locked="0"/>
    </xf>
    <xf numFmtId="175" fontId="30" fillId="0" borderId="187" xfId="0" applyNumberFormat="1" applyFont="1" applyBorder="1" applyAlignment="1">
      <alignment horizontal="left"/>
    </xf>
    <xf numFmtId="168" fontId="11" fillId="20" borderId="183" xfId="13" applyNumberFormat="1" applyFont="1" applyFill="1" applyBorder="1" applyAlignment="1">
      <alignment vertical="center"/>
    </xf>
    <xf numFmtId="175" fontId="19" fillId="0" borderId="188" xfId="0" applyNumberFormat="1" applyFont="1" applyBorder="1" applyAlignment="1">
      <alignment horizontal="left"/>
    </xf>
    <xf numFmtId="0" fontId="13" fillId="21" borderId="190" xfId="0" applyFont="1" applyFill="1" applyBorder="1" applyAlignment="1">
      <alignment horizontal="center" vertical="center"/>
    </xf>
    <xf numFmtId="0" fontId="11" fillId="23" borderId="191" xfId="0" applyFont="1" applyFill="1" applyBorder="1" applyAlignment="1">
      <alignment horizontal="left" vertical="center"/>
    </xf>
    <xf numFmtId="168" fontId="11" fillId="23" borderId="178" xfId="13" applyNumberFormat="1" applyFont="1" applyFill="1" applyBorder="1" applyAlignment="1">
      <alignment horizontal="center" vertical="center"/>
    </xf>
    <xf numFmtId="168" fontId="11" fillId="53" borderId="178" xfId="13" applyNumberFormat="1" applyFont="1" applyFill="1" applyBorder="1" applyAlignment="1">
      <alignment vertical="center"/>
    </xf>
    <xf numFmtId="168" fontId="13" fillId="40" borderId="178" xfId="13" applyNumberFormat="1" applyFont="1" applyFill="1" applyBorder="1" applyAlignment="1">
      <alignment vertical="center"/>
    </xf>
    <xf numFmtId="168" fontId="11" fillId="23" borderId="192" xfId="13" applyNumberFormat="1" applyFont="1" applyFill="1" applyBorder="1" applyAlignment="1">
      <alignment horizontal="center" vertical="center"/>
    </xf>
    <xf numFmtId="168" fontId="11" fillId="54" borderId="183" xfId="13" applyNumberFormat="1" applyFont="1" applyFill="1" applyBorder="1" applyAlignment="1">
      <alignment vertical="center"/>
    </xf>
    <xf numFmtId="168" fontId="11" fillId="20" borderId="117" xfId="13" applyNumberFormat="1" applyFont="1" applyFill="1" applyBorder="1" applyAlignment="1">
      <alignment horizontal="center" vertical="center"/>
    </xf>
    <xf numFmtId="176" fontId="19" fillId="28" borderId="183" xfId="12" applyNumberFormat="1" applyFont="1" applyFill="1" applyBorder="1" applyAlignment="1">
      <alignment vertical="center"/>
    </xf>
    <xf numFmtId="168" fontId="11" fillId="27" borderId="193" xfId="13" applyNumberFormat="1" applyFont="1" applyFill="1" applyBorder="1" applyAlignment="1">
      <alignment vertical="center"/>
    </xf>
    <xf numFmtId="176" fontId="14" fillId="28" borderId="183" xfId="12" applyNumberFormat="1" applyFill="1" applyBorder="1"/>
    <xf numFmtId="168" fontId="11" fillId="55" borderId="183" xfId="13" applyNumberFormat="1" applyFont="1" applyFill="1" applyBorder="1" applyAlignment="1">
      <alignment vertical="center"/>
    </xf>
    <xf numFmtId="168" fontId="11" fillId="23" borderId="117" xfId="13" applyNumberFormat="1" applyFont="1" applyFill="1" applyBorder="1" applyAlignment="1">
      <alignment horizontal="center" vertical="center"/>
    </xf>
    <xf numFmtId="168" fontId="11" fillId="20" borderId="185" xfId="13" applyNumberFormat="1" applyFont="1" applyFill="1" applyBorder="1" applyAlignment="1">
      <alignment horizontal="center" vertical="center"/>
    </xf>
    <xf numFmtId="176" fontId="14" fillId="12" borderId="183" xfId="12" applyNumberFormat="1" applyFill="1" applyBorder="1" applyProtection="1">
      <protection locked="0"/>
    </xf>
    <xf numFmtId="168" fontId="19" fillId="56" borderId="183" xfId="13" applyNumberFormat="1" applyFont="1" applyFill="1" applyBorder="1" applyAlignment="1">
      <alignment vertical="center"/>
    </xf>
    <xf numFmtId="176" fontId="14" fillId="56" borderId="183" xfId="12" applyNumberFormat="1" applyFill="1" applyBorder="1"/>
    <xf numFmtId="168" fontId="19" fillId="57" borderId="183" xfId="13" applyNumberFormat="1" applyFont="1" applyFill="1" applyBorder="1" applyAlignment="1">
      <alignment vertical="center"/>
    </xf>
    <xf numFmtId="168" fontId="11" fillId="27" borderId="194" xfId="13" applyNumberFormat="1" applyFont="1" applyFill="1" applyBorder="1" applyAlignment="1">
      <alignment vertical="center"/>
    </xf>
    <xf numFmtId="0" fontId="13" fillId="30" borderId="195" xfId="0" applyFont="1" applyFill="1" applyBorder="1" applyAlignment="1">
      <alignment horizontal="center" vertical="center" wrapText="1"/>
    </xf>
    <xf numFmtId="0" fontId="13" fillId="31" borderId="196" xfId="0" applyFont="1" applyFill="1" applyBorder="1" applyAlignment="1">
      <alignment vertical="center"/>
    </xf>
    <xf numFmtId="167" fontId="13" fillId="31" borderId="167" xfId="13" applyNumberFormat="1" applyFont="1" applyFill="1" applyBorder="1" applyAlignment="1">
      <alignment vertical="center"/>
    </xf>
    <xf numFmtId="167" fontId="13" fillId="32" borderId="167" xfId="13" applyNumberFormat="1" applyFont="1" applyFill="1" applyBorder="1" applyAlignment="1">
      <alignment vertical="center"/>
    </xf>
    <xf numFmtId="167" fontId="13" fillId="31" borderId="100" xfId="13" applyNumberFormat="1" applyFont="1" applyFill="1" applyBorder="1" applyAlignment="1">
      <alignment vertical="center"/>
    </xf>
    <xf numFmtId="168" fontId="13" fillId="43" borderId="120" xfId="13" applyNumberFormat="1" applyFont="1" applyFill="1" applyBorder="1" applyAlignment="1">
      <alignment horizontal="center" vertical="center"/>
    </xf>
    <xf numFmtId="0" fontId="13" fillId="43" borderId="120" xfId="0" applyFont="1" applyFill="1" applyBorder="1" applyAlignment="1">
      <alignment horizontal="center" vertical="center"/>
    </xf>
    <xf numFmtId="168" fontId="11" fillId="62" borderId="178" xfId="13" applyNumberFormat="1" applyFont="1" applyFill="1" applyBorder="1" applyAlignment="1">
      <alignment vertical="center"/>
    </xf>
    <xf numFmtId="0" fontId="11" fillId="20" borderId="197" xfId="0" applyFont="1" applyFill="1" applyBorder="1" applyAlignment="1">
      <alignment horizontal="left" vertical="center"/>
    </xf>
    <xf numFmtId="168" fontId="11" fillId="20" borderId="198" xfId="13" applyNumberFormat="1" applyFont="1" applyFill="1" applyBorder="1" applyAlignment="1">
      <alignment horizontal="center" vertical="center"/>
    </xf>
    <xf numFmtId="168" fontId="11" fillId="22" borderId="198" xfId="13" applyNumberFormat="1" applyFont="1" applyFill="1" applyBorder="1" applyAlignment="1">
      <alignment vertical="center"/>
    </xf>
    <xf numFmtId="168" fontId="13" fillId="41" borderId="198" xfId="13" applyNumberFormat="1" applyFont="1" applyFill="1" applyBorder="1" applyAlignment="1">
      <alignment vertical="center"/>
    </xf>
    <xf numFmtId="175" fontId="19" fillId="0" borderId="197" xfId="0" applyNumberFormat="1" applyFont="1" applyBorder="1" applyAlignment="1">
      <alignment horizontal="left"/>
    </xf>
    <xf numFmtId="168" fontId="0" fillId="46" borderId="198" xfId="13" applyNumberFormat="1" applyFont="1" applyFill="1" applyBorder="1" applyAlignment="1">
      <alignment vertical="center"/>
    </xf>
    <xf numFmtId="168" fontId="19" fillId="1" borderId="198" xfId="13" applyNumberFormat="1" applyFont="1" applyFill="1" applyBorder="1" applyAlignment="1">
      <alignment vertical="center"/>
    </xf>
    <xf numFmtId="176" fontId="19" fillId="1" borderId="198" xfId="12" applyNumberFormat="1" applyFont="1" applyFill="1" applyBorder="1" applyAlignment="1">
      <alignment vertical="center"/>
    </xf>
    <xf numFmtId="168" fontId="19" fillId="28" borderId="198" xfId="13" applyNumberFormat="1" applyFont="1" applyFill="1" applyBorder="1" applyAlignment="1">
      <alignment vertical="center"/>
    </xf>
    <xf numFmtId="168" fontId="11" fillId="27" borderId="199" xfId="13" applyNumberFormat="1" applyFont="1" applyFill="1" applyBorder="1" applyAlignment="1">
      <alignment vertical="center"/>
    </xf>
    <xf numFmtId="168" fontId="0" fillId="12" borderId="198" xfId="13" applyNumberFormat="1" applyFont="1" applyFill="1" applyBorder="1" applyAlignment="1" applyProtection="1">
      <alignment vertical="center"/>
      <protection locked="0"/>
    </xf>
    <xf numFmtId="168" fontId="19" fillId="12" borderId="198" xfId="13" applyNumberFormat="1" applyFont="1" applyFill="1" applyBorder="1" applyAlignment="1" applyProtection="1">
      <alignment vertical="center"/>
      <protection locked="0"/>
    </xf>
    <xf numFmtId="176" fontId="19" fillId="12" borderId="198" xfId="12" applyNumberFormat="1" applyFont="1" applyFill="1" applyBorder="1" applyAlignment="1" applyProtection="1">
      <alignment vertical="center"/>
      <protection locked="0"/>
    </xf>
    <xf numFmtId="168" fontId="11" fillId="20" borderId="198" xfId="13" applyNumberFormat="1" applyFont="1" applyFill="1" applyBorder="1" applyAlignment="1" applyProtection="1">
      <alignment horizontal="center" vertical="center"/>
      <protection locked="0"/>
    </xf>
    <xf numFmtId="168" fontId="11" fillId="22" borderId="198" xfId="13" applyNumberFormat="1" applyFont="1" applyFill="1" applyBorder="1" applyAlignment="1" applyProtection="1">
      <alignment vertical="center"/>
      <protection locked="0"/>
    </xf>
    <xf numFmtId="175" fontId="30" fillId="0" borderId="197" xfId="0" applyNumberFormat="1" applyFont="1" applyBorder="1" applyAlignment="1">
      <alignment horizontal="left"/>
    </xf>
    <xf numFmtId="168" fontId="14" fillId="12" borderId="198" xfId="13" applyNumberFormat="1" applyFill="1" applyBorder="1" applyAlignment="1" applyProtection="1">
      <alignment vertical="center"/>
      <protection locked="0"/>
    </xf>
    <xf numFmtId="41" fontId="19" fillId="12" borderId="198" xfId="31" applyFont="1" applyFill="1" applyBorder="1" applyAlignment="1" applyProtection="1">
      <alignment vertical="center"/>
      <protection locked="0"/>
    </xf>
    <xf numFmtId="168" fontId="19" fillId="59" borderId="198" xfId="13" applyNumberFormat="1" applyFont="1" applyFill="1" applyBorder="1" applyAlignment="1" applyProtection="1">
      <alignment vertical="center"/>
      <protection locked="0"/>
    </xf>
    <xf numFmtId="41" fontId="11" fillId="59" borderId="198" xfId="31" applyFont="1" applyFill="1" applyBorder="1" applyAlignment="1" applyProtection="1">
      <alignment vertical="center"/>
      <protection locked="0"/>
    </xf>
    <xf numFmtId="168" fontId="19" fillId="58" borderId="198" xfId="13" applyNumberFormat="1" applyFont="1" applyFill="1" applyBorder="1" applyAlignment="1" applyProtection="1">
      <alignment vertical="center"/>
      <protection locked="0"/>
    </xf>
    <xf numFmtId="41" fontId="19" fillId="58" borderId="198" xfId="31" applyFont="1" applyFill="1" applyBorder="1" applyAlignment="1" applyProtection="1">
      <alignment vertical="center"/>
      <protection locked="0"/>
    </xf>
    <xf numFmtId="168" fontId="11" fillId="59" borderId="198" xfId="13" applyNumberFormat="1" applyFont="1" applyFill="1" applyBorder="1" applyAlignment="1" applyProtection="1">
      <alignment vertical="center"/>
      <protection locked="0"/>
    </xf>
    <xf numFmtId="0" fontId="13" fillId="21" borderId="200" xfId="0" applyFont="1" applyFill="1" applyBorder="1" applyAlignment="1">
      <alignment horizontal="center" vertical="center"/>
    </xf>
    <xf numFmtId="0" fontId="11" fillId="23" borderId="197" xfId="0" applyFont="1" applyFill="1" applyBorder="1" applyAlignment="1">
      <alignment horizontal="left" vertical="center"/>
    </xf>
    <xf numFmtId="168" fontId="11" fillId="23" borderId="198" xfId="13" applyNumberFormat="1" applyFont="1" applyFill="1" applyBorder="1" applyAlignment="1" applyProtection="1">
      <alignment horizontal="center" vertical="center"/>
      <protection locked="0"/>
    </xf>
    <xf numFmtId="168" fontId="11" fillId="40" borderId="198" xfId="13" applyNumberFormat="1" applyFont="1" applyFill="1" applyBorder="1" applyAlignment="1" applyProtection="1">
      <alignment vertical="center"/>
      <protection locked="0"/>
    </xf>
    <xf numFmtId="168" fontId="11" fillId="23" borderId="201" xfId="13" applyNumberFormat="1" applyFont="1" applyFill="1" applyBorder="1" applyAlignment="1" applyProtection="1">
      <alignment horizontal="center" vertical="center"/>
      <protection locked="0"/>
    </xf>
    <xf numFmtId="168" fontId="11" fillId="41" borderId="198" xfId="13" applyNumberFormat="1" applyFont="1" applyFill="1" applyBorder="1" applyAlignment="1" applyProtection="1">
      <alignment vertical="center"/>
      <protection locked="0"/>
    </xf>
    <xf numFmtId="168" fontId="11" fillId="20" borderId="198" xfId="13" applyNumberFormat="1" applyFont="1" applyFill="1" applyBorder="1" applyAlignment="1">
      <alignment vertical="center"/>
    </xf>
    <xf numFmtId="168" fontId="11" fillId="20" borderId="199" xfId="13" applyNumberFormat="1" applyFont="1" applyFill="1" applyBorder="1" applyAlignment="1">
      <alignment vertical="center"/>
    </xf>
    <xf numFmtId="41" fontId="11" fillId="41" borderId="198" xfId="31" applyFont="1" applyFill="1" applyBorder="1" applyAlignment="1" applyProtection="1">
      <alignment vertical="center"/>
      <protection locked="0"/>
    </xf>
    <xf numFmtId="175" fontId="19" fillId="0" borderId="202" xfId="0" applyNumberFormat="1" applyFont="1" applyBorder="1" applyAlignment="1">
      <alignment horizontal="left"/>
    </xf>
    <xf numFmtId="168" fontId="11" fillId="27" borderId="203" xfId="13" applyNumberFormat="1" applyFont="1" applyFill="1" applyBorder="1" applyAlignment="1">
      <alignment vertical="center"/>
    </xf>
    <xf numFmtId="0" fontId="13" fillId="30" borderId="204" xfId="0" applyFont="1" applyFill="1" applyBorder="1" applyAlignment="1">
      <alignment horizontal="center" vertical="center" wrapText="1"/>
    </xf>
    <xf numFmtId="0" fontId="13" fillId="31" borderId="205" xfId="0" applyFont="1" applyFill="1" applyBorder="1" applyAlignment="1">
      <alignment vertical="center"/>
    </xf>
    <xf numFmtId="167" fontId="13" fillId="31" borderId="206" xfId="13" applyNumberFormat="1" applyFont="1" applyFill="1" applyBorder="1" applyAlignment="1">
      <alignment vertical="center"/>
    </xf>
    <xf numFmtId="0" fontId="13" fillId="17" borderId="167" xfId="0" applyFont="1" applyFill="1" applyBorder="1" applyAlignment="1">
      <alignment horizontal="center" vertical="center" wrapText="1"/>
    </xf>
    <xf numFmtId="174" fontId="13" fillId="17" borderId="167" xfId="12" applyNumberFormat="1" applyFont="1" applyFill="1" applyBorder="1" applyAlignment="1">
      <alignment horizontal="center" vertical="center" wrapText="1"/>
    </xf>
    <xf numFmtId="0" fontId="11" fillId="17" borderId="167" xfId="0" applyFont="1" applyFill="1" applyBorder="1" applyAlignment="1">
      <alignment horizontal="center" vertical="center"/>
    </xf>
    <xf numFmtId="0" fontId="11" fillId="20" borderId="213" xfId="0" applyFont="1" applyFill="1" applyBorder="1" applyAlignment="1">
      <alignment horizontal="left" vertical="center"/>
    </xf>
    <xf numFmtId="168" fontId="11" fillId="20" borderId="214" xfId="13" applyNumberFormat="1" applyFont="1" applyFill="1" applyBorder="1" applyAlignment="1">
      <alignment horizontal="center" vertical="center"/>
    </xf>
    <xf numFmtId="168" fontId="11" fillId="54" borderId="214" xfId="13" applyNumberFormat="1" applyFont="1" applyFill="1" applyBorder="1" applyAlignment="1">
      <alignment vertical="center"/>
    </xf>
    <xf numFmtId="168" fontId="13" fillId="41" borderId="214" xfId="13" applyNumberFormat="1" applyFont="1" applyFill="1" applyBorder="1" applyAlignment="1">
      <alignment vertical="center"/>
    </xf>
    <xf numFmtId="175" fontId="19" fillId="0" borderId="213" xfId="0" applyNumberFormat="1" applyFont="1" applyBorder="1" applyAlignment="1">
      <alignment horizontal="left"/>
    </xf>
    <xf numFmtId="168" fontId="0" fillId="46" borderId="214" xfId="13" applyNumberFormat="1" applyFont="1" applyFill="1" applyBorder="1" applyAlignment="1">
      <alignment vertical="center"/>
    </xf>
    <xf numFmtId="168" fontId="19" fillId="28" borderId="214" xfId="13" applyNumberFormat="1" applyFont="1" applyFill="1" applyBorder="1" applyAlignment="1">
      <alignment vertical="center"/>
    </xf>
    <xf numFmtId="176" fontId="19" fillId="28" borderId="214" xfId="12" applyNumberFormat="1" applyFont="1" applyFill="1" applyBorder="1" applyAlignment="1">
      <alignment vertical="center"/>
    </xf>
    <xf numFmtId="168" fontId="11" fillId="27" borderId="215" xfId="13" applyNumberFormat="1" applyFont="1" applyFill="1" applyBorder="1" applyAlignment="1">
      <alignment vertical="center"/>
    </xf>
    <xf numFmtId="168" fontId="0" fillId="12" borderId="214" xfId="13" applyNumberFormat="1" applyFont="1" applyFill="1" applyBorder="1" applyAlignment="1" applyProtection="1">
      <alignment vertical="center"/>
      <protection locked="0"/>
    </xf>
    <xf numFmtId="168" fontId="19" fillId="12" borderId="214" xfId="13" applyNumberFormat="1" applyFont="1" applyFill="1" applyBorder="1" applyAlignment="1" applyProtection="1">
      <alignment vertical="center"/>
      <protection locked="0"/>
    </xf>
    <xf numFmtId="176" fontId="19" fillId="12" borderId="214" xfId="12" applyNumberFormat="1" applyFont="1" applyFill="1" applyBorder="1" applyAlignment="1" applyProtection="1">
      <alignment vertical="center"/>
      <protection locked="0"/>
    </xf>
    <xf numFmtId="175" fontId="30" fillId="0" borderId="213" xfId="0" applyNumberFormat="1" applyFont="1" applyBorder="1" applyAlignment="1">
      <alignment horizontal="left"/>
    </xf>
    <xf numFmtId="0" fontId="13" fillId="21" borderId="216" xfId="0" applyFont="1" applyFill="1" applyBorder="1" applyAlignment="1">
      <alignment horizontal="center" vertical="center"/>
    </xf>
    <xf numFmtId="0" fontId="11" fillId="23" borderId="213" xfId="0" applyFont="1" applyFill="1" applyBorder="1" applyAlignment="1">
      <alignment horizontal="left" vertical="center"/>
    </xf>
    <xf numFmtId="168" fontId="11" fillId="55" borderId="214" xfId="13" applyNumberFormat="1" applyFont="1" applyFill="1" applyBorder="1" applyAlignment="1">
      <alignment vertical="center"/>
    </xf>
    <xf numFmtId="168" fontId="11" fillId="20" borderId="217" xfId="13" applyNumberFormat="1" applyFont="1" applyFill="1" applyBorder="1" applyAlignment="1">
      <alignment horizontal="center" vertical="center"/>
    </xf>
    <xf numFmtId="176" fontId="14" fillId="12" borderId="214" xfId="12" applyNumberFormat="1" applyFill="1" applyBorder="1" applyProtection="1">
      <protection locked="0"/>
    </xf>
    <xf numFmtId="168" fontId="19" fillId="56" borderId="214" xfId="13" applyNumberFormat="1" applyFont="1" applyFill="1" applyBorder="1" applyAlignment="1">
      <alignment vertical="center"/>
    </xf>
    <xf numFmtId="176" fontId="14" fillId="56" borderId="214" xfId="12" applyNumberFormat="1" applyFill="1" applyBorder="1"/>
    <xf numFmtId="168" fontId="11" fillId="20" borderId="214" xfId="13" applyNumberFormat="1" applyFont="1" applyFill="1" applyBorder="1" applyAlignment="1">
      <alignment vertical="center"/>
    </xf>
    <xf numFmtId="168" fontId="19" fillId="57" borderId="214" xfId="13" applyNumberFormat="1" applyFont="1" applyFill="1" applyBorder="1" applyAlignment="1">
      <alignment vertical="center"/>
    </xf>
    <xf numFmtId="176" fontId="14" fillId="28" borderId="214" xfId="12" applyNumberFormat="1" applyFill="1" applyBorder="1"/>
    <xf numFmtId="175" fontId="19" fillId="0" borderId="218" xfId="0" applyNumberFormat="1" applyFont="1" applyBorder="1" applyAlignment="1">
      <alignment horizontal="left"/>
    </xf>
    <xf numFmtId="168" fontId="11" fillId="27" borderId="219" xfId="13" applyNumberFormat="1" applyFont="1" applyFill="1" applyBorder="1" applyAlignment="1">
      <alignment vertical="center"/>
    </xf>
    <xf numFmtId="0" fontId="13" fillId="30" borderId="221" xfId="0" applyFont="1" applyFill="1" applyBorder="1" applyAlignment="1">
      <alignment horizontal="center" vertical="center" wrapText="1"/>
    </xf>
    <xf numFmtId="0" fontId="13" fillId="31" borderId="222" xfId="0" applyFont="1" applyFill="1" applyBorder="1" applyAlignment="1">
      <alignment vertical="center"/>
    </xf>
    <xf numFmtId="167" fontId="13" fillId="31" borderId="223" xfId="13" applyNumberFormat="1" applyFont="1" applyFill="1" applyBorder="1" applyAlignment="1">
      <alignment vertical="center"/>
    </xf>
    <xf numFmtId="168" fontId="11" fillId="23" borderId="214" xfId="13" applyNumberFormat="1" applyFont="1" applyFill="1" applyBorder="1" applyAlignment="1">
      <alignment horizontal="center" vertical="center"/>
    </xf>
    <xf numFmtId="168" fontId="13" fillId="43" borderId="225" xfId="13" applyNumberFormat="1" applyFont="1" applyFill="1" applyBorder="1" applyAlignment="1">
      <alignment horizontal="center" vertical="center"/>
    </xf>
    <xf numFmtId="0" fontId="13" fillId="43" borderId="225" xfId="0" applyFont="1" applyFill="1" applyBorder="1" applyAlignment="1">
      <alignment horizontal="center" vertical="center"/>
    </xf>
    <xf numFmtId="167" fontId="24" fillId="29" borderId="68" xfId="0" applyNumberFormat="1" applyFont="1" applyFill="1" applyBorder="1" applyAlignment="1">
      <alignment vertical="center"/>
    </xf>
    <xf numFmtId="168" fontId="0" fillId="28" borderId="178" xfId="13" applyNumberFormat="1" applyFont="1" applyFill="1" applyBorder="1" applyAlignment="1">
      <alignment vertical="center"/>
    </xf>
    <xf numFmtId="168" fontId="0" fillId="36" borderId="178" xfId="13" applyNumberFormat="1" applyFont="1" applyFill="1" applyBorder="1" applyAlignment="1">
      <alignment vertical="center"/>
    </xf>
    <xf numFmtId="168" fontId="0" fillId="0" borderId="178" xfId="13" applyNumberFormat="1" applyFont="1" applyBorder="1" applyAlignment="1">
      <alignment vertical="center"/>
    </xf>
    <xf numFmtId="170" fontId="0" fillId="0" borderId="178" xfId="0" applyNumberFormat="1" applyBorder="1" applyAlignment="1">
      <alignment horizontal="center" vertical="center"/>
    </xf>
    <xf numFmtId="170" fontId="0" fillId="0" borderId="179" xfId="0" applyNumberFormat="1" applyBorder="1" applyAlignment="1">
      <alignment horizontal="center" vertical="center"/>
    </xf>
    <xf numFmtId="168" fontId="0" fillId="28" borderId="167" xfId="13" applyNumberFormat="1" applyFont="1" applyFill="1" applyBorder="1" applyAlignment="1">
      <alignment vertical="center"/>
    </xf>
    <xf numFmtId="168" fontId="0" fillId="0" borderId="167" xfId="13" applyNumberFormat="1" applyFont="1" applyBorder="1" applyAlignment="1">
      <alignment vertical="center"/>
    </xf>
    <xf numFmtId="170" fontId="0" fillId="0" borderId="167" xfId="0" applyNumberFormat="1" applyBorder="1" applyAlignment="1">
      <alignment horizontal="center" vertical="center"/>
    </xf>
    <xf numFmtId="170" fontId="0" fillId="0" borderId="155" xfId="0" applyNumberFormat="1" applyBorder="1" applyAlignment="1">
      <alignment horizontal="center" vertical="center"/>
    </xf>
    <xf numFmtId="168" fontId="13" fillId="34" borderId="228" xfId="0" applyNumberFormat="1" applyFont="1" applyFill="1" applyBorder="1" applyAlignment="1">
      <alignment horizontal="center" vertical="center" wrapText="1"/>
    </xf>
    <xf numFmtId="168" fontId="13" fillId="15" borderId="228" xfId="0" applyNumberFormat="1" applyFont="1" applyFill="1" applyBorder="1" applyAlignment="1">
      <alignment horizontal="center" vertical="center" wrapText="1"/>
    </xf>
    <xf numFmtId="168" fontId="13" fillId="15" borderId="229" xfId="0" applyNumberFormat="1" applyFont="1" applyFill="1" applyBorder="1" applyAlignment="1">
      <alignment horizontal="center" vertical="center" wrapText="1"/>
    </xf>
    <xf numFmtId="167" fontId="0" fillId="0" borderId="231" xfId="13" applyNumberFormat="1" applyFont="1" applyBorder="1" applyAlignment="1">
      <alignment vertical="center"/>
    </xf>
    <xf numFmtId="167" fontId="0" fillId="0" borderId="132" xfId="13" applyNumberFormat="1" applyFont="1" applyBorder="1" applyAlignment="1">
      <alignment vertical="center"/>
    </xf>
    <xf numFmtId="167" fontId="0" fillId="0" borderId="233" xfId="13" applyNumberFormat="1" applyFont="1" applyBorder="1" applyAlignment="1">
      <alignment vertical="center"/>
    </xf>
    <xf numFmtId="168" fontId="13" fillId="34" borderId="227" xfId="0" applyNumberFormat="1" applyFont="1" applyFill="1" applyBorder="1" applyAlignment="1">
      <alignment horizontal="center" vertical="center" wrapText="1"/>
    </xf>
    <xf numFmtId="168" fontId="13" fillId="34" borderId="229" xfId="0" applyNumberFormat="1" applyFont="1" applyFill="1" applyBorder="1" applyAlignment="1">
      <alignment horizontal="center" vertical="center" wrapText="1"/>
    </xf>
    <xf numFmtId="168" fontId="0" fillId="28" borderId="179" xfId="13" applyNumberFormat="1" applyFont="1" applyFill="1" applyBorder="1" applyAlignment="1">
      <alignment vertical="center"/>
    </xf>
    <xf numFmtId="168" fontId="0" fillId="28" borderId="169" xfId="13" applyNumberFormat="1" applyFont="1" applyFill="1" applyBorder="1" applyAlignment="1">
      <alignment vertical="center"/>
    </xf>
    <xf numFmtId="168" fontId="0" fillId="28" borderId="155" xfId="13" applyNumberFormat="1" applyFont="1" applyFill="1" applyBorder="1" applyAlignment="1">
      <alignment vertical="center"/>
    </xf>
    <xf numFmtId="168" fontId="0" fillId="61" borderId="226" xfId="13" applyNumberFormat="1" applyFont="1" applyFill="1" applyBorder="1" applyAlignment="1">
      <alignment vertical="center"/>
    </xf>
    <xf numFmtId="168" fontId="13" fillId="15" borderId="227" xfId="0" applyNumberFormat="1" applyFont="1" applyFill="1" applyBorder="1" applyAlignment="1">
      <alignment horizontal="center" vertical="center" wrapText="1"/>
    </xf>
    <xf numFmtId="168" fontId="0" fillId="36" borderId="179" xfId="13" applyNumberFormat="1" applyFont="1" applyFill="1" applyBorder="1" applyAlignment="1">
      <alignment vertical="center"/>
    </xf>
    <xf numFmtId="168" fontId="0" fillId="36" borderId="169" xfId="13" applyNumberFormat="1" applyFont="1" applyFill="1" applyBorder="1" applyAlignment="1">
      <alignment vertical="center"/>
    </xf>
    <xf numFmtId="168" fontId="0" fillId="0" borderId="179" xfId="13" applyNumberFormat="1" applyFont="1" applyBorder="1" applyAlignment="1">
      <alignment vertical="center"/>
    </xf>
    <xf numFmtId="168" fontId="0" fillId="0" borderId="169" xfId="13" applyNumberFormat="1" applyFont="1" applyBorder="1" applyAlignment="1">
      <alignment vertical="center"/>
    </xf>
    <xf numFmtId="168" fontId="0" fillId="0" borderId="230" xfId="13" applyNumberFormat="1" applyFont="1" applyBorder="1" applyAlignment="1">
      <alignment vertical="center"/>
    </xf>
    <xf numFmtId="168" fontId="0" fillId="0" borderId="155" xfId="13" applyNumberFormat="1" applyFont="1" applyBorder="1" applyAlignment="1">
      <alignment vertical="center"/>
    </xf>
    <xf numFmtId="168" fontId="13" fillId="34" borderId="234" xfId="0" applyNumberFormat="1" applyFont="1" applyFill="1" applyBorder="1" applyAlignment="1">
      <alignment horizontal="center" vertical="center" wrapText="1"/>
    </xf>
    <xf numFmtId="180" fontId="14" fillId="36" borderId="153" xfId="16" applyNumberFormat="1" applyFill="1" applyBorder="1" applyAlignment="1">
      <alignment horizontal="center" vertical="center"/>
    </xf>
    <xf numFmtId="180" fontId="14" fillId="36" borderId="98" xfId="16" applyNumberFormat="1" applyFill="1" applyBorder="1" applyAlignment="1">
      <alignment horizontal="center" vertical="center"/>
    </xf>
    <xf numFmtId="168" fontId="0" fillId="28" borderId="227" xfId="13" applyNumberFormat="1" applyFont="1" applyFill="1" applyBorder="1" applyAlignment="1">
      <alignment vertical="center"/>
    </xf>
    <xf numFmtId="168" fontId="0" fillId="28" borderId="228" xfId="13" applyNumberFormat="1" applyFont="1" applyFill="1" applyBorder="1" applyAlignment="1">
      <alignment vertical="center"/>
    </xf>
    <xf numFmtId="168" fontId="0" fillId="28" borderId="232" xfId="13" applyNumberFormat="1" applyFont="1" applyFill="1" applyBorder="1" applyAlignment="1">
      <alignment vertical="center"/>
    </xf>
    <xf numFmtId="168" fontId="0" fillId="28" borderId="131" xfId="13" applyNumberFormat="1" applyFont="1" applyFill="1" applyBorder="1" applyAlignment="1">
      <alignment vertical="center"/>
    </xf>
    <xf numFmtId="168" fontId="14" fillId="0" borderId="226" xfId="13" applyNumberFormat="1" applyBorder="1" applyAlignment="1">
      <alignment vertical="center"/>
    </xf>
    <xf numFmtId="173" fontId="0" fillId="0" borderId="226" xfId="12" applyNumberFormat="1" applyFont="1" applyBorder="1" applyAlignment="1">
      <alignment vertical="center"/>
    </xf>
    <xf numFmtId="168" fontId="13" fillId="39" borderId="226" xfId="13" applyNumberFormat="1" applyFont="1" applyFill="1" applyBorder="1" applyAlignment="1">
      <alignment vertical="center"/>
    </xf>
    <xf numFmtId="168" fontId="14" fillId="1" borderId="226" xfId="13" applyNumberFormat="1" applyFill="1" applyBorder="1" applyAlignment="1">
      <alignment vertical="center"/>
    </xf>
    <xf numFmtId="173" fontId="0" fillId="1" borderId="226" xfId="12" applyNumberFormat="1" applyFont="1" applyFill="1" applyBorder="1" applyAlignment="1">
      <alignment vertical="center"/>
    </xf>
    <xf numFmtId="168" fontId="0" fillId="0" borderId="226" xfId="13" applyNumberFormat="1" applyFont="1" applyBorder="1" applyAlignment="1">
      <alignment vertical="center"/>
    </xf>
    <xf numFmtId="168" fontId="0" fillId="0" borderId="184" xfId="13" applyNumberFormat="1" applyFont="1" applyBorder="1" applyAlignment="1">
      <alignment vertical="center"/>
    </xf>
    <xf numFmtId="178" fontId="0" fillId="46" borderId="231" xfId="13" applyNumberFormat="1" applyFont="1" applyFill="1" applyBorder="1" applyAlignment="1">
      <alignment vertical="center"/>
    </xf>
    <xf numFmtId="178" fontId="0" fillId="28" borderId="244" xfId="13" applyNumberFormat="1" applyFont="1" applyFill="1" applyBorder="1" applyAlignment="1">
      <alignment vertical="center"/>
    </xf>
    <xf numFmtId="0" fontId="0" fillId="46" borderId="179" xfId="0" applyFill="1" applyBorder="1" applyAlignment="1">
      <alignment horizontal="left" vertical="center"/>
    </xf>
    <xf numFmtId="0" fontId="0" fillId="46" borderId="155" xfId="0" applyFill="1" applyBorder="1" applyAlignment="1">
      <alignment horizontal="left" vertical="center"/>
    </xf>
    <xf numFmtId="181" fontId="14" fillId="12" borderId="183" xfId="13" applyNumberFormat="1" applyFill="1" applyBorder="1"/>
    <xf numFmtId="181" fontId="14" fillId="12" borderId="224" xfId="13" applyNumberFormat="1" applyFill="1" applyBorder="1"/>
    <xf numFmtId="168" fontId="0" fillId="64" borderId="214" xfId="13" applyNumberFormat="1" applyFont="1" applyFill="1" applyBorder="1" applyAlignment="1">
      <alignment vertical="center"/>
    </xf>
    <xf numFmtId="168" fontId="0" fillId="64" borderId="183" xfId="13" applyNumberFormat="1" applyFont="1" applyFill="1" applyBorder="1" applyAlignment="1">
      <alignment vertical="center"/>
    </xf>
    <xf numFmtId="0" fontId="13" fillId="16" borderId="96" xfId="0" applyFont="1" applyFill="1" applyBorder="1" applyAlignment="1">
      <alignment horizontal="center" vertical="center" wrapText="1"/>
    </xf>
    <xf numFmtId="0" fontId="1" fillId="43" borderId="0" xfId="34" applyFill="1"/>
    <xf numFmtId="0" fontId="36" fillId="63" borderId="247" xfId="34" applyFont="1" applyFill="1" applyBorder="1" applyAlignment="1">
      <alignment horizontal="center" vertical="center"/>
    </xf>
    <xf numFmtId="0" fontId="36" fillId="65" borderId="247" xfId="34" applyFont="1" applyFill="1" applyBorder="1" applyAlignment="1">
      <alignment horizontal="center" vertical="center" wrapText="1"/>
    </xf>
    <xf numFmtId="0" fontId="36" fillId="43" borderId="0" xfId="34" applyFont="1" applyFill="1" applyAlignment="1">
      <alignment horizontal="right"/>
    </xf>
    <xf numFmtId="1" fontId="37" fillId="43" borderId="247" xfId="35" applyNumberFormat="1" applyFont="1" applyFill="1" applyBorder="1" applyAlignment="1">
      <alignment horizontal="center" vertical="center"/>
    </xf>
    <xf numFmtId="1" fontId="37" fillId="43" borderId="0" xfId="35" applyNumberFormat="1" applyFont="1" applyFill="1" applyBorder="1" applyAlignment="1">
      <alignment horizontal="center" vertical="center"/>
    </xf>
    <xf numFmtId="0" fontId="36" fillId="48" borderId="0" xfId="34" applyFont="1" applyFill="1" applyAlignment="1">
      <alignment horizontal="left" vertical="center" indent="1"/>
    </xf>
    <xf numFmtId="0" fontId="1" fillId="43" borderId="0" xfId="34" applyFill="1" applyAlignment="1">
      <alignment horizontal="left" indent="2"/>
    </xf>
    <xf numFmtId="186" fontId="1" fillId="43" borderId="0" xfId="34" applyNumberFormat="1" applyFill="1"/>
    <xf numFmtId="186" fontId="36" fillId="43" borderId="0" xfId="34" applyNumberFormat="1" applyFont="1" applyFill="1"/>
    <xf numFmtId="0" fontId="36" fillId="63" borderId="243" xfId="34" applyFont="1" applyFill="1" applyBorder="1" applyAlignment="1">
      <alignment horizontal="left" indent="2"/>
    </xf>
    <xf numFmtId="186" fontId="36" fillId="63" borderId="243" xfId="34" applyNumberFormat="1" applyFont="1" applyFill="1" applyBorder="1"/>
    <xf numFmtId="168" fontId="13" fillId="34" borderId="39" xfId="0" applyNumberFormat="1" applyFont="1" applyFill="1" applyBorder="1" applyAlignment="1">
      <alignment horizontal="center" vertical="center" wrapText="1"/>
    </xf>
    <xf numFmtId="179" fontId="0" fillId="12" borderId="231" xfId="13" applyNumberFormat="1" applyFont="1" applyFill="1" applyBorder="1" applyAlignment="1" applyProtection="1">
      <alignment horizontal="center" vertical="center"/>
      <protection locked="0"/>
    </xf>
    <xf numFmtId="179" fontId="0" fillId="12" borderId="47" xfId="13" applyNumberFormat="1" applyFont="1" applyFill="1" applyBorder="1" applyAlignment="1" applyProtection="1">
      <alignment horizontal="center" vertical="center"/>
      <protection locked="0"/>
    </xf>
    <xf numFmtId="179" fontId="0" fillId="12" borderId="168" xfId="13" applyNumberFormat="1" applyFont="1" applyFill="1" applyBorder="1" applyAlignment="1" applyProtection="1">
      <alignment horizontal="center" vertical="center"/>
      <protection locked="0"/>
    </xf>
    <xf numFmtId="168" fontId="13" fillId="34" borderId="58" xfId="0" applyNumberFormat="1" applyFont="1" applyFill="1" applyBorder="1" applyAlignment="1">
      <alignment horizontal="center" vertical="center" wrapText="1"/>
    </xf>
    <xf numFmtId="179" fontId="0" fillId="12" borderId="244" xfId="13" applyNumberFormat="1" applyFont="1" applyFill="1" applyBorder="1" applyAlignment="1" applyProtection="1">
      <alignment horizontal="center" vertical="center"/>
      <protection locked="0"/>
    </xf>
    <xf numFmtId="179" fontId="0" fillId="12" borderId="35" xfId="13" applyNumberFormat="1" applyFont="1" applyFill="1" applyBorder="1" applyAlignment="1" applyProtection="1">
      <alignment horizontal="center" vertical="center"/>
      <protection locked="0"/>
    </xf>
    <xf numFmtId="179" fontId="0" fillId="12" borderId="98" xfId="13" applyNumberFormat="1" applyFont="1" applyFill="1" applyBorder="1" applyAlignment="1" applyProtection="1">
      <alignment horizontal="center" vertical="center"/>
      <protection locked="0"/>
    </xf>
    <xf numFmtId="0" fontId="0" fillId="0" borderId="250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110" xfId="0" applyBorder="1" applyAlignment="1">
      <alignment horizontal="left" vertical="center"/>
    </xf>
    <xf numFmtId="179" fontId="13" fillId="28" borderId="250" xfId="0" applyNumberFormat="1" applyFont="1" applyFill="1" applyBorder="1" applyAlignment="1">
      <alignment horizontal="center" vertical="center"/>
    </xf>
    <xf numFmtId="179" fontId="13" fillId="28" borderId="64" xfId="0" applyNumberFormat="1" applyFont="1" applyFill="1" applyBorder="1" applyAlignment="1">
      <alignment horizontal="center" vertical="center"/>
    </xf>
    <xf numFmtId="179" fontId="13" fillId="28" borderId="110" xfId="0" applyNumberFormat="1" applyFont="1" applyFill="1" applyBorder="1" applyAlignment="1">
      <alignment horizontal="center" vertical="center"/>
    </xf>
    <xf numFmtId="179" fontId="13" fillId="63" borderId="61" xfId="0" applyNumberFormat="1" applyFont="1" applyFill="1" applyBorder="1" applyAlignment="1">
      <alignment horizontal="center" vertical="center"/>
    </xf>
    <xf numFmtId="170" fontId="0" fillId="46" borderId="68" xfId="13" applyNumberFormat="1" applyFont="1" applyFill="1" applyBorder="1" applyAlignment="1">
      <alignment horizontal="center" vertical="center"/>
    </xf>
    <xf numFmtId="178" fontId="0" fillId="28" borderId="68" xfId="13" applyNumberFormat="1" applyFont="1" applyFill="1" applyBorder="1" applyAlignment="1">
      <alignment vertical="center"/>
    </xf>
    <xf numFmtId="0" fontId="0" fillId="46" borderId="231" xfId="0" applyFill="1" applyBorder="1" applyAlignment="1">
      <alignment horizontal="left" vertical="center"/>
    </xf>
    <xf numFmtId="178" fontId="0" fillId="46" borderId="177" xfId="13" applyNumberFormat="1" applyFont="1" applyFill="1" applyBorder="1" applyAlignment="1">
      <alignment vertical="center"/>
    </xf>
    <xf numFmtId="178" fontId="0" fillId="46" borderId="178" xfId="13" applyNumberFormat="1" applyFont="1" applyFill="1" applyBorder="1" applyAlignment="1">
      <alignment vertical="center"/>
    </xf>
    <xf numFmtId="170" fontId="0" fillId="46" borderId="178" xfId="13" applyNumberFormat="1" applyFont="1" applyFill="1" applyBorder="1" applyAlignment="1">
      <alignment horizontal="center" vertical="center"/>
    </xf>
    <xf numFmtId="178" fontId="0" fillId="28" borderId="178" xfId="13" applyNumberFormat="1" applyFont="1" applyFill="1" applyBorder="1" applyAlignment="1">
      <alignment vertical="center"/>
    </xf>
    <xf numFmtId="178" fontId="0" fillId="28" borderId="179" xfId="13" applyNumberFormat="1" applyFont="1" applyFill="1" applyBorder="1" applyAlignment="1">
      <alignment vertical="center"/>
    </xf>
    <xf numFmtId="0" fontId="0" fillId="46" borderId="168" xfId="0" applyFill="1" applyBorder="1" applyAlignment="1">
      <alignment horizontal="left" vertical="center"/>
    </xf>
    <xf numFmtId="178" fontId="0" fillId="46" borderId="169" xfId="13" applyNumberFormat="1" applyFont="1" applyFill="1" applyBorder="1" applyAlignment="1">
      <alignment vertical="center"/>
    </xf>
    <xf numFmtId="178" fontId="0" fillId="28" borderId="98" xfId="13" applyNumberFormat="1" applyFont="1" applyFill="1" applyBorder="1" applyAlignment="1">
      <alignment vertical="center"/>
    </xf>
    <xf numFmtId="178" fontId="0" fillId="46" borderId="244" xfId="13" applyNumberFormat="1" applyFont="1" applyFill="1" applyBorder="1" applyAlignment="1">
      <alignment vertical="center"/>
    </xf>
    <xf numFmtId="178" fontId="0" fillId="46" borderId="98" xfId="13" applyNumberFormat="1" applyFont="1" applyFill="1" applyBorder="1" applyAlignment="1">
      <alignment vertical="center"/>
    </xf>
    <xf numFmtId="178" fontId="0" fillId="46" borderId="167" xfId="13" applyNumberFormat="1" applyFont="1" applyFill="1" applyBorder="1" applyAlignment="1">
      <alignment vertical="center"/>
    </xf>
    <xf numFmtId="178" fontId="0" fillId="46" borderId="168" xfId="13" applyNumberFormat="1" applyFont="1" applyFill="1" applyBorder="1" applyAlignment="1">
      <alignment vertical="center"/>
    </xf>
    <xf numFmtId="170" fontId="0" fillId="46" borderId="167" xfId="13" applyNumberFormat="1" applyFont="1" applyFill="1" applyBorder="1" applyAlignment="1">
      <alignment horizontal="center" vertical="center"/>
    </xf>
    <xf numFmtId="178" fontId="0" fillId="28" borderId="167" xfId="13" applyNumberFormat="1" applyFont="1" applyFill="1" applyBorder="1" applyAlignment="1">
      <alignment vertical="center"/>
    </xf>
    <xf numFmtId="178" fontId="0" fillId="28" borderId="155" xfId="13" applyNumberFormat="1" applyFont="1" applyFill="1" applyBorder="1" applyAlignment="1">
      <alignment vertical="center"/>
    </xf>
    <xf numFmtId="178" fontId="0" fillId="51" borderId="243" xfId="13" applyNumberFormat="1" applyFont="1" applyFill="1" applyBorder="1" applyAlignment="1">
      <alignment vertical="center"/>
    </xf>
    <xf numFmtId="178" fontId="14" fillId="28" borderId="178" xfId="13" applyNumberFormat="1" applyFill="1" applyBorder="1" applyAlignment="1">
      <alignment vertical="center"/>
    </xf>
    <xf numFmtId="178" fontId="0" fillId="51" borderId="226" xfId="13" applyNumberFormat="1" applyFont="1" applyFill="1" applyBorder="1" applyAlignment="1">
      <alignment vertical="center"/>
    </xf>
    <xf numFmtId="168" fontId="13" fillId="34" borderId="241" xfId="0" applyNumberFormat="1" applyFont="1" applyFill="1" applyBorder="1" applyAlignment="1">
      <alignment horizontal="center" vertical="center" wrapText="1"/>
    </xf>
    <xf numFmtId="168" fontId="13" fillId="34" borderId="251" xfId="0" applyNumberFormat="1" applyFont="1" applyFill="1" applyBorder="1" applyAlignment="1">
      <alignment horizontal="center" vertical="center" wrapText="1"/>
    </xf>
    <xf numFmtId="168" fontId="13" fillId="15" borderId="252" xfId="0" applyNumberFormat="1" applyFont="1" applyFill="1" applyBorder="1" applyAlignment="1">
      <alignment horizontal="center" vertical="center" wrapText="1"/>
    </xf>
    <xf numFmtId="168" fontId="13" fillId="15" borderId="27" xfId="0" applyNumberFormat="1" applyFont="1" applyFill="1" applyBorder="1" applyAlignment="1">
      <alignment horizontal="center" vertical="center" wrapText="1"/>
    </xf>
    <xf numFmtId="168" fontId="13" fillId="15" borderId="251" xfId="0" applyNumberFormat="1" applyFont="1" applyFill="1" applyBorder="1" applyAlignment="1">
      <alignment horizontal="center" vertical="center" wrapText="1"/>
    </xf>
    <xf numFmtId="168" fontId="13" fillId="15" borderId="253" xfId="0" applyNumberFormat="1" applyFont="1" applyFill="1" applyBorder="1" applyAlignment="1">
      <alignment horizontal="center" vertical="center" wrapText="1"/>
    </xf>
    <xf numFmtId="170" fontId="0" fillId="12" borderId="177" xfId="13" applyNumberFormat="1" applyFont="1" applyFill="1" applyBorder="1" applyAlignment="1" applyProtection="1">
      <alignment horizontal="center" vertical="center"/>
      <protection locked="0"/>
    </xf>
    <xf numFmtId="170" fontId="0" fillId="46" borderId="179" xfId="13" applyNumberFormat="1" applyFont="1" applyFill="1" applyBorder="1" applyAlignment="1">
      <alignment horizontal="center" vertical="center"/>
    </xf>
    <xf numFmtId="170" fontId="0" fillId="12" borderId="169" xfId="13" applyNumberFormat="1" applyFont="1" applyFill="1" applyBorder="1" applyAlignment="1" applyProtection="1">
      <alignment horizontal="center" vertical="center"/>
      <protection locked="0"/>
    </xf>
    <xf numFmtId="170" fontId="0" fillId="46" borderId="155" xfId="13" applyNumberFormat="1" applyFont="1" applyFill="1" applyBorder="1" applyAlignment="1">
      <alignment horizontal="center" vertical="center"/>
    </xf>
    <xf numFmtId="168" fontId="13" fillId="34" borderId="116" xfId="0" applyNumberFormat="1" applyFont="1" applyFill="1" applyBorder="1" applyAlignment="1">
      <alignment horizontal="center" vertical="center" wrapText="1"/>
    </xf>
    <xf numFmtId="178" fontId="0" fillId="28" borderId="246" xfId="13" applyNumberFormat="1" applyFont="1" applyFill="1" applyBorder="1" applyAlignment="1">
      <alignment vertical="center"/>
    </xf>
    <xf numFmtId="178" fontId="14" fillId="28" borderId="98" xfId="13" applyNumberFormat="1" applyFill="1" applyBorder="1" applyAlignment="1">
      <alignment vertical="center"/>
    </xf>
    <xf numFmtId="168" fontId="13" fillId="15" borderId="235" xfId="0" applyNumberFormat="1" applyFont="1" applyFill="1" applyBorder="1" applyAlignment="1">
      <alignment horizontal="center" vertical="center" wrapText="1"/>
    </xf>
    <xf numFmtId="168" fontId="13" fillId="15" borderId="234" xfId="0" applyNumberFormat="1" applyFont="1" applyFill="1" applyBorder="1" applyAlignment="1">
      <alignment horizontal="center" vertical="center" wrapText="1"/>
    </xf>
    <xf numFmtId="170" fontId="0" fillId="12" borderId="184" xfId="13" applyNumberFormat="1" applyFont="1" applyFill="1" applyBorder="1" applyAlignment="1" applyProtection="1">
      <alignment horizontal="center" vertical="center"/>
      <protection locked="0"/>
    </xf>
    <xf numFmtId="0" fontId="0" fillId="46" borderId="245" xfId="0" applyFill="1" applyBorder="1" applyAlignment="1">
      <alignment horizontal="left" vertical="center"/>
    </xf>
    <xf numFmtId="168" fontId="13" fillId="34" borderId="235" xfId="0" applyNumberFormat="1" applyFont="1" applyFill="1" applyBorder="1" applyAlignment="1">
      <alignment horizontal="center" vertical="center" wrapText="1"/>
    </xf>
    <xf numFmtId="168" fontId="13" fillId="34" borderId="253" xfId="0" applyNumberFormat="1" applyFont="1" applyFill="1" applyBorder="1" applyAlignment="1">
      <alignment horizontal="center" vertical="center" wrapText="1"/>
    </xf>
    <xf numFmtId="178" fontId="14" fillId="28" borderId="177" xfId="13" applyNumberFormat="1" applyFill="1" applyBorder="1" applyAlignment="1">
      <alignment vertical="center"/>
    </xf>
    <xf numFmtId="178" fontId="14" fillId="28" borderId="179" xfId="13" applyNumberFormat="1" applyFill="1" applyBorder="1" applyAlignment="1">
      <alignment vertical="center"/>
    </xf>
    <xf numFmtId="178" fontId="14" fillId="28" borderId="184" xfId="13" applyNumberFormat="1" applyFill="1" applyBorder="1" applyAlignment="1">
      <alignment vertical="center"/>
    </xf>
    <xf numFmtId="178" fontId="14" fillId="46" borderId="169" xfId="13" applyNumberFormat="1" applyFill="1" applyBorder="1" applyAlignment="1">
      <alignment vertical="center"/>
    </xf>
    <xf numFmtId="178" fontId="14" fillId="46" borderId="167" xfId="13" applyNumberFormat="1" applyFill="1" applyBorder="1" applyAlignment="1">
      <alignment vertical="center"/>
    </xf>
    <xf numFmtId="178" fontId="14" fillId="46" borderId="155" xfId="13" applyNumberFormat="1" applyFill="1" applyBorder="1" applyAlignment="1">
      <alignment vertical="center"/>
    </xf>
    <xf numFmtId="178" fontId="0" fillId="28" borderId="238" xfId="13" applyNumberFormat="1" applyFont="1" applyFill="1" applyBorder="1" applyAlignment="1">
      <alignment vertical="center"/>
    </xf>
    <xf numFmtId="178" fontId="0" fillId="28" borderId="237" xfId="13" applyNumberFormat="1" applyFont="1" applyFill="1" applyBorder="1" applyAlignment="1">
      <alignment vertical="center"/>
    </xf>
    <xf numFmtId="170" fontId="0" fillId="12" borderId="236" xfId="13" applyNumberFormat="1" applyFont="1" applyFill="1" applyBorder="1" applyAlignment="1" applyProtection="1">
      <alignment horizontal="center" vertical="center"/>
      <protection locked="0"/>
    </xf>
    <xf numFmtId="170" fontId="0" fillId="46" borderId="237" xfId="13" applyNumberFormat="1" applyFont="1" applyFill="1" applyBorder="1" applyAlignment="1">
      <alignment horizontal="center" vertical="center"/>
    </xf>
    <xf numFmtId="175" fontId="19" fillId="0" borderId="187" xfId="0" applyNumberFormat="1" applyFont="1" applyBorder="1" applyAlignment="1">
      <alignment horizontal="left" vertical="center"/>
    </xf>
    <xf numFmtId="176" fontId="14" fillId="56" borderId="183" xfId="12" applyNumberFormat="1" applyFill="1" applyBorder="1" applyAlignment="1">
      <alignment vertical="center"/>
    </xf>
    <xf numFmtId="168" fontId="0" fillId="28" borderId="183" xfId="13" applyNumberFormat="1" applyFont="1" applyFill="1" applyBorder="1" applyAlignment="1">
      <alignment vertical="center"/>
    </xf>
    <xf numFmtId="168" fontId="0" fillId="28" borderId="198" xfId="13" applyNumberFormat="1" applyFont="1" applyFill="1" applyBorder="1" applyAlignment="1">
      <alignment vertical="center"/>
    </xf>
    <xf numFmtId="41" fontId="19" fillId="28" borderId="198" xfId="31" applyFont="1" applyFill="1" applyBorder="1" applyAlignment="1" applyProtection="1">
      <alignment vertical="center"/>
    </xf>
    <xf numFmtId="168" fontId="0" fillId="28" borderId="214" xfId="13" applyNumberFormat="1" applyFont="1" applyFill="1" applyBorder="1" applyAlignment="1">
      <alignment vertical="center"/>
    </xf>
    <xf numFmtId="177" fontId="0" fillId="0" borderId="245" xfId="0" applyNumberFormat="1" applyBorder="1" applyAlignment="1">
      <alignment horizontal="right" vertical="center"/>
    </xf>
    <xf numFmtId="9" fontId="0" fillId="25" borderId="109" xfId="0" applyNumberFormat="1" applyFill="1" applyBorder="1" applyAlignment="1">
      <alignment horizontal="center" vertical="center"/>
    </xf>
    <xf numFmtId="168" fontId="0" fillId="28" borderId="236" xfId="13" applyNumberFormat="1" applyFont="1" applyFill="1" applyBorder="1" applyAlignment="1">
      <alignment vertical="center"/>
    </xf>
    <xf numFmtId="168" fontId="0" fillId="28" borderId="68" xfId="13" applyNumberFormat="1" applyFont="1" applyFill="1" applyBorder="1" applyAlignment="1">
      <alignment vertical="center"/>
    </xf>
    <xf numFmtId="168" fontId="0" fillId="28" borderId="177" xfId="13" applyNumberFormat="1" applyFont="1" applyFill="1" applyBorder="1" applyAlignment="1">
      <alignment vertical="center"/>
    </xf>
    <xf numFmtId="168" fontId="0" fillId="28" borderId="231" xfId="13" applyNumberFormat="1" applyFont="1" applyFill="1" applyBorder="1" applyAlignment="1">
      <alignment vertical="center"/>
    </xf>
    <xf numFmtId="168" fontId="0" fillId="28" borderId="168" xfId="13" applyNumberFormat="1" applyFont="1" applyFill="1" applyBorder="1" applyAlignment="1">
      <alignment vertical="center"/>
    </xf>
    <xf numFmtId="168" fontId="0" fillId="0" borderId="244" xfId="13" applyNumberFormat="1" applyFont="1" applyBorder="1" applyAlignment="1">
      <alignment vertical="center"/>
    </xf>
    <xf numFmtId="168" fontId="0" fillId="36" borderId="177" xfId="13" applyNumberFormat="1" applyFont="1" applyFill="1" applyBorder="1" applyAlignment="1">
      <alignment vertical="center"/>
    </xf>
    <xf numFmtId="168" fontId="0" fillId="36" borderId="167" xfId="13" applyNumberFormat="1" applyFont="1" applyFill="1" applyBorder="1" applyAlignment="1">
      <alignment vertical="center"/>
    </xf>
    <xf numFmtId="168" fontId="0" fillId="36" borderId="155" xfId="13" applyNumberFormat="1" applyFont="1" applyFill="1" applyBorder="1" applyAlignment="1">
      <alignment vertical="center"/>
    </xf>
    <xf numFmtId="168" fontId="0" fillId="36" borderId="231" xfId="13" applyNumberFormat="1" applyFont="1" applyFill="1" applyBorder="1" applyAlignment="1">
      <alignment vertical="center"/>
    </xf>
    <xf numFmtId="168" fontId="0" fillId="36" borderId="168" xfId="13" applyNumberFormat="1" applyFont="1" applyFill="1" applyBorder="1" applyAlignment="1">
      <alignment vertical="center"/>
    </xf>
    <xf numFmtId="170" fontId="0" fillId="0" borderId="244" xfId="0" applyNumberFormat="1" applyBorder="1" applyAlignment="1">
      <alignment horizontal="center" vertical="center"/>
    </xf>
    <xf numFmtId="170" fontId="0" fillId="0" borderId="98" xfId="0" applyNumberFormat="1" applyBorder="1" applyAlignment="1">
      <alignment horizontal="center" vertical="center"/>
    </xf>
    <xf numFmtId="168" fontId="0" fillId="0" borderId="243" xfId="13" applyNumberFormat="1" applyFont="1" applyBorder="1" applyAlignment="1">
      <alignment vertical="center"/>
    </xf>
    <xf numFmtId="168" fontId="0" fillId="0" borderId="177" xfId="13" applyNumberFormat="1" applyFont="1" applyBorder="1" applyAlignment="1">
      <alignment vertical="center"/>
    </xf>
    <xf numFmtId="168" fontId="0" fillId="0" borderId="231" xfId="13" applyNumberFormat="1" applyFont="1" applyBorder="1" applyAlignment="1">
      <alignment vertical="center"/>
    </xf>
    <xf numFmtId="170" fontId="0" fillId="0" borderId="177" xfId="0" applyNumberFormat="1" applyBorder="1" applyAlignment="1">
      <alignment horizontal="center" vertical="center"/>
    </xf>
    <xf numFmtId="168" fontId="0" fillId="28" borderId="242" xfId="13" applyNumberFormat="1" applyFont="1" applyFill="1" applyBorder="1" applyAlignment="1">
      <alignment vertical="center"/>
    </xf>
    <xf numFmtId="168" fontId="0" fillId="36" borderId="236" xfId="13" applyNumberFormat="1" applyFont="1" applyFill="1" applyBorder="1" applyAlignment="1">
      <alignment vertical="center"/>
    </xf>
    <xf numFmtId="168" fontId="0" fillId="36" borderId="68" xfId="13" applyNumberFormat="1" applyFont="1" applyFill="1" applyBorder="1" applyAlignment="1">
      <alignment vertical="center"/>
    </xf>
    <xf numFmtId="168" fontId="0" fillId="36" borderId="184" xfId="13" applyNumberFormat="1" applyFont="1" applyFill="1" applyBorder="1" applyAlignment="1">
      <alignment vertical="center"/>
    </xf>
    <xf numFmtId="168" fontId="0" fillId="36" borderId="242" xfId="13" applyNumberFormat="1" applyFont="1" applyFill="1" applyBorder="1" applyAlignment="1">
      <alignment vertical="center"/>
    </xf>
    <xf numFmtId="168" fontId="0" fillId="0" borderId="35" xfId="13" applyNumberFormat="1" applyFont="1" applyBorder="1" applyAlignment="1">
      <alignment vertical="center"/>
    </xf>
    <xf numFmtId="168" fontId="0" fillId="0" borderId="228" xfId="13" applyNumberFormat="1" applyFont="1" applyBorder="1" applyAlignment="1">
      <alignment vertical="center"/>
    </xf>
    <xf numFmtId="168" fontId="0" fillId="0" borderId="232" xfId="13" applyNumberFormat="1" applyFont="1" applyBorder="1" applyAlignment="1">
      <alignment vertical="center"/>
    </xf>
    <xf numFmtId="170" fontId="0" fillId="0" borderId="227" xfId="0" applyNumberFormat="1" applyBorder="1" applyAlignment="1">
      <alignment horizontal="center" vertical="center"/>
    </xf>
    <xf numFmtId="170" fontId="0" fillId="0" borderId="228" xfId="0" applyNumberFormat="1" applyBorder="1" applyAlignment="1">
      <alignment horizontal="center" vertical="center"/>
    </xf>
    <xf numFmtId="170" fontId="0" fillId="0" borderId="229" xfId="0" applyNumberFormat="1" applyBorder="1" applyAlignment="1">
      <alignment horizontal="center" vertical="center"/>
    </xf>
    <xf numFmtId="168" fontId="0" fillId="36" borderId="227" xfId="13" applyNumberFormat="1" applyFont="1" applyFill="1" applyBorder="1" applyAlignment="1">
      <alignment vertical="center"/>
    </xf>
    <xf numFmtId="168" fontId="0" fillId="36" borderId="228" xfId="13" applyNumberFormat="1" applyFont="1" applyFill="1" applyBorder="1" applyAlignment="1">
      <alignment vertical="center"/>
    </xf>
    <xf numFmtId="168" fontId="0" fillId="36" borderId="232" xfId="13" applyNumberFormat="1" applyFont="1" applyFill="1" applyBorder="1" applyAlignment="1">
      <alignment vertical="center"/>
    </xf>
    <xf numFmtId="168" fontId="0" fillId="0" borderId="227" xfId="13" applyNumberFormat="1" applyFont="1" applyBorder="1" applyAlignment="1">
      <alignment vertical="center"/>
    </xf>
    <xf numFmtId="168" fontId="0" fillId="28" borderId="184" xfId="13" applyNumberFormat="1" applyFont="1" applyFill="1" applyBorder="1" applyAlignment="1">
      <alignment vertical="center"/>
    </xf>
    <xf numFmtId="170" fontId="0" fillId="0" borderId="246" xfId="0" applyNumberFormat="1" applyBorder="1" applyAlignment="1">
      <alignment horizontal="center" vertical="center"/>
    </xf>
    <xf numFmtId="168" fontId="0" fillId="61" borderId="243" xfId="13" applyNumberFormat="1" applyFont="1" applyFill="1" applyBorder="1" applyAlignment="1">
      <alignment vertical="center"/>
    </xf>
    <xf numFmtId="168" fontId="0" fillId="52" borderId="243" xfId="13" applyNumberFormat="1" applyFont="1" applyFill="1" applyBorder="1" applyAlignment="1">
      <alignment vertical="center"/>
    </xf>
    <xf numFmtId="168" fontId="0" fillId="52" borderId="245" xfId="13" applyNumberFormat="1" applyFont="1" applyFill="1" applyBorder="1" applyAlignment="1">
      <alignment vertical="center"/>
    </xf>
    <xf numFmtId="168" fontId="0" fillId="1" borderId="243" xfId="13" applyNumberFormat="1" applyFont="1" applyFill="1" applyBorder="1" applyAlignment="1">
      <alignment vertical="center"/>
    </xf>
    <xf numFmtId="168" fontId="0" fillId="1" borderId="226" xfId="13" applyNumberFormat="1" applyFont="1" applyFill="1" applyBorder="1" applyAlignment="1">
      <alignment vertical="center"/>
    </xf>
    <xf numFmtId="170" fontId="0" fillId="1" borderId="243" xfId="0" applyNumberFormat="1" applyFill="1" applyBorder="1" applyAlignment="1">
      <alignment horizontal="center" vertical="center"/>
    </xf>
    <xf numFmtId="170" fontId="0" fillId="1" borderId="226" xfId="0" applyNumberFormat="1" applyFill="1" applyBorder="1" applyAlignment="1">
      <alignment horizontal="center" vertical="center"/>
    </xf>
    <xf numFmtId="178" fontId="0" fillId="12" borderId="244" xfId="13" applyNumberFormat="1" applyFont="1" applyFill="1" applyBorder="1" applyAlignment="1" applyProtection="1">
      <alignment vertical="center"/>
      <protection locked="0"/>
    </xf>
    <xf numFmtId="178" fontId="0" fillId="12" borderId="246" xfId="13" applyNumberFormat="1" applyFont="1" applyFill="1" applyBorder="1" applyAlignment="1" applyProtection="1">
      <alignment vertical="center"/>
      <protection locked="0"/>
    </xf>
    <xf numFmtId="178" fontId="0" fillId="12" borderId="98" xfId="13" applyNumberFormat="1" applyFont="1" applyFill="1" applyBorder="1" applyAlignment="1" applyProtection="1">
      <alignment vertical="center"/>
      <protection locked="0"/>
    </xf>
    <xf numFmtId="178" fontId="0" fillId="12" borderId="238" xfId="13" applyNumberFormat="1" applyFont="1" applyFill="1" applyBorder="1" applyAlignment="1" applyProtection="1">
      <alignment vertical="center"/>
      <protection locked="0"/>
    </xf>
    <xf numFmtId="178" fontId="0" fillId="12" borderId="68" xfId="13" applyNumberFormat="1" applyFont="1" applyFill="1" applyBorder="1" applyAlignment="1" applyProtection="1">
      <alignment vertical="center"/>
      <protection locked="0"/>
    </xf>
    <xf numFmtId="0" fontId="0" fillId="12" borderId="68" xfId="0" applyFill="1" applyBorder="1" applyAlignment="1" applyProtection="1">
      <alignment horizontal="left" vertical="center"/>
      <protection locked="0"/>
    </xf>
    <xf numFmtId="0" fontId="0" fillId="12" borderId="242" xfId="0" applyFill="1" applyBorder="1" applyAlignment="1" applyProtection="1">
      <alignment horizontal="left" vertical="center"/>
      <protection locked="0"/>
    </xf>
    <xf numFmtId="177" fontId="0" fillId="28" borderId="256" xfId="0" applyNumberFormat="1" applyFill="1" applyBorder="1" applyAlignment="1">
      <alignment horizontal="right" vertical="center"/>
    </xf>
    <xf numFmtId="0" fontId="0" fillId="12" borderId="178" xfId="0" applyFill="1" applyBorder="1" applyAlignment="1" applyProtection="1">
      <alignment horizontal="left" vertical="center"/>
      <protection locked="0"/>
    </xf>
    <xf numFmtId="0" fontId="0" fillId="12" borderId="231" xfId="0" applyFill="1" applyBorder="1" applyAlignment="1" applyProtection="1">
      <alignment horizontal="left" vertical="center"/>
      <protection locked="0"/>
    </xf>
    <xf numFmtId="178" fontId="0" fillId="12" borderId="178" xfId="13" applyNumberFormat="1" applyFont="1" applyFill="1" applyBorder="1" applyAlignment="1" applyProtection="1">
      <alignment vertical="center"/>
      <protection locked="0"/>
    </xf>
    <xf numFmtId="0" fontId="0" fillId="12" borderId="243" xfId="0" applyFill="1" applyBorder="1" applyAlignment="1" applyProtection="1">
      <alignment horizontal="left" vertical="center"/>
      <protection locked="0"/>
    </xf>
    <xf numFmtId="0" fontId="0" fillId="12" borderId="245" xfId="0" applyFill="1" applyBorder="1" applyAlignment="1" applyProtection="1">
      <alignment horizontal="left" vertical="center"/>
      <protection locked="0"/>
    </xf>
    <xf numFmtId="178" fontId="0" fillId="12" borderId="243" xfId="13" applyNumberFormat="1" applyFont="1" applyFill="1" applyBorder="1" applyAlignment="1" applyProtection="1">
      <alignment vertical="center"/>
      <protection locked="0"/>
    </xf>
    <xf numFmtId="0" fontId="0" fillId="12" borderId="228" xfId="0" applyFill="1" applyBorder="1" applyAlignment="1" applyProtection="1">
      <alignment horizontal="left" vertical="center"/>
      <protection locked="0"/>
    </xf>
    <xf numFmtId="0" fontId="0" fillId="12" borderId="232" xfId="0" applyFill="1" applyBorder="1" applyAlignment="1" applyProtection="1">
      <alignment horizontal="left" vertical="center"/>
      <protection locked="0"/>
    </xf>
    <xf numFmtId="177" fontId="0" fillId="28" borderId="21" xfId="0" applyNumberFormat="1" applyFill="1" applyBorder="1" applyAlignment="1">
      <alignment horizontal="right" vertical="center"/>
    </xf>
    <xf numFmtId="178" fontId="0" fillId="12" borderId="228" xfId="13" applyNumberFormat="1" applyFont="1" applyFill="1" applyBorder="1" applyAlignment="1" applyProtection="1">
      <alignment vertical="center"/>
      <protection locked="0"/>
    </xf>
    <xf numFmtId="177" fontId="22" fillId="27" borderId="46" xfId="0" applyNumberFormat="1" applyFont="1" applyFill="1" applyBorder="1" applyAlignment="1">
      <alignment horizontal="center" vertical="center"/>
    </xf>
    <xf numFmtId="0" fontId="0" fillId="12" borderId="244" xfId="0" applyFill="1" applyBorder="1" applyAlignment="1" applyProtection="1">
      <alignment horizontal="left" vertical="center"/>
      <protection locked="0"/>
    </xf>
    <xf numFmtId="0" fontId="0" fillId="12" borderId="246" xfId="0" applyFill="1" applyBorder="1" applyAlignment="1" applyProtection="1">
      <alignment horizontal="left" vertical="center"/>
      <protection locked="0"/>
    </xf>
    <xf numFmtId="0" fontId="0" fillId="12" borderId="238" xfId="0" applyFill="1" applyBorder="1" applyAlignment="1" applyProtection="1">
      <alignment horizontal="left" vertical="center"/>
      <protection locked="0"/>
    </xf>
    <xf numFmtId="178" fontId="0" fillId="12" borderId="248" xfId="13" applyNumberFormat="1" applyFont="1" applyFill="1" applyBorder="1" applyAlignment="1" applyProtection="1">
      <alignment vertical="center"/>
      <protection locked="0"/>
    </xf>
    <xf numFmtId="178" fontId="0" fillId="12" borderId="258" xfId="13" applyNumberFormat="1" applyFont="1" applyFill="1" applyBorder="1" applyAlignment="1" applyProtection="1">
      <alignment vertical="center"/>
      <protection locked="0"/>
    </xf>
    <xf numFmtId="178" fontId="0" fillId="12" borderId="90" xfId="13" applyNumberFormat="1" applyFont="1" applyFill="1" applyBorder="1" applyAlignment="1" applyProtection="1">
      <alignment vertical="center"/>
      <protection locked="0"/>
    </xf>
    <xf numFmtId="178" fontId="0" fillId="12" borderId="259" xfId="13" applyNumberFormat="1" applyFont="1" applyFill="1" applyBorder="1" applyAlignment="1" applyProtection="1">
      <alignment vertical="center"/>
      <protection locked="0"/>
    </xf>
    <xf numFmtId="178" fontId="0" fillId="12" borderId="260" xfId="13" applyNumberFormat="1" applyFont="1" applyFill="1" applyBorder="1" applyAlignment="1" applyProtection="1">
      <alignment vertical="center"/>
      <protection locked="0"/>
    </xf>
    <xf numFmtId="178" fontId="0" fillId="12" borderId="35" xfId="13" applyNumberFormat="1" applyFont="1" applyFill="1" applyBorder="1" applyAlignment="1" applyProtection="1">
      <alignment vertical="center"/>
      <protection locked="0"/>
    </xf>
    <xf numFmtId="177" fontId="0" fillId="28" borderId="250" xfId="0" applyNumberFormat="1" applyFill="1" applyBorder="1" applyAlignment="1">
      <alignment horizontal="right" vertical="center"/>
    </xf>
    <xf numFmtId="177" fontId="0" fillId="28" borderId="261" xfId="0" applyNumberFormat="1" applyFill="1" applyBorder="1" applyAlignment="1">
      <alignment horizontal="right" vertical="center"/>
    </xf>
    <xf numFmtId="177" fontId="0" fillId="28" borderId="93" xfId="0" applyNumberFormat="1" applyFill="1" applyBorder="1" applyAlignment="1">
      <alignment horizontal="right" vertical="center"/>
    </xf>
    <xf numFmtId="168" fontId="13" fillId="34" borderId="264" xfId="0" applyNumberFormat="1" applyFont="1" applyFill="1" applyBorder="1" applyAlignment="1">
      <alignment horizontal="center" vertical="center" wrapText="1"/>
    </xf>
    <xf numFmtId="168" fontId="13" fillId="34" borderId="239" xfId="0" applyNumberFormat="1" applyFont="1" applyFill="1" applyBorder="1" applyAlignment="1">
      <alignment horizontal="center" vertical="center" wrapText="1"/>
    </xf>
    <xf numFmtId="168" fontId="14" fillId="0" borderId="243" xfId="13" applyNumberFormat="1" applyBorder="1" applyAlignment="1">
      <alignment vertical="center"/>
    </xf>
    <xf numFmtId="168" fontId="0" fillId="10" borderId="243" xfId="13" applyNumberFormat="1" applyFont="1" applyFill="1" applyBorder="1" applyAlignment="1">
      <alignment horizontal="right" vertical="center"/>
    </xf>
    <xf numFmtId="173" fontId="0" fillId="0" borderId="243" xfId="12" applyNumberFormat="1" applyFont="1" applyBorder="1" applyAlignment="1">
      <alignment vertical="center"/>
    </xf>
    <xf numFmtId="168" fontId="13" fillId="39" borderId="243" xfId="13" applyNumberFormat="1" applyFont="1" applyFill="1" applyBorder="1" applyAlignment="1">
      <alignment vertical="center"/>
    </xf>
    <xf numFmtId="168" fontId="13" fillId="39" borderId="243" xfId="13" applyNumberFormat="1" applyFont="1" applyFill="1" applyBorder="1" applyAlignment="1">
      <alignment horizontal="right" vertical="center"/>
    </xf>
    <xf numFmtId="168" fontId="14" fillId="0" borderId="178" xfId="13" applyNumberFormat="1" applyBorder="1" applyAlignment="1">
      <alignment vertical="center"/>
    </xf>
    <xf numFmtId="168" fontId="0" fillId="10" borderId="178" xfId="13" applyNumberFormat="1" applyFont="1" applyFill="1" applyBorder="1" applyAlignment="1">
      <alignment horizontal="right" vertical="center"/>
    </xf>
    <xf numFmtId="168" fontId="22" fillId="31" borderId="228" xfId="13" applyNumberFormat="1" applyFont="1" applyFill="1" applyBorder="1" applyAlignment="1">
      <alignment vertical="center" wrapText="1"/>
    </xf>
    <xf numFmtId="168" fontId="22" fillId="31" borderId="229" xfId="13" applyNumberFormat="1" applyFont="1" applyFill="1" applyBorder="1" applyAlignment="1">
      <alignment vertical="center" wrapText="1"/>
    </xf>
    <xf numFmtId="168" fontId="14" fillId="1" borderId="243" xfId="13" applyNumberFormat="1" applyFill="1" applyBorder="1" applyAlignment="1">
      <alignment vertical="center"/>
    </xf>
    <xf numFmtId="173" fontId="0" fillId="1" borderId="243" xfId="12" applyNumberFormat="1" applyFont="1" applyFill="1" applyBorder="1" applyAlignment="1">
      <alignment vertical="center"/>
    </xf>
    <xf numFmtId="168" fontId="13" fillId="47" borderId="243" xfId="13" applyNumberFormat="1" applyFont="1" applyFill="1" applyBorder="1" applyAlignment="1">
      <alignment vertical="center"/>
    </xf>
    <xf numFmtId="168" fontId="22" fillId="31" borderId="50" xfId="13" applyNumberFormat="1" applyFont="1" applyFill="1" applyBorder="1" applyAlignment="1">
      <alignment vertical="center" wrapText="1"/>
    </xf>
    <xf numFmtId="168" fontId="22" fillId="31" borderId="51" xfId="13" applyNumberFormat="1" applyFont="1" applyFill="1" applyBorder="1" applyAlignment="1">
      <alignment vertical="center" wrapText="1"/>
    </xf>
    <xf numFmtId="168" fontId="13" fillId="39" borderId="245" xfId="13" applyNumberFormat="1" applyFont="1" applyFill="1" applyBorder="1" applyAlignment="1">
      <alignment vertical="center"/>
    </xf>
    <xf numFmtId="168" fontId="22" fillId="31" borderId="232" xfId="13" applyNumberFormat="1" applyFont="1" applyFill="1" applyBorder="1" applyAlignment="1">
      <alignment vertical="center" wrapText="1"/>
    </xf>
    <xf numFmtId="168" fontId="13" fillId="47" borderId="245" xfId="13" applyNumberFormat="1" applyFont="1" applyFill="1" applyBorder="1" applyAlignment="1">
      <alignment vertical="center"/>
    </xf>
    <xf numFmtId="168" fontId="22" fillId="31" borderId="265" xfId="13" applyNumberFormat="1" applyFont="1" applyFill="1" applyBorder="1" applyAlignment="1">
      <alignment vertical="center" wrapText="1"/>
    </xf>
    <xf numFmtId="168" fontId="0" fillId="10" borderId="244" xfId="13" applyNumberFormat="1" applyFont="1" applyFill="1" applyBorder="1" applyAlignment="1">
      <alignment horizontal="right" vertical="center"/>
    </xf>
    <xf numFmtId="168" fontId="0" fillId="10" borderId="246" xfId="13" applyNumberFormat="1" applyFont="1" applyFill="1" applyBorder="1" applyAlignment="1">
      <alignment horizontal="right" vertical="center"/>
    </xf>
    <xf numFmtId="168" fontId="13" fillId="39" borderId="246" xfId="13" applyNumberFormat="1" applyFont="1" applyFill="1" applyBorder="1" applyAlignment="1">
      <alignment horizontal="right" vertical="center"/>
    </xf>
    <xf numFmtId="168" fontId="22" fillId="31" borderId="35" xfId="13" applyNumberFormat="1" applyFont="1" applyFill="1" applyBorder="1" applyAlignment="1">
      <alignment vertical="center" wrapText="1"/>
    </xf>
    <xf numFmtId="168" fontId="22" fillId="31" borderId="267" xfId="13" applyNumberFormat="1" applyFont="1" applyFill="1" applyBorder="1" applyAlignment="1">
      <alignment vertical="center" wrapText="1"/>
    </xf>
    <xf numFmtId="168" fontId="13" fillId="34" borderId="255" xfId="0" applyNumberFormat="1" applyFont="1" applyFill="1" applyBorder="1" applyAlignment="1">
      <alignment horizontal="center" vertical="center" wrapText="1"/>
    </xf>
    <xf numFmtId="168" fontId="14" fillId="0" borderId="177" xfId="13" applyNumberFormat="1" applyBorder="1" applyAlignment="1">
      <alignment vertical="center"/>
    </xf>
    <xf numFmtId="168" fontId="14" fillId="0" borderId="179" xfId="13" applyNumberFormat="1" applyBorder="1" applyAlignment="1">
      <alignment vertical="center"/>
    </xf>
    <xf numFmtId="173" fontId="0" fillId="0" borderId="230" xfId="12" applyNumberFormat="1" applyFont="1" applyBorder="1" applyAlignment="1">
      <alignment vertical="center"/>
    </xf>
    <xf numFmtId="168" fontId="13" fillId="39" borderId="230" xfId="13" applyNumberFormat="1" applyFont="1" applyFill="1" applyBorder="1" applyAlignment="1">
      <alignment vertical="center"/>
    </xf>
    <xf numFmtId="168" fontId="22" fillId="31" borderId="227" xfId="13" applyNumberFormat="1" applyFont="1" applyFill="1" applyBorder="1" applyAlignment="1">
      <alignment vertical="center" wrapText="1"/>
    </xf>
    <xf numFmtId="168" fontId="0" fillId="0" borderId="231" xfId="0" applyNumberFormat="1" applyBorder="1" applyAlignment="1">
      <alignment vertical="center"/>
    </xf>
    <xf numFmtId="168" fontId="0" fillId="0" borderId="245" xfId="0" applyNumberFormat="1" applyBorder="1" applyAlignment="1">
      <alignment vertical="center"/>
    </xf>
    <xf numFmtId="168" fontId="13" fillId="39" borderId="245" xfId="0" applyNumberFormat="1" applyFont="1" applyFill="1" applyBorder="1" applyAlignment="1">
      <alignment vertical="center"/>
    </xf>
    <xf numFmtId="168" fontId="14" fillId="0" borderId="230" xfId="13" applyNumberFormat="1" applyBorder="1" applyAlignment="1">
      <alignment vertical="center"/>
    </xf>
    <xf numFmtId="168" fontId="14" fillId="1" borderId="177" xfId="13" applyNumberFormat="1" applyFill="1" applyBorder="1" applyAlignment="1">
      <alignment vertical="center"/>
    </xf>
    <xf numFmtId="173" fontId="0" fillId="1" borderId="230" xfId="12" applyNumberFormat="1" applyFont="1" applyFill="1" applyBorder="1" applyAlignment="1">
      <alignment vertical="center"/>
    </xf>
    <xf numFmtId="168" fontId="13" fillId="47" borderId="230" xfId="13" applyNumberFormat="1" applyFont="1" applyFill="1" applyBorder="1" applyAlignment="1">
      <alignment vertical="center"/>
    </xf>
    <xf numFmtId="168" fontId="14" fillId="1" borderId="230" xfId="13" applyNumberFormat="1" applyFill="1" applyBorder="1" applyAlignment="1">
      <alignment vertical="center"/>
    </xf>
    <xf numFmtId="168" fontId="13" fillId="47" borderId="226" xfId="13" applyNumberFormat="1" applyFont="1" applyFill="1" applyBorder="1" applyAlignment="1">
      <alignment vertical="center"/>
    </xf>
    <xf numFmtId="168" fontId="14" fillId="43" borderId="231" xfId="13" applyNumberFormat="1" applyFill="1" applyBorder="1" applyAlignment="1">
      <alignment vertical="center"/>
    </xf>
    <xf numFmtId="173" fontId="0" fillId="12" borderId="245" xfId="12" applyNumberFormat="1" applyFont="1" applyFill="1" applyBorder="1" applyAlignment="1" applyProtection="1">
      <alignment vertical="center"/>
      <protection locked="0"/>
    </xf>
    <xf numFmtId="168" fontId="14" fillId="43" borderId="245" xfId="13" applyNumberFormat="1" applyFill="1" applyBorder="1" applyAlignment="1">
      <alignment vertical="center"/>
    </xf>
    <xf numFmtId="168" fontId="14" fillId="45" borderId="231" xfId="13" applyNumberFormat="1" applyFill="1" applyBorder="1" applyAlignment="1">
      <alignment vertical="center"/>
    </xf>
    <xf numFmtId="173" fontId="0" fillId="45" borderId="245" xfId="12" applyNumberFormat="1" applyFont="1" applyFill="1" applyBorder="1" applyAlignment="1">
      <alignment vertical="center"/>
    </xf>
    <xf numFmtId="168" fontId="14" fillId="45" borderId="245" xfId="13" applyNumberFormat="1" applyFill="1" applyBorder="1" applyAlignment="1">
      <alignment vertical="center"/>
    </xf>
    <xf numFmtId="168" fontId="13" fillId="39" borderId="109" xfId="13" applyNumberFormat="1" applyFont="1" applyFill="1" applyBorder="1" applyAlignment="1">
      <alignment horizontal="right" vertical="center"/>
    </xf>
    <xf numFmtId="168" fontId="22" fillId="31" borderId="93" xfId="13" applyNumberFormat="1" applyFont="1" applyFill="1" applyBorder="1" applyAlignment="1">
      <alignment vertical="center" wrapText="1"/>
    </xf>
    <xf numFmtId="168" fontId="22" fillId="31" borderId="61" xfId="13" applyNumberFormat="1" applyFont="1" applyFill="1" applyBorder="1" applyAlignment="1">
      <alignment vertical="center" wrapText="1"/>
    </xf>
    <xf numFmtId="176" fontId="14" fillId="0" borderId="0" xfId="12" applyNumberFormat="1"/>
    <xf numFmtId="2" fontId="0" fillId="0" borderId="0" xfId="0" applyNumberFormat="1"/>
    <xf numFmtId="168" fontId="0" fillId="61" borderId="80" xfId="13" applyNumberFormat="1" applyFont="1" applyFill="1" applyBorder="1" applyAlignment="1">
      <alignment vertical="center"/>
    </xf>
    <xf numFmtId="168" fontId="0" fillId="61" borderId="92" xfId="13" applyNumberFormat="1" applyFont="1" applyFill="1" applyBorder="1" applyAlignment="1">
      <alignment vertical="center"/>
    </xf>
    <xf numFmtId="180" fontId="14" fillId="52" borderId="80" xfId="16" applyNumberFormat="1" applyFill="1" applyBorder="1" applyAlignment="1">
      <alignment horizontal="center" vertical="center"/>
    </xf>
    <xf numFmtId="180" fontId="14" fillId="52" borderId="92" xfId="16" applyNumberFormat="1" applyFill="1" applyBorder="1" applyAlignment="1">
      <alignment horizontal="center" vertical="center"/>
    </xf>
    <xf numFmtId="0" fontId="0" fillId="42" borderId="0" xfId="0" applyFill="1"/>
    <xf numFmtId="0" fontId="13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3" fillId="16" borderId="40" xfId="0" applyFont="1" applyFill="1" applyBorder="1" applyAlignment="1">
      <alignment horizontal="center" vertical="center" wrapText="1"/>
    </xf>
    <xf numFmtId="179" fontId="0" fillId="60" borderId="80" xfId="13" applyNumberFormat="1" applyFont="1" applyFill="1" applyBorder="1" applyAlignment="1">
      <alignment horizontal="center" vertical="center"/>
    </xf>
    <xf numFmtId="168" fontId="0" fillId="58" borderId="183" xfId="13" applyNumberFormat="1" applyFont="1" applyFill="1" applyBorder="1" applyAlignment="1">
      <alignment vertical="center"/>
    </xf>
    <xf numFmtId="168" fontId="0" fillId="58" borderId="214" xfId="13" applyNumberFormat="1" applyFont="1" applyFill="1" applyBorder="1" applyAlignment="1">
      <alignment vertical="center"/>
    </xf>
    <xf numFmtId="168" fontId="19" fillId="58" borderId="198" xfId="13" applyNumberFormat="1" applyFont="1" applyFill="1" applyBorder="1" applyAlignment="1">
      <alignment vertical="center"/>
    </xf>
    <xf numFmtId="0" fontId="0" fillId="12" borderId="245" xfId="0" applyFill="1" applyBorder="1" applyProtection="1">
      <protection locked="0"/>
    </xf>
    <xf numFmtId="178" fontId="0" fillId="12" borderId="271" xfId="13" applyNumberFormat="1" applyFont="1" applyFill="1" applyBorder="1" applyAlignment="1" applyProtection="1">
      <alignment vertical="center"/>
      <protection locked="0"/>
    </xf>
    <xf numFmtId="178" fontId="0" fillId="12" borderId="272" xfId="13" applyNumberFormat="1" applyFont="1" applyFill="1" applyBorder="1" applyAlignment="1" applyProtection="1">
      <alignment vertical="center"/>
      <protection locked="0"/>
    </xf>
    <xf numFmtId="178" fontId="0" fillId="12" borderId="273" xfId="13" applyNumberFormat="1" applyFont="1" applyFill="1" applyBorder="1" applyAlignment="1" applyProtection="1">
      <alignment vertical="center"/>
      <protection locked="0"/>
    </xf>
    <xf numFmtId="177" fontId="0" fillId="28" borderId="274" xfId="0" applyNumberFormat="1" applyFill="1" applyBorder="1" applyAlignment="1">
      <alignment horizontal="right" vertical="center"/>
    </xf>
    <xf numFmtId="178" fontId="0" fillId="12" borderId="245" xfId="13" applyNumberFormat="1" applyFont="1" applyFill="1" applyBorder="1" applyAlignment="1" applyProtection="1">
      <alignment vertical="center"/>
      <protection locked="0"/>
    </xf>
    <xf numFmtId="177" fontId="0" fillId="28" borderId="275" xfId="0" applyNumberFormat="1" applyFill="1" applyBorder="1" applyAlignment="1">
      <alignment horizontal="right" vertical="center"/>
    </xf>
    <xf numFmtId="177" fontId="0" fillId="28" borderId="276" xfId="0" applyNumberFormat="1" applyFill="1" applyBorder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0" fillId="0" borderId="61" xfId="0" applyFont="1" applyBorder="1" applyAlignment="1" applyProtection="1">
      <alignment horizontal="center"/>
      <protection locked="0"/>
    </xf>
    <xf numFmtId="49" fontId="14" fillId="0" borderId="61" xfId="36" applyNumberFormat="1" applyBorder="1" applyProtection="1">
      <protection locked="0"/>
    </xf>
    <xf numFmtId="49" fontId="0" fillId="0" borderId="61" xfId="36" applyNumberFormat="1" applyFont="1" applyBorder="1" applyAlignment="1" applyProtection="1">
      <alignment horizontal="center"/>
      <protection locked="0"/>
    </xf>
    <xf numFmtId="187" fontId="0" fillId="0" borderId="61" xfId="12" applyNumberFormat="1" applyFont="1" applyBorder="1" applyProtection="1">
      <protection locked="0"/>
    </xf>
    <xf numFmtId="187" fontId="0" fillId="0" borderId="61" xfId="12" applyNumberFormat="1" applyFont="1" applyBorder="1" applyAlignment="1" applyProtection="1">
      <alignment wrapText="1"/>
      <protection locked="0"/>
    </xf>
    <xf numFmtId="187" fontId="0" fillId="0" borderId="71" xfId="12" applyNumberFormat="1" applyFont="1" applyBorder="1" applyProtection="1">
      <protection locked="0"/>
    </xf>
    <xf numFmtId="0" fontId="0" fillId="0" borderId="49" xfId="0" applyBorder="1" applyProtection="1">
      <protection locked="0"/>
    </xf>
    <xf numFmtId="187" fontId="0" fillId="0" borderId="265" xfId="12" applyNumberFormat="1" applyFont="1" applyBorder="1" applyProtection="1">
      <protection locked="0"/>
    </xf>
    <xf numFmtId="0" fontId="0" fillId="0" borderId="61" xfId="0" applyBorder="1" applyProtection="1">
      <protection locked="0"/>
    </xf>
    <xf numFmtId="0" fontId="30" fillId="0" borderId="109" xfId="0" applyFont="1" applyBorder="1" applyAlignment="1" applyProtection="1">
      <alignment horizontal="center"/>
      <protection locked="0"/>
    </xf>
    <xf numFmtId="3" fontId="30" fillId="43" borderId="109" xfId="0" applyNumberFormat="1" applyFont="1" applyFill="1" applyBorder="1" applyProtection="1">
      <protection locked="0"/>
    </xf>
    <xf numFmtId="176" fontId="14" fillId="0" borderId="109" xfId="12" applyNumberFormat="1" applyBorder="1" applyProtection="1">
      <protection locked="0"/>
    </xf>
    <xf numFmtId="49" fontId="0" fillId="0" borderId="109" xfId="36" applyNumberFormat="1" applyFont="1" applyBorder="1" applyAlignment="1" applyProtection="1">
      <alignment horizontal="center"/>
      <protection locked="0"/>
    </xf>
    <xf numFmtId="187" fontId="14" fillId="0" borderId="109" xfId="12" applyNumberFormat="1" applyBorder="1" applyProtection="1">
      <protection locked="0"/>
    </xf>
    <xf numFmtId="179" fontId="14" fillId="0" borderId="109" xfId="12" applyNumberFormat="1" applyBorder="1" applyAlignment="1" applyProtection="1">
      <alignment horizontal="center"/>
      <protection locked="0"/>
    </xf>
    <xf numFmtId="187" fontId="14" fillId="0" borderId="261" xfId="12" applyNumberFormat="1" applyBorder="1" applyProtection="1">
      <protection locked="0"/>
    </xf>
    <xf numFmtId="187" fontId="14" fillId="0" borderId="89" xfId="12" applyNumberFormat="1" applyBorder="1" applyProtection="1">
      <protection locked="0"/>
    </xf>
    <xf numFmtId="0" fontId="0" fillId="0" borderId="237" xfId="0" applyBorder="1" applyProtection="1">
      <protection locked="0"/>
    </xf>
    <xf numFmtId="0" fontId="0" fillId="0" borderId="217" xfId="0" applyBorder="1" applyProtection="1">
      <protection locked="0"/>
    </xf>
    <xf numFmtId="0" fontId="30" fillId="0" borderId="277" xfId="0" applyFont="1" applyBorder="1" applyAlignment="1" applyProtection="1">
      <alignment horizontal="center"/>
      <protection locked="0"/>
    </xf>
    <xf numFmtId="3" fontId="30" fillId="43" borderId="277" xfId="0" applyNumberFormat="1" applyFont="1" applyFill="1" applyBorder="1" applyProtection="1">
      <protection locked="0"/>
    </xf>
    <xf numFmtId="176" fontId="14" fillId="0" borderId="277" xfId="12" applyNumberFormat="1" applyBorder="1" applyProtection="1">
      <protection locked="0"/>
    </xf>
    <xf numFmtId="49" fontId="0" fillId="0" borderId="277" xfId="36" applyNumberFormat="1" applyFont="1" applyBorder="1" applyAlignment="1" applyProtection="1">
      <alignment horizontal="center"/>
      <protection locked="0"/>
    </xf>
    <xf numFmtId="187" fontId="14" fillId="0" borderId="277" xfId="12" applyNumberFormat="1" applyBorder="1" applyProtection="1">
      <protection locked="0"/>
    </xf>
    <xf numFmtId="179" fontId="14" fillId="0" borderId="277" xfId="12" applyNumberFormat="1" applyBorder="1" applyAlignment="1" applyProtection="1">
      <alignment horizontal="center"/>
      <protection locked="0"/>
    </xf>
    <xf numFmtId="187" fontId="14" fillId="0" borderId="46" xfId="12" applyNumberFormat="1" applyBorder="1" applyProtection="1">
      <protection locked="0"/>
    </xf>
    <xf numFmtId="187" fontId="14" fillId="0" borderId="90" xfId="12" applyNumberFormat="1" applyBorder="1" applyProtection="1">
      <protection locked="0"/>
    </xf>
    <xf numFmtId="0" fontId="0" fillId="0" borderId="155" xfId="0" applyBorder="1" applyProtection="1">
      <protection locked="0"/>
    </xf>
    <xf numFmtId="0" fontId="3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243" xfId="0" applyBorder="1" applyProtection="1">
      <protection locked="0"/>
    </xf>
    <xf numFmtId="0" fontId="39" fillId="0" borderId="243" xfId="0" applyFont="1" applyBorder="1" applyAlignment="1">
      <alignment horizontal="center" vertical="center"/>
    </xf>
    <xf numFmtId="0" fontId="39" fillId="0" borderId="243" xfId="0" applyFont="1" applyBorder="1" applyAlignment="1">
      <alignment vertical="center"/>
    </xf>
    <xf numFmtId="0" fontId="40" fillId="0" borderId="243" xfId="0" applyFont="1" applyBorder="1" applyAlignment="1">
      <alignment horizontal="center" vertical="center"/>
    </xf>
    <xf numFmtId="3" fontId="39" fillId="0" borderId="243" xfId="0" applyNumberFormat="1" applyFont="1" applyBorder="1" applyAlignment="1">
      <alignment horizontal="right" vertical="center"/>
    </xf>
    <xf numFmtId="3" fontId="41" fillId="12" borderId="243" xfId="0" applyNumberFormat="1" applyFont="1" applyFill="1" applyBorder="1" applyAlignment="1">
      <alignment horizontal="right" vertical="center"/>
    </xf>
    <xf numFmtId="3" fontId="39" fillId="0" borderId="68" xfId="0" applyNumberFormat="1" applyFont="1" applyBorder="1" applyAlignment="1">
      <alignment horizontal="right" vertical="center"/>
    </xf>
    <xf numFmtId="3" fontId="39" fillId="0" borderId="243" xfId="0" applyNumberFormat="1" applyFont="1" applyBorder="1" applyAlignment="1">
      <alignment vertical="center"/>
    </xf>
    <xf numFmtId="3" fontId="39" fillId="0" borderId="243" xfId="0" applyNumberFormat="1" applyFont="1" applyBorder="1" applyAlignment="1">
      <alignment horizontal="center" vertical="center"/>
    </xf>
    <xf numFmtId="0" fontId="13" fillId="0" borderId="243" xfId="0" applyFont="1" applyBorder="1" applyProtection="1">
      <protection locked="0"/>
    </xf>
    <xf numFmtId="3" fontId="42" fillId="0" borderId="243" xfId="0" applyNumberFormat="1" applyFont="1" applyBorder="1" applyAlignment="1">
      <alignment horizontal="right" vertical="center"/>
    </xf>
    <xf numFmtId="2" fontId="41" fillId="12" borderId="243" xfId="0" applyNumberFormat="1" applyFont="1" applyFill="1" applyBorder="1" applyAlignment="1">
      <alignment vertical="center"/>
    </xf>
    <xf numFmtId="0" fontId="28" fillId="0" borderId="243" xfId="0" applyFont="1" applyBorder="1" applyProtection="1">
      <protection locked="0"/>
    </xf>
    <xf numFmtId="2" fontId="40" fillId="0" borderId="243" xfId="0" applyNumberFormat="1" applyFont="1" applyBorder="1" applyAlignment="1">
      <alignment vertical="center"/>
    </xf>
    <xf numFmtId="2" fontId="40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/>
    </xf>
    <xf numFmtId="0" fontId="14" fillId="0" borderId="0" xfId="27"/>
    <xf numFmtId="0" fontId="23" fillId="0" borderId="0" xfId="27" applyFont="1"/>
    <xf numFmtId="0" fontId="13" fillId="0" borderId="0" xfId="27" applyFont="1"/>
    <xf numFmtId="0" fontId="13" fillId="0" borderId="228" xfId="27" applyFont="1" applyBorder="1"/>
    <xf numFmtId="0" fontId="13" fillId="0" borderId="245" xfId="27" applyFont="1" applyBorder="1"/>
    <xf numFmtId="0" fontId="13" fillId="43" borderId="278" xfId="27" applyFont="1" applyFill="1" applyBorder="1" applyAlignment="1">
      <alignment horizontal="center"/>
    </xf>
    <xf numFmtId="0" fontId="13" fillId="0" borderId="246" xfId="27" applyFont="1" applyBorder="1"/>
    <xf numFmtId="0" fontId="13" fillId="0" borderId="68" xfId="27" applyFont="1" applyBorder="1"/>
    <xf numFmtId="0" fontId="13" fillId="0" borderId="243" xfId="27" applyFont="1" applyBorder="1" applyAlignment="1">
      <alignment horizontal="center"/>
    </xf>
    <xf numFmtId="0" fontId="14" fillId="0" borderId="243" xfId="27" applyBorder="1"/>
    <xf numFmtId="176" fontId="14" fillId="0" borderId="243" xfId="12" applyNumberFormat="1" applyBorder="1"/>
    <xf numFmtId="0" fontId="14" fillId="0" borderId="243" xfId="27" applyBorder="1" applyAlignment="1">
      <alignment horizontal="center"/>
    </xf>
    <xf numFmtId="3" fontId="14" fillId="0" borderId="243" xfId="27" applyNumberFormat="1" applyBorder="1"/>
    <xf numFmtId="0" fontId="13" fillId="0" borderId="243" xfId="27" applyFont="1" applyBorder="1"/>
    <xf numFmtId="3" fontId="13" fillId="0" borderId="243" xfId="27" applyNumberFormat="1" applyFont="1" applyBorder="1"/>
    <xf numFmtId="3" fontId="13" fillId="0" borderId="243" xfId="27" applyNumberFormat="1" applyFont="1" applyBorder="1" applyAlignment="1">
      <alignment horizontal="center"/>
    </xf>
    <xf numFmtId="3" fontId="14" fillId="0" borderId="243" xfId="27" applyNumberFormat="1" applyBorder="1" applyAlignment="1">
      <alignment horizontal="right"/>
    </xf>
    <xf numFmtId="0" fontId="14" fillId="0" borderId="243" xfId="27" applyBorder="1" applyAlignment="1">
      <alignment horizontal="right"/>
    </xf>
    <xf numFmtId="3" fontId="13" fillId="0" borderId="243" xfId="27" applyNumberFormat="1" applyFont="1" applyBorder="1" applyAlignment="1">
      <alignment horizontal="right"/>
    </xf>
    <xf numFmtId="3" fontId="14" fillId="0" borderId="0" xfId="27" applyNumberFormat="1"/>
    <xf numFmtId="0" fontId="0" fillId="0" borderId="0" xfId="27" applyFont="1"/>
    <xf numFmtId="0" fontId="14" fillId="66" borderId="243" xfId="27" applyFill="1" applyBorder="1"/>
    <xf numFmtId="3" fontId="14" fillId="66" borderId="243" xfId="27" applyNumberFormat="1" applyFill="1" applyBorder="1" applyAlignment="1">
      <alignment horizontal="center"/>
    </xf>
    <xf numFmtId="0" fontId="14" fillId="66" borderId="243" xfId="27" applyFill="1" applyBorder="1" applyAlignment="1">
      <alignment horizontal="center"/>
    </xf>
    <xf numFmtId="3" fontId="14" fillId="66" borderId="243" xfId="27" applyNumberFormat="1" applyFill="1" applyBorder="1"/>
    <xf numFmtId="176" fontId="14" fillId="0" borderId="274" xfId="12" applyNumberFormat="1" applyBorder="1" applyProtection="1">
      <protection locked="0"/>
    </xf>
    <xf numFmtId="176" fontId="14" fillId="0" borderId="46" xfId="12" applyNumberFormat="1" applyBorder="1" applyProtection="1">
      <protection locked="0"/>
    </xf>
    <xf numFmtId="2" fontId="40" fillId="12" borderId="243" xfId="0" applyNumberFormat="1" applyFont="1" applyFill="1" applyBorder="1" applyAlignment="1">
      <alignment vertical="center"/>
    </xf>
    <xf numFmtId="0" fontId="13" fillId="0" borderId="58" xfId="0" applyFont="1" applyBorder="1" applyAlignment="1">
      <alignment horizontal="right" vertical="center"/>
    </xf>
    <xf numFmtId="0" fontId="0" fillId="11" borderId="176" xfId="0" applyFill="1" applyBorder="1"/>
    <xf numFmtId="0" fontId="0" fillId="11" borderId="240" xfId="0" applyFill="1" applyBorder="1"/>
    <xf numFmtId="0" fontId="0" fillId="11" borderId="40" xfId="0" applyFill="1" applyBorder="1"/>
    <xf numFmtId="0" fontId="25" fillId="0" borderId="40" xfId="0" applyFont="1" applyBorder="1" applyAlignment="1">
      <alignment vertical="center"/>
    </xf>
    <xf numFmtId="177" fontId="0" fillId="25" borderId="243" xfId="0" applyNumberFormat="1" applyFill="1" applyBorder="1" applyAlignment="1">
      <alignment horizontal="center" vertical="center"/>
    </xf>
    <xf numFmtId="170" fontId="13" fillId="19" borderId="243" xfId="16" applyNumberFormat="1" applyFont="1" applyFill="1" applyBorder="1" applyAlignment="1">
      <alignment horizontal="center" vertical="center"/>
    </xf>
    <xf numFmtId="0" fontId="10" fillId="49" borderId="155" xfId="0" applyFont="1" applyFill="1" applyBorder="1" applyAlignment="1">
      <alignment horizontal="center" vertical="center"/>
    </xf>
    <xf numFmtId="0" fontId="10" fillId="48" borderId="155" xfId="0" applyFont="1" applyFill="1" applyBorder="1" applyAlignment="1">
      <alignment horizontal="center" vertical="center"/>
    </xf>
    <xf numFmtId="0" fontId="0" fillId="12" borderId="272" xfId="0" applyFill="1" applyBorder="1" applyAlignment="1" applyProtection="1">
      <alignment horizontal="left" vertical="center"/>
      <protection locked="0"/>
    </xf>
    <xf numFmtId="0" fontId="0" fillId="12" borderId="272" xfId="0" applyFill="1" applyBorder="1" applyProtection="1">
      <protection locked="0"/>
    </xf>
    <xf numFmtId="0" fontId="0" fillId="12" borderId="273" xfId="0" applyFill="1" applyBorder="1" applyProtection="1">
      <protection locked="0"/>
    </xf>
    <xf numFmtId="177" fontId="0" fillId="0" borderId="274" xfId="0" applyNumberFormat="1" applyBorder="1" applyAlignment="1">
      <alignment horizontal="right" vertical="center"/>
    </xf>
    <xf numFmtId="9" fontId="0" fillId="12" borderId="271" xfId="0" applyNumberFormat="1" applyFill="1" applyBorder="1" applyAlignment="1" applyProtection="1">
      <alignment horizontal="center" vertical="center"/>
      <protection locked="0"/>
    </xf>
    <xf numFmtId="177" fontId="0" fillId="0" borderId="273" xfId="0" applyNumberFormat="1" applyBorder="1" applyAlignment="1">
      <alignment horizontal="right" vertical="center"/>
    </xf>
    <xf numFmtId="177" fontId="0" fillId="0" borderId="179" xfId="0" applyNumberFormat="1" applyBorder="1" applyAlignment="1">
      <alignment horizontal="right" vertical="center"/>
    </xf>
    <xf numFmtId="169" fontId="0" fillId="12" borderId="244" xfId="16" applyFont="1" applyFill="1" applyBorder="1" applyAlignment="1" applyProtection="1">
      <alignment horizontal="center" vertical="center"/>
      <protection locked="0"/>
    </xf>
    <xf numFmtId="9" fontId="0" fillId="25" borderId="274" xfId="0" applyNumberFormat="1" applyFill="1" applyBorder="1" applyAlignment="1">
      <alignment horizontal="center" vertical="center"/>
    </xf>
    <xf numFmtId="0" fontId="13" fillId="21" borderId="243" xfId="0" applyFont="1" applyFill="1" applyBorder="1" applyAlignment="1">
      <alignment horizontal="center" vertical="center"/>
    </xf>
    <xf numFmtId="0" fontId="11" fillId="23" borderId="243" xfId="0" applyFont="1" applyFill="1" applyBorder="1" applyAlignment="1">
      <alignment horizontal="left" vertical="center"/>
    </xf>
    <xf numFmtId="168" fontId="11" fillId="23" borderId="243" xfId="13" applyNumberFormat="1" applyFont="1" applyFill="1" applyBorder="1" applyAlignment="1">
      <alignment horizontal="center" vertical="center"/>
    </xf>
    <xf numFmtId="169" fontId="30" fillId="0" borderId="220" xfId="16" applyFont="1" applyBorder="1" applyAlignment="1">
      <alignment horizontal="center" vertical="center"/>
    </xf>
    <xf numFmtId="0" fontId="0" fillId="12" borderId="243" xfId="0" applyFill="1" applyBorder="1" applyProtection="1">
      <protection locked="0"/>
    </xf>
    <xf numFmtId="178" fontId="0" fillId="12" borderId="184" xfId="13" applyNumberFormat="1" applyFont="1" applyFill="1" applyBorder="1" applyAlignment="1" applyProtection="1">
      <alignment vertical="center"/>
      <protection locked="0"/>
    </xf>
    <xf numFmtId="9" fontId="0" fillId="12" borderId="184" xfId="0" applyNumberFormat="1" applyFill="1" applyBorder="1" applyAlignment="1" applyProtection="1">
      <alignment horizontal="center" vertical="center"/>
      <protection locked="0"/>
    </xf>
    <xf numFmtId="177" fontId="0" fillId="0" borderId="217" xfId="0" applyNumberFormat="1" applyBorder="1" applyAlignment="1">
      <alignment horizontal="right" vertical="center"/>
    </xf>
    <xf numFmtId="169" fontId="0" fillId="12" borderId="246" xfId="16" applyFont="1" applyFill="1" applyBorder="1" applyAlignment="1" applyProtection="1">
      <alignment horizontal="center" vertical="center"/>
      <protection locked="0"/>
    </xf>
    <xf numFmtId="0" fontId="13" fillId="20" borderId="243" xfId="0" applyFont="1" applyFill="1" applyBorder="1" applyAlignment="1">
      <alignment horizontal="center" vertical="center" wrapText="1"/>
    </xf>
    <xf numFmtId="0" fontId="11" fillId="20" borderId="243" xfId="0" applyFont="1" applyFill="1" applyBorder="1" applyAlignment="1">
      <alignment horizontal="left" vertical="center"/>
    </xf>
    <xf numFmtId="168" fontId="11" fillId="20" borderId="243" xfId="13" applyNumberFormat="1" applyFont="1" applyFill="1" applyBorder="1" applyAlignment="1">
      <alignment horizontal="center" vertical="center"/>
    </xf>
    <xf numFmtId="1" fontId="0" fillId="0" borderId="243" xfId="0" applyNumberFormat="1" applyBorder="1" applyAlignment="1">
      <alignment horizontal="center" vertical="center" wrapText="1"/>
    </xf>
    <xf numFmtId="175" fontId="19" fillId="0" borderId="243" xfId="0" applyNumberFormat="1" applyFont="1" applyBorder="1" applyAlignment="1">
      <alignment horizontal="left"/>
    </xf>
    <xf numFmtId="168" fontId="0" fillId="12" borderId="243" xfId="13" applyNumberFormat="1" applyFont="1" applyFill="1" applyBorder="1" applyAlignment="1" applyProtection="1">
      <alignment vertical="center"/>
      <protection locked="0"/>
    </xf>
    <xf numFmtId="168" fontId="11" fillId="20" borderId="243" xfId="13" applyNumberFormat="1" applyFont="1" applyFill="1" applyBorder="1" applyAlignment="1" applyProtection="1">
      <alignment horizontal="center" vertical="center"/>
      <protection locked="0"/>
    </xf>
    <xf numFmtId="177" fontId="0" fillId="0" borderId="155" xfId="0" applyNumberFormat="1" applyBorder="1" applyAlignment="1">
      <alignment horizontal="right" vertical="center"/>
    </xf>
    <xf numFmtId="0" fontId="0" fillId="12" borderId="279" xfId="0" applyFill="1" applyBorder="1" applyAlignment="1" applyProtection="1">
      <alignment horizontal="left" vertical="center"/>
      <protection locked="0"/>
    </xf>
    <xf numFmtId="0" fontId="0" fillId="12" borderId="255" xfId="0" applyFill="1" applyBorder="1" applyAlignment="1" applyProtection="1">
      <alignment horizontal="left" vertical="center"/>
      <protection locked="0"/>
    </xf>
    <xf numFmtId="0" fontId="0" fillId="12" borderId="255" xfId="0" applyFill="1" applyBorder="1" applyProtection="1">
      <protection locked="0"/>
    </xf>
    <xf numFmtId="0" fontId="0" fillId="12" borderId="280" xfId="0" applyFill="1" applyBorder="1" applyProtection="1">
      <protection locked="0"/>
    </xf>
    <xf numFmtId="177" fontId="0" fillId="0" borderId="275" xfId="0" applyNumberFormat="1" applyBorder="1" applyAlignment="1">
      <alignment horizontal="right" vertical="center"/>
    </xf>
    <xf numFmtId="0" fontId="0" fillId="12" borderId="282" xfId="0" applyFill="1" applyBorder="1" applyAlignment="1" applyProtection="1">
      <alignment horizontal="left" vertical="center"/>
      <protection locked="0"/>
    </xf>
    <xf numFmtId="0" fontId="0" fillId="12" borderId="281" xfId="0" applyFill="1" applyBorder="1" applyAlignment="1" applyProtection="1">
      <alignment horizontal="left" vertical="center"/>
      <protection locked="0"/>
    </xf>
    <xf numFmtId="0" fontId="0" fillId="12" borderId="281" xfId="0" applyFill="1" applyBorder="1" applyProtection="1">
      <protection locked="0"/>
    </xf>
    <xf numFmtId="0" fontId="0" fillId="12" borderId="283" xfId="0" applyFill="1" applyBorder="1" applyProtection="1">
      <protection locked="0"/>
    </xf>
    <xf numFmtId="177" fontId="0" fillId="0" borderId="276" xfId="0" applyNumberFormat="1" applyBorder="1" applyAlignment="1">
      <alignment horizontal="right" vertical="center"/>
    </xf>
    <xf numFmtId="0" fontId="0" fillId="12" borderId="68" xfId="0" applyFill="1" applyBorder="1" applyProtection="1">
      <protection locked="0"/>
    </xf>
    <xf numFmtId="0" fontId="0" fillId="12" borderId="242" xfId="0" applyFill="1" applyBorder="1" applyProtection="1">
      <protection locked="0"/>
    </xf>
    <xf numFmtId="0" fontId="13" fillId="30" borderId="243" xfId="0" applyFont="1" applyFill="1" applyBorder="1" applyAlignment="1">
      <alignment horizontal="center" vertical="center" wrapText="1"/>
    </xf>
    <xf numFmtId="0" fontId="13" fillId="31" borderId="243" xfId="0" applyFont="1" applyFill="1" applyBorder="1" applyAlignment="1">
      <alignment horizontal="left" vertical="center"/>
    </xf>
    <xf numFmtId="168" fontId="13" fillId="30" borderId="243" xfId="0" applyNumberFormat="1" applyFont="1" applyFill="1" applyBorder="1" applyAlignment="1">
      <alignment horizontal="center" vertical="center" wrapText="1"/>
    </xf>
    <xf numFmtId="0" fontId="23" fillId="12" borderId="284" xfId="0" applyFont="1" applyFill="1" applyBorder="1" applyAlignment="1" applyProtection="1">
      <alignment horizontal="center" vertical="center"/>
      <protection locked="0"/>
    </xf>
    <xf numFmtId="0" fontId="13" fillId="16" borderId="285" xfId="0" applyFont="1" applyFill="1" applyBorder="1" applyAlignment="1">
      <alignment horizontal="center" vertical="center" wrapText="1"/>
    </xf>
    <xf numFmtId="0" fontId="10" fillId="14" borderId="169" xfId="0" applyFont="1" applyFill="1" applyBorder="1" applyAlignment="1">
      <alignment horizontal="center" vertical="center"/>
    </xf>
    <xf numFmtId="0" fontId="10" fillId="14" borderId="168" xfId="0" applyFont="1" applyFill="1" applyBorder="1" applyAlignment="1">
      <alignment horizontal="center" vertical="center"/>
    </xf>
    <xf numFmtId="0" fontId="10" fillId="49" borderId="169" xfId="0" applyFont="1" applyFill="1" applyBorder="1" applyAlignment="1">
      <alignment horizontal="center" vertical="center"/>
    </xf>
    <xf numFmtId="0" fontId="10" fillId="48" borderId="168" xfId="0" applyFont="1" applyFill="1" applyBorder="1" applyAlignment="1">
      <alignment horizontal="center" vertical="center"/>
    </xf>
    <xf numFmtId="0" fontId="10" fillId="14" borderId="227" xfId="0" applyFont="1" applyFill="1" applyBorder="1" applyAlignment="1">
      <alignment horizontal="center" vertical="center"/>
    </xf>
    <xf numFmtId="0" fontId="10" fillId="14" borderId="285" xfId="0" applyFont="1" applyFill="1" applyBorder="1" applyAlignment="1">
      <alignment horizontal="center" vertical="center"/>
    </xf>
    <xf numFmtId="0" fontId="10" fillId="49" borderId="227" xfId="0" applyFont="1" applyFill="1" applyBorder="1" applyAlignment="1">
      <alignment horizontal="center" vertical="center"/>
    </xf>
    <xf numFmtId="0" fontId="10" fillId="49" borderId="285" xfId="0" applyFont="1" applyFill="1" applyBorder="1" applyAlignment="1">
      <alignment horizontal="center" vertical="center"/>
    </xf>
    <xf numFmtId="0" fontId="10" fillId="48" borderId="227" xfId="0" applyFont="1" applyFill="1" applyBorder="1" applyAlignment="1">
      <alignment horizontal="center" vertical="center"/>
    </xf>
    <xf numFmtId="0" fontId="10" fillId="48" borderId="285" xfId="0" applyFont="1" applyFill="1" applyBorder="1" applyAlignment="1">
      <alignment horizontal="center" vertical="center"/>
    </xf>
    <xf numFmtId="0" fontId="0" fillId="12" borderId="167" xfId="0" applyFill="1" applyBorder="1" applyProtection="1">
      <protection locked="0"/>
    </xf>
    <xf numFmtId="0" fontId="0" fillId="12" borderId="168" xfId="0" applyFill="1" applyBorder="1" applyProtection="1">
      <protection locked="0"/>
    </xf>
    <xf numFmtId="178" fontId="0" fillId="12" borderId="169" xfId="13" applyNumberFormat="1" applyFont="1" applyFill="1" applyBorder="1" applyAlignment="1" applyProtection="1">
      <alignment vertical="center"/>
      <protection locked="0"/>
    </xf>
    <xf numFmtId="178" fontId="0" fillId="12" borderId="168" xfId="13" applyNumberFormat="1" applyFont="1" applyFill="1" applyBorder="1" applyAlignment="1" applyProtection="1">
      <alignment vertical="center"/>
      <protection locked="0"/>
    </xf>
    <xf numFmtId="177" fontId="0" fillId="0" borderId="110" xfId="0" applyNumberFormat="1" applyBorder="1" applyAlignment="1">
      <alignment horizontal="right" vertical="center"/>
    </xf>
    <xf numFmtId="9" fontId="0" fillId="12" borderId="169" xfId="0" applyNumberFormat="1" applyFill="1" applyBorder="1" applyAlignment="1" applyProtection="1">
      <alignment horizontal="center" vertical="center"/>
      <protection locked="0"/>
    </xf>
    <xf numFmtId="177" fontId="0" fillId="0" borderId="168" xfId="0" applyNumberFormat="1" applyBorder="1" applyAlignment="1">
      <alignment horizontal="right" vertical="center"/>
    </xf>
    <xf numFmtId="9" fontId="0" fillId="25" borderId="110" xfId="0" applyNumberFormat="1" applyFill="1" applyBorder="1" applyAlignment="1">
      <alignment horizontal="center" vertical="center"/>
    </xf>
    <xf numFmtId="0" fontId="21" fillId="0" borderId="0" xfId="20"/>
    <xf numFmtId="0" fontId="0" fillId="0" borderId="0" xfId="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Alignment="1" applyProtection="1">
      <alignment horizontal="left"/>
    </xf>
    <xf numFmtId="168" fontId="22" fillId="31" borderId="49" xfId="0" applyNumberFormat="1" applyFont="1" applyFill="1" applyBorder="1" applyAlignment="1">
      <alignment horizontal="right" vertical="center"/>
    </xf>
    <xf numFmtId="168" fontId="22" fillId="31" borderId="50" xfId="0" applyNumberFormat="1" applyFont="1" applyFill="1" applyBorder="1" applyAlignment="1">
      <alignment horizontal="right" vertical="center"/>
    </xf>
    <xf numFmtId="168" fontId="22" fillId="31" borderId="265" xfId="0" applyNumberFormat="1" applyFont="1" applyFill="1" applyBorder="1" applyAlignment="1">
      <alignment horizontal="right" vertical="center"/>
    </xf>
    <xf numFmtId="168" fontId="24" fillId="33" borderId="264" xfId="0" applyNumberFormat="1" applyFont="1" applyFill="1" applyBorder="1" applyAlignment="1">
      <alignment horizontal="center" vertical="center" wrapText="1"/>
    </xf>
    <xf numFmtId="168" fontId="24" fillId="33" borderId="255" xfId="0" applyNumberFormat="1" applyFont="1" applyFill="1" applyBorder="1" applyAlignment="1">
      <alignment horizontal="center" vertical="center" wrapText="1"/>
    </xf>
    <xf numFmtId="168" fontId="24" fillId="33" borderId="239" xfId="0" applyNumberFormat="1" applyFont="1" applyFill="1" applyBorder="1" applyAlignment="1">
      <alignment horizontal="center" vertical="center" wrapText="1"/>
    </xf>
    <xf numFmtId="168" fontId="22" fillId="31" borderId="228" xfId="0" applyNumberFormat="1" applyFont="1" applyFill="1" applyBorder="1" applyAlignment="1">
      <alignment horizontal="center" vertical="center"/>
    </xf>
    <xf numFmtId="168" fontId="22" fillId="31" borderId="232" xfId="0" applyNumberFormat="1" applyFont="1" applyFill="1" applyBorder="1" applyAlignment="1">
      <alignment horizontal="center" vertical="center"/>
    </xf>
    <xf numFmtId="0" fontId="23" fillId="36" borderId="177" xfId="0" applyFont="1" applyFill="1" applyBorder="1" applyAlignment="1">
      <alignment horizontal="center" vertical="center" wrapText="1"/>
    </xf>
    <xf numFmtId="0" fontId="23" fillId="36" borderId="230" xfId="0" applyFont="1" applyFill="1" applyBorder="1" applyAlignment="1">
      <alignment horizontal="center" vertical="center" wrapText="1"/>
    </xf>
    <xf numFmtId="0" fontId="23" fillId="36" borderId="227" xfId="0" applyFont="1" applyFill="1" applyBorder="1" applyAlignment="1">
      <alignment horizontal="center" vertical="center" wrapText="1"/>
    </xf>
    <xf numFmtId="0" fontId="0" fillId="0" borderId="178" xfId="0" applyBorder="1" applyAlignment="1">
      <alignment horizontal="center" vertical="center" wrapText="1"/>
    </xf>
    <xf numFmtId="0" fontId="0" fillId="0" borderId="243" xfId="0" applyBorder="1" applyAlignment="1">
      <alignment horizontal="center" vertical="center" wrapText="1"/>
    </xf>
    <xf numFmtId="0" fontId="23" fillId="0" borderId="177" xfId="0" applyFont="1" applyBorder="1" applyAlignment="1">
      <alignment horizontal="center" vertical="center" wrapText="1"/>
    </xf>
    <xf numFmtId="0" fontId="23" fillId="0" borderId="230" xfId="0" applyFont="1" applyBorder="1" applyAlignment="1">
      <alignment horizontal="center" vertical="center" wrapText="1"/>
    </xf>
    <xf numFmtId="0" fontId="23" fillId="0" borderId="2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44" xfId="0" applyFont="1" applyFill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168" fontId="13" fillId="15" borderId="254" xfId="0" applyNumberFormat="1" applyFont="1" applyFill="1" applyBorder="1" applyAlignment="1">
      <alignment horizontal="center" vertical="center"/>
    </xf>
    <xf numFmtId="168" fontId="13" fillId="15" borderId="241" xfId="0" applyNumberFormat="1" applyFont="1" applyFill="1" applyBorder="1" applyAlignment="1">
      <alignment horizontal="center" vertical="center"/>
    </xf>
    <xf numFmtId="168" fontId="23" fillId="38" borderId="207" xfId="0" applyNumberFormat="1" applyFont="1" applyFill="1" applyBorder="1" applyAlignment="1">
      <alignment horizontal="center" vertical="center" wrapText="1"/>
    </xf>
    <xf numFmtId="168" fontId="23" fillId="38" borderId="208" xfId="0" applyNumberFormat="1" applyFont="1" applyFill="1" applyBorder="1" applyAlignment="1">
      <alignment horizontal="center" vertical="center" wrapText="1"/>
    </xf>
    <xf numFmtId="168" fontId="23" fillId="38" borderId="268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13" fillId="15" borderId="28" xfId="0" applyFont="1" applyFill="1" applyBorder="1" applyAlignment="1">
      <alignment horizontal="center" vertical="center" wrapText="1"/>
    </xf>
    <xf numFmtId="0" fontId="13" fillId="15" borderId="262" xfId="0" applyFont="1" applyFill="1" applyBorder="1" applyAlignment="1">
      <alignment horizontal="center" vertical="center" wrapText="1"/>
    </xf>
    <xf numFmtId="0" fontId="13" fillId="15" borderId="29" xfId="0" applyFont="1" applyFill="1" applyBorder="1" applyAlignment="1">
      <alignment horizontal="center" vertical="center" wrapText="1"/>
    </xf>
    <xf numFmtId="0" fontId="13" fillId="15" borderId="263" xfId="0" applyFont="1" applyFill="1" applyBorder="1" applyAlignment="1">
      <alignment horizontal="center" vertical="center" wrapText="1"/>
    </xf>
    <xf numFmtId="168" fontId="27" fillId="44" borderId="209" xfId="0" applyNumberFormat="1" applyFont="1" applyFill="1" applyBorder="1" applyAlignment="1">
      <alignment horizontal="center" vertical="center" wrapText="1"/>
    </xf>
    <xf numFmtId="168" fontId="27" fillId="44" borderId="39" xfId="0" applyNumberFormat="1" applyFont="1" applyFill="1" applyBorder="1" applyAlignment="1">
      <alignment horizontal="center" vertical="center" wrapText="1"/>
    </xf>
    <xf numFmtId="168" fontId="0" fillId="9" borderId="109" xfId="13" applyNumberFormat="1" applyFont="1" applyFill="1" applyBorder="1" applyAlignment="1">
      <alignment horizontal="right" vertical="center"/>
    </xf>
    <xf numFmtId="168" fontId="0" fillId="9" borderId="250" xfId="13" applyNumberFormat="1" applyFont="1" applyFill="1" applyBorder="1" applyAlignment="1">
      <alignment horizontal="right" vertical="center"/>
    </xf>
    <xf numFmtId="168" fontId="18" fillId="33" borderId="266" xfId="0" applyNumberFormat="1" applyFont="1" applyFill="1" applyBorder="1" applyAlignment="1">
      <alignment horizontal="center" vertical="center" wrapText="1"/>
    </xf>
    <xf numFmtId="168" fontId="18" fillId="33" borderId="58" xfId="0" applyNumberFormat="1" applyFont="1" applyFill="1" applyBorder="1" applyAlignment="1">
      <alignment horizontal="center" vertical="center" wrapText="1"/>
    </xf>
    <xf numFmtId="168" fontId="18" fillId="33" borderId="208" xfId="0" applyNumberFormat="1" applyFont="1" applyFill="1" applyBorder="1" applyAlignment="1">
      <alignment horizontal="center" vertical="center" wrapText="1"/>
    </xf>
    <xf numFmtId="168" fontId="18" fillId="33" borderId="53" xfId="0" applyNumberFormat="1" applyFont="1" applyFill="1" applyBorder="1" applyAlignment="1">
      <alignment horizontal="center" vertical="center" wrapText="1"/>
    </xf>
    <xf numFmtId="168" fontId="18" fillId="33" borderId="96" xfId="0" applyNumberFormat="1" applyFont="1" applyFill="1" applyBorder="1" applyAlignment="1">
      <alignment horizontal="center" vertical="center" wrapText="1"/>
    </xf>
    <xf numFmtId="168" fontId="18" fillId="33" borderId="91" xfId="0" applyNumberFormat="1" applyFont="1" applyFill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68" fontId="24" fillId="33" borderId="56" xfId="0" applyNumberFormat="1" applyFont="1" applyFill="1" applyBorder="1" applyAlignment="1">
      <alignment horizontal="center" vertical="center" wrapText="1"/>
    </xf>
    <xf numFmtId="168" fontId="24" fillId="33" borderId="240" xfId="0" applyNumberFormat="1" applyFont="1" applyFill="1" applyBorder="1" applyAlignment="1">
      <alignment horizontal="center" vertical="center" wrapText="1"/>
    </xf>
    <xf numFmtId="0" fontId="23" fillId="16" borderId="62" xfId="0" applyFont="1" applyFill="1" applyBorder="1" applyAlignment="1">
      <alignment horizontal="center" vertical="center" wrapText="1"/>
    </xf>
    <xf numFmtId="0" fontId="23" fillId="16" borderId="154" xfId="0" applyFont="1" applyFill="1" applyBorder="1" applyAlignment="1">
      <alignment horizontal="center" vertical="center" wrapText="1"/>
    </xf>
    <xf numFmtId="168" fontId="24" fillId="33" borderId="171" xfId="0" applyNumberFormat="1" applyFont="1" applyFill="1" applyBorder="1" applyAlignment="1">
      <alignment horizontal="center" vertical="center" wrapText="1"/>
    </xf>
    <xf numFmtId="168" fontId="24" fillId="33" borderId="172" xfId="0" applyNumberFormat="1" applyFont="1" applyFill="1" applyBorder="1" applyAlignment="1">
      <alignment horizontal="center" vertical="center" wrapText="1"/>
    </xf>
    <xf numFmtId="168" fontId="24" fillId="33" borderId="191" xfId="0" applyNumberFormat="1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left" vertical="center" indent="2"/>
    </xf>
    <xf numFmtId="0" fontId="23" fillId="15" borderId="66" xfId="0" applyFont="1" applyFill="1" applyBorder="1" applyAlignment="1">
      <alignment horizontal="center" vertical="center" wrapText="1"/>
    </xf>
    <xf numFmtId="0" fontId="23" fillId="15" borderId="45" xfId="0" applyFont="1" applyFill="1" applyBorder="1" applyAlignment="1">
      <alignment horizontal="center" vertical="center" wrapText="1"/>
    </xf>
    <xf numFmtId="0" fontId="23" fillId="16" borderId="250" xfId="0" applyFont="1" applyFill="1" applyBorder="1" applyAlignment="1">
      <alignment horizontal="center" vertical="center" wrapText="1"/>
    </xf>
    <xf numFmtId="0" fontId="23" fillId="16" borderId="64" xfId="0" applyFont="1" applyFill="1" applyBorder="1" applyAlignment="1">
      <alignment horizontal="center" vertical="center" wrapText="1"/>
    </xf>
    <xf numFmtId="0" fontId="23" fillId="15" borderId="248" xfId="0" applyFont="1" applyFill="1" applyBorder="1" applyAlignment="1">
      <alignment horizontal="center" vertical="center" wrapText="1"/>
    </xf>
    <xf numFmtId="0" fontId="23" fillId="15" borderId="249" xfId="0" applyFont="1" applyFill="1" applyBorder="1" applyAlignment="1">
      <alignment horizontal="center" vertical="center" wrapText="1"/>
    </xf>
    <xf numFmtId="0" fontId="22" fillId="0" borderId="248" xfId="0" applyFont="1" applyBorder="1" applyAlignment="1">
      <alignment horizontal="center" vertical="center" wrapText="1"/>
    </xf>
    <xf numFmtId="0" fontId="22" fillId="0" borderId="249" xfId="0" applyFont="1" applyBorder="1" applyAlignment="1">
      <alignment horizontal="center" vertical="center" wrapText="1"/>
    </xf>
    <xf numFmtId="0" fontId="23" fillId="13" borderId="107" xfId="0" applyFont="1" applyFill="1" applyBorder="1" applyAlignment="1" applyProtection="1">
      <alignment horizontal="center" vertical="center"/>
      <protection locked="0"/>
    </xf>
    <xf numFmtId="0" fontId="23" fillId="13" borderId="108" xfId="0" applyFont="1" applyFill="1" applyBorder="1" applyAlignment="1" applyProtection="1">
      <alignment horizontal="center" vertical="center"/>
      <protection locked="0"/>
    </xf>
    <xf numFmtId="0" fontId="22" fillId="46" borderId="177" xfId="0" applyFont="1" applyFill="1" applyBorder="1" applyAlignment="1">
      <alignment horizontal="center" vertical="center" wrapText="1"/>
    </xf>
    <xf numFmtId="0" fontId="22" fillId="46" borderId="184" xfId="0" applyFont="1" applyFill="1" applyBorder="1" applyAlignment="1">
      <alignment horizontal="center" vertical="center" wrapText="1"/>
    </xf>
    <xf numFmtId="0" fontId="22" fillId="46" borderId="169" xfId="0" applyFont="1" applyFill="1" applyBorder="1" applyAlignment="1">
      <alignment horizontal="center" vertical="center" wrapText="1"/>
    </xf>
    <xf numFmtId="168" fontId="24" fillId="33" borderId="190" xfId="0" applyNumberFormat="1" applyFont="1" applyFill="1" applyBorder="1" applyAlignment="1">
      <alignment horizontal="center" vertical="center" wrapText="1"/>
    </xf>
    <xf numFmtId="168" fontId="24" fillId="33" borderId="181" xfId="0" applyNumberFormat="1" applyFont="1" applyFill="1" applyBorder="1" applyAlignment="1">
      <alignment horizontal="center" vertical="center" wrapText="1"/>
    </xf>
    <xf numFmtId="168" fontId="24" fillId="33" borderId="182" xfId="0" applyNumberFormat="1" applyFont="1" applyFill="1" applyBorder="1" applyAlignment="1">
      <alignment horizontal="center" vertical="center" wrapText="1"/>
    </xf>
    <xf numFmtId="168" fontId="13" fillId="15" borderId="176" xfId="0" applyNumberFormat="1" applyFont="1" applyFill="1" applyBorder="1" applyAlignment="1">
      <alignment horizontal="center" vertical="center" wrapText="1"/>
    </xf>
    <xf numFmtId="168" fontId="13" fillId="15" borderId="105" xfId="0" applyNumberFormat="1" applyFont="1" applyFill="1" applyBorder="1" applyAlignment="1">
      <alignment horizontal="center" vertical="center" wrapText="1"/>
    </xf>
    <xf numFmtId="168" fontId="13" fillId="15" borderId="240" xfId="0" applyNumberFormat="1" applyFont="1" applyFill="1" applyBorder="1" applyAlignment="1">
      <alignment horizontal="center" vertical="center" wrapText="1"/>
    </xf>
    <xf numFmtId="0" fontId="23" fillId="16" borderId="138" xfId="0" applyFont="1" applyFill="1" applyBorder="1" applyAlignment="1">
      <alignment horizontal="center" vertical="center" wrapText="1"/>
    </xf>
    <xf numFmtId="0" fontId="23" fillId="16" borderId="47" xfId="0" applyFont="1" applyFill="1" applyBorder="1" applyAlignment="1">
      <alignment horizontal="center" vertical="center" wrapText="1"/>
    </xf>
    <xf numFmtId="168" fontId="24" fillId="33" borderId="139" xfId="0" applyNumberFormat="1" applyFont="1" applyFill="1" applyBorder="1" applyAlignment="1">
      <alignment horizontal="center" vertical="center" wrapText="1"/>
    </xf>
    <xf numFmtId="168" fontId="24" fillId="33" borderId="57" xfId="0" applyNumberFormat="1" applyFont="1" applyFill="1" applyBorder="1" applyAlignment="1">
      <alignment horizontal="center" vertical="center" wrapText="1"/>
    </xf>
    <xf numFmtId="0" fontId="23" fillId="15" borderId="31" xfId="0" applyFont="1" applyFill="1" applyBorder="1" applyAlignment="1">
      <alignment horizontal="center" vertical="center" wrapText="1"/>
    </xf>
    <xf numFmtId="0" fontId="23" fillId="16" borderId="231" xfId="0" applyFont="1" applyFill="1" applyBorder="1" applyAlignment="1">
      <alignment horizontal="center" vertical="center" wrapText="1"/>
    </xf>
    <xf numFmtId="168" fontId="24" fillId="33" borderId="180" xfId="0" applyNumberFormat="1" applyFont="1" applyFill="1" applyBorder="1" applyAlignment="1">
      <alignment horizontal="center" vertical="center" wrapText="1"/>
    </xf>
    <xf numFmtId="168" fontId="24" fillId="33" borderId="244" xfId="0" applyNumberFormat="1" applyFont="1" applyFill="1" applyBorder="1" applyAlignment="1">
      <alignment horizontal="center" vertical="center" wrapText="1"/>
    </xf>
    <xf numFmtId="168" fontId="24" fillId="33" borderId="148" xfId="0" applyNumberFormat="1" applyFont="1" applyFill="1" applyBorder="1" applyAlignment="1">
      <alignment horizontal="center" vertical="center" wrapText="1"/>
    </xf>
    <xf numFmtId="168" fontId="24" fillId="33" borderId="131" xfId="0" applyNumberFormat="1" applyFont="1" applyFill="1" applyBorder="1" applyAlignment="1">
      <alignment horizontal="center" vertical="center" wrapText="1"/>
    </xf>
    <xf numFmtId="0" fontId="23" fillId="15" borderId="48" xfId="0" applyFont="1" applyFill="1" applyBorder="1" applyAlignment="1">
      <alignment horizontal="center" vertical="center" wrapText="1"/>
    </xf>
    <xf numFmtId="0" fontId="23" fillId="15" borderId="87" xfId="0" applyFont="1" applyFill="1" applyBorder="1" applyAlignment="1">
      <alignment horizontal="center" vertical="center" wrapText="1"/>
    </xf>
    <xf numFmtId="168" fontId="11" fillId="23" borderId="163" xfId="13" applyNumberFormat="1" applyFont="1" applyFill="1" applyBorder="1" applyAlignment="1">
      <alignment horizontal="center" vertical="center"/>
    </xf>
    <xf numFmtId="168" fontId="11" fillId="23" borderId="160" xfId="13" applyNumberFormat="1" applyFont="1" applyFill="1" applyBorder="1" applyAlignment="1">
      <alignment horizontal="center" vertical="center"/>
    </xf>
    <xf numFmtId="168" fontId="11" fillId="20" borderId="159" xfId="13" applyNumberFormat="1" applyFont="1" applyFill="1" applyBorder="1" applyAlignment="1">
      <alignment horizontal="center" vertical="center"/>
    </xf>
    <xf numFmtId="168" fontId="11" fillId="20" borderId="163" xfId="13" applyNumberFormat="1" applyFont="1" applyFill="1" applyBorder="1" applyAlignment="1">
      <alignment horizontal="center" vertical="center"/>
    </xf>
    <xf numFmtId="168" fontId="11" fillId="20" borderId="160" xfId="13" applyNumberFormat="1" applyFont="1" applyFill="1" applyBorder="1" applyAlignment="1">
      <alignment horizontal="center" vertical="center"/>
    </xf>
    <xf numFmtId="0" fontId="23" fillId="0" borderId="165" xfId="0" applyFont="1" applyBorder="1" applyAlignment="1">
      <alignment horizontal="center" vertical="top" wrapText="1"/>
    </xf>
    <xf numFmtId="0" fontId="23" fillId="0" borderId="166" xfId="0" applyFont="1" applyBorder="1" applyAlignment="1">
      <alignment horizontal="center" vertical="top" wrapText="1"/>
    </xf>
    <xf numFmtId="0" fontId="23" fillId="0" borderId="220" xfId="0" applyFont="1" applyBorder="1" applyAlignment="1">
      <alignment horizontal="center" vertical="top" wrapText="1"/>
    </xf>
    <xf numFmtId="0" fontId="11" fillId="15" borderId="209" xfId="0" applyFont="1" applyFill="1" applyBorder="1" applyAlignment="1">
      <alignment horizontal="center" vertical="center"/>
    </xf>
    <xf numFmtId="0" fontId="11" fillId="15" borderId="212" xfId="0" applyFont="1" applyFill="1" applyBorder="1" applyAlignment="1">
      <alignment horizontal="center" vertical="center"/>
    </xf>
    <xf numFmtId="0" fontId="11" fillId="16" borderId="178" xfId="0" applyFont="1" applyFill="1" applyBorder="1" applyAlignment="1">
      <alignment horizontal="center" vertical="center" wrapText="1"/>
    </xf>
    <xf numFmtId="0" fontId="11" fillId="16" borderId="167" xfId="0" applyFont="1" applyFill="1" applyBorder="1" applyAlignment="1">
      <alignment horizontal="center" vertical="center" wrapText="1"/>
    </xf>
    <xf numFmtId="0" fontId="11" fillId="17" borderId="178" xfId="0" applyFont="1" applyFill="1" applyBorder="1" applyAlignment="1">
      <alignment horizontal="center" vertical="center"/>
    </xf>
    <xf numFmtId="166" fontId="13" fillId="18" borderId="106" xfId="13" applyFont="1" applyFill="1" applyBorder="1" applyAlignment="1">
      <alignment horizontal="center" vertical="center" wrapText="1"/>
    </xf>
    <xf numFmtId="166" fontId="13" fillId="18" borderId="55" xfId="13" applyFont="1" applyFill="1" applyBorder="1" applyAlignment="1">
      <alignment horizontal="center" vertical="center" wrapText="1"/>
    </xf>
    <xf numFmtId="0" fontId="11" fillId="16" borderId="207" xfId="0" applyFont="1" applyFill="1" applyBorder="1" applyAlignment="1">
      <alignment horizontal="center" vertical="center"/>
    </xf>
    <xf numFmtId="0" fontId="11" fillId="16" borderId="210" xfId="0" applyFont="1" applyFill="1" applyBorder="1" applyAlignment="1">
      <alignment horizontal="center" vertical="center"/>
    </xf>
    <xf numFmtId="0" fontId="13" fillId="17" borderId="208" xfId="0" applyFont="1" applyFill="1" applyBorder="1" applyAlignment="1">
      <alignment horizontal="center" vertical="center"/>
    </xf>
    <xf numFmtId="0" fontId="13" fillId="17" borderId="2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12" borderId="34" xfId="0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34" fillId="36" borderId="161" xfId="0" applyFont="1" applyFill="1" applyBorder="1" applyAlignment="1">
      <alignment horizontal="center" vertical="center"/>
    </xf>
    <xf numFmtId="0" fontId="34" fillId="36" borderId="68" xfId="0" applyFont="1" applyFill="1" applyBorder="1" applyAlignment="1">
      <alignment horizontal="center" vertical="center"/>
    </xf>
    <xf numFmtId="174" fontId="24" fillId="29" borderId="0" xfId="12" applyNumberFormat="1" applyFont="1" applyFill="1" applyAlignment="1">
      <alignment horizontal="right" vertical="center" wrapText="1"/>
    </xf>
    <xf numFmtId="174" fontId="24" fillId="29" borderId="41" xfId="12" applyNumberFormat="1" applyFont="1" applyFill="1" applyBorder="1" applyAlignment="1">
      <alignment horizontal="right" vertical="center" wrapText="1"/>
    </xf>
    <xf numFmtId="0" fontId="23" fillId="0" borderId="67" xfId="0" applyFont="1" applyBorder="1" applyAlignment="1">
      <alignment horizontal="center" vertical="top" wrapText="1"/>
    </xf>
    <xf numFmtId="0" fontId="34" fillId="36" borderId="161" xfId="0" applyFont="1" applyFill="1" applyBorder="1" applyAlignment="1">
      <alignment horizontal="center" vertical="center" wrapText="1"/>
    </xf>
    <xf numFmtId="0" fontId="34" fillId="36" borderId="68" xfId="0" applyFont="1" applyFill="1" applyBorder="1" applyAlignment="1">
      <alignment horizontal="center" vertical="center" wrapText="1"/>
    </xf>
    <xf numFmtId="0" fontId="31" fillId="50" borderId="189" xfId="0" applyFont="1" applyFill="1" applyBorder="1" applyAlignment="1">
      <alignment horizontal="center" vertical="center" wrapText="1"/>
    </xf>
    <xf numFmtId="0" fontId="31" fillId="50" borderId="158" xfId="0" applyFont="1" applyFill="1" applyBorder="1" applyAlignment="1">
      <alignment horizontal="center" vertical="center" wrapText="1"/>
    </xf>
    <xf numFmtId="166" fontId="13" fillId="18" borderId="179" xfId="13" applyFont="1" applyFill="1" applyBorder="1" applyAlignment="1">
      <alignment horizontal="center" vertical="center" wrapText="1"/>
    </xf>
    <xf numFmtId="166" fontId="13" fillId="18" borderId="155" xfId="13" applyFont="1" applyFill="1" applyBorder="1" applyAlignment="1">
      <alignment horizontal="center" vertical="center" wrapText="1"/>
    </xf>
    <xf numFmtId="0" fontId="23" fillId="48" borderId="275" xfId="0" applyFont="1" applyFill="1" applyBorder="1" applyAlignment="1">
      <alignment horizontal="center" vertical="center" textRotation="90" wrapText="1"/>
    </xf>
    <xf numFmtId="0" fontId="23" fillId="48" borderId="91" xfId="0" applyFont="1" applyFill="1" applyBorder="1" applyAlignment="1">
      <alignment horizontal="center" vertical="center" textRotation="90" wrapText="1"/>
    </xf>
    <xf numFmtId="0" fontId="23" fillId="48" borderId="46" xfId="0" applyFont="1" applyFill="1" applyBorder="1" applyAlignment="1">
      <alignment horizontal="center" vertical="center" textRotation="90" wrapText="1"/>
    </xf>
    <xf numFmtId="0" fontId="23" fillId="48" borderId="275" xfId="0" applyFont="1" applyFill="1" applyBorder="1" applyAlignment="1">
      <alignment horizontal="left" vertical="center" wrapText="1"/>
    </xf>
    <xf numFmtId="0" fontId="23" fillId="48" borderId="91" xfId="0" applyFont="1" applyFill="1" applyBorder="1" applyAlignment="1">
      <alignment horizontal="left" vertical="center" wrapText="1"/>
    </xf>
    <xf numFmtId="0" fontId="23" fillId="48" borderId="46" xfId="0" applyFont="1" applyFill="1" applyBorder="1" applyAlignment="1">
      <alignment horizontal="left" vertical="center" wrapText="1"/>
    </xf>
    <xf numFmtId="177" fontId="0" fillId="25" borderId="71" xfId="0" applyNumberFormat="1" applyFill="1" applyBorder="1" applyAlignment="1">
      <alignment horizontal="center" vertical="center"/>
    </xf>
    <xf numFmtId="177" fontId="0" fillId="25" borderId="119" xfId="0" applyNumberFormat="1" applyFill="1" applyBorder="1" applyAlignment="1">
      <alignment horizontal="center" vertical="center"/>
    </xf>
    <xf numFmtId="0" fontId="10" fillId="49" borderId="90" xfId="0" applyFont="1" applyFill="1" applyBorder="1" applyAlignment="1">
      <alignment horizontal="center" vertical="center"/>
    </xf>
    <xf numFmtId="0" fontId="10" fillId="49" borderId="100" xfId="0" applyFont="1" applyFill="1" applyBorder="1" applyAlignment="1">
      <alignment horizontal="center" vertical="center"/>
    </xf>
    <xf numFmtId="0" fontId="10" fillId="48" borderId="90" xfId="0" applyFont="1" applyFill="1" applyBorder="1" applyAlignment="1">
      <alignment horizontal="center" vertical="center"/>
    </xf>
    <xf numFmtId="0" fontId="10" fillId="48" borderId="100" xfId="0" applyFont="1" applyFill="1" applyBorder="1" applyAlignment="1">
      <alignment horizontal="center" vertical="center"/>
    </xf>
    <xf numFmtId="0" fontId="13" fillId="16" borderId="275" xfId="0" applyFont="1" applyFill="1" applyBorder="1" applyAlignment="1">
      <alignment horizontal="center" vertical="center" wrapText="1"/>
    </xf>
    <xf numFmtId="0" fontId="13" fillId="16" borderId="4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16" borderId="243" xfId="0" applyFont="1" applyFill="1" applyBorder="1" applyAlignment="1">
      <alignment horizontal="center" vertical="center" wrapText="1"/>
    </xf>
    <xf numFmtId="0" fontId="18" fillId="49" borderId="248" xfId="0" applyFont="1" applyFill="1" applyBorder="1" applyAlignment="1">
      <alignment horizontal="center" vertical="center"/>
    </xf>
    <xf numFmtId="0" fontId="18" fillId="49" borderId="270" xfId="0" applyFont="1" applyFill="1" applyBorder="1" applyAlignment="1">
      <alignment horizontal="center" vertical="center"/>
    </xf>
    <xf numFmtId="0" fontId="18" fillId="48" borderId="248" xfId="0" applyFont="1" applyFill="1" applyBorder="1" applyAlignment="1">
      <alignment horizontal="center" vertical="center"/>
    </xf>
    <xf numFmtId="0" fontId="18" fillId="48" borderId="270" xfId="0" applyFont="1" applyFill="1" applyBorder="1" applyAlignment="1">
      <alignment horizontal="center" vertical="center"/>
    </xf>
    <xf numFmtId="0" fontId="10" fillId="14" borderId="90" xfId="0" applyFont="1" applyFill="1" applyBorder="1" applyAlignment="1">
      <alignment horizontal="center" vertical="center"/>
    </xf>
    <xf numFmtId="0" fontId="10" fillId="14" borderId="100" xfId="0" applyFont="1" applyFill="1" applyBorder="1" applyAlignment="1">
      <alignment horizontal="center" vertical="center"/>
    </xf>
    <xf numFmtId="0" fontId="18" fillId="14" borderId="271" xfId="0" applyFont="1" applyFill="1" applyBorder="1" applyAlignment="1">
      <alignment horizontal="center" vertical="center"/>
    </xf>
    <xf numFmtId="0" fontId="18" fillId="14" borderId="273" xfId="0" applyFont="1" applyFill="1" applyBorder="1" applyAlignment="1">
      <alignment horizontal="center" vertical="center"/>
    </xf>
    <xf numFmtId="0" fontId="18" fillId="49" borderId="271" xfId="0" applyFont="1" applyFill="1" applyBorder="1" applyAlignment="1">
      <alignment horizontal="center" vertical="center"/>
    </xf>
    <xf numFmtId="0" fontId="18" fillId="49" borderId="179" xfId="0" applyFont="1" applyFill="1" applyBorder="1" applyAlignment="1">
      <alignment horizontal="center" vertical="center"/>
    </xf>
    <xf numFmtId="0" fontId="18" fillId="48" borderId="244" xfId="0" applyFont="1" applyFill="1" applyBorder="1" applyAlignment="1">
      <alignment horizontal="center" vertical="center"/>
    </xf>
    <xf numFmtId="0" fontId="18" fillId="48" borderId="179" xfId="0" applyFont="1" applyFill="1" applyBorder="1" applyAlignment="1">
      <alignment horizontal="center" vertical="center"/>
    </xf>
    <xf numFmtId="0" fontId="18" fillId="14" borderId="248" xfId="0" applyFont="1" applyFill="1" applyBorder="1" applyAlignment="1">
      <alignment horizontal="center" vertical="center"/>
    </xf>
    <xf numFmtId="0" fontId="18" fillId="14" borderId="270" xfId="0" applyFont="1" applyFill="1" applyBorder="1" applyAlignment="1">
      <alignment horizontal="center" vertical="center"/>
    </xf>
    <xf numFmtId="0" fontId="22" fillId="16" borderId="248" xfId="0" applyFont="1" applyFill="1" applyBorder="1" applyAlignment="1">
      <alignment horizontal="center" vertical="center"/>
    </xf>
    <xf numFmtId="0" fontId="22" fillId="16" borderId="269" xfId="0" applyFont="1" applyFill="1" applyBorder="1" applyAlignment="1">
      <alignment horizontal="center" vertical="center"/>
    </xf>
    <xf numFmtId="0" fontId="22" fillId="16" borderId="270" xfId="0" applyFont="1" applyFill="1" applyBorder="1" applyAlignment="1">
      <alignment horizontal="center" vertical="center"/>
    </xf>
    <xf numFmtId="0" fontId="26" fillId="48" borderId="240" xfId="0" applyFont="1" applyFill="1" applyBorder="1" applyAlignment="1">
      <alignment horizontal="center" vertical="center" textRotation="90" wrapText="1"/>
    </xf>
    <xf numFmtId="0" fontId="26" fillId="48" borderId="60" xfId="0" applyFont="1" applyFill="1" applyBorder="1" applyAlignment="1">
      <alignment horizontal="center" vertical="center" textRotation="90" wrapText="1"/>
    </xf>
    <xf numFmtId="0" fontId="26" fillId="48" borderId="55" xfId="0" applyFont="1" applyFill="1" applyBorder="1" applyAlignment="1">
      <alignment horizontal="center" vertical="center" textRotation="90" wrapText="1"/>
    </xf>
    <xf numFmtId="0" fontId="23" fillId="12" borderId="274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110" xfId="0" applyFont="1" applyFill="1" applyBorder="1" applyAlignment="1" applyProtection="1">
      <alignment horizontal="left" vertical="center" wrapText="1"/>
      <protection locked="0"/>
    </xf>
    <xf numFmtId="0" fontId="23" fillId="12" borderId="275" xfId="0" applyFont="1" applyFill="1" applyBorder="1" applyAlignment="1" applyProtection="1">
      <alignment horizontal="left" vertical="center" wrapText="1"/>
      <protection locked="0"/>
    </xf>
    <xf numFmtId="0" fontId="23" fillId="12" borderId="91" xfId="0" applyFont="1" applyFill="1" applyBorder="1" applyAlignment="1" applyProtection="1">
      <alignment horizontal="left" vertical="center" wrapText="1"/>
      <protection locked="0"/>
    </xf>
    <xf numFmtId="0" fontId="23" fillId="12" borderId="4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17" borderId="281" xfId="0" applyFont="1" applyFill="1" applyBorder="1" applyAlignment="1">
      <alignment horizontal="center" vertical="center" wrapText="1"/>
    </xf>
    <xf numFmtId="0" fontId="13" fillId="17" borderId="68" xfId="0" applyFont="1" applyFill="1" applyBorder="1" applyAlignment="1">
      <alignment horizontal="center" vertical="center" wrapText="1"/>
    </xf>
    <xf numFmtId="0" fontId="11" fillId="15" borderId="281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3" fillId="26" borderId="275" xfId="0" applyFont="1" applyFill="1" applyBorder="1" applyAlignment="1">
      <alignment horizontal="center" vertical="center" wrapText="1"/>
    </xf>
    <xf numFmtId="0" fontId="13" fillId="26" borderId="46" xfId="0" applyFont="1" applyFill="1" applyBorder="1" applyAlignment="1">
      <alignment horizontal="center" vertical="center" wrapText="1"/>
    </xf>
    <xf numFmtId="0" fontId="18" fillId="14" borderId="269" xfId="0" applyFont="1" applyFill="1" applyBorder="1" applyAlignment="1">
      <alignment horizontal="center" vertical="center"/>
    </xf>
    <xf numFmtId="0" fontId="18" fillId="48" borderId="269" xfId="0" applyFont="1" applyFill="1" applyBorder="1" applyAlignment="1">
      <alignment horizontal="center" vertical="center"/>
    </xf>
    <xf numFmtId="0" fontId="13" fillId="16" borderId="176" xfId="0" applyFont="1" applyFill="1" applyBorder="1" applyAlignment="1">
      <alignment horizontal="center" vertical="center" wrapText="1"/>
    </xf>
    <xf numFmtId="0" fontId="13" fillId="16" borderId="279" xfId="0" applyFont="1" applyFill="1" applyBorder="1" applyAlignment="1">
      <alignment horizontal="center" vertical="center" wrapText="1"/>
    </xf>
    <xf numFmtId="0" fontId="13" fillId="16" borderId="40" xfId="0" applyFont="1" applyFill="1" applyBorder="1" applyAlignment="1">
      <alignment horizontal="center" vertical="center" wrapText="1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255" xfId="0" applyFont="1" applyFill="1" applyBorder="1" applyAlignment="1">
      <alignment horizontal="center" vertical="center"/>
    </xf>
    <xf numFmtId="0" fontId="13" fillId="16" borderId="12" xfId="0" applyFont="1" applyFill="1" applyBorder="1" applyAlignment="1">
      <alignment horizontal="center" vertical="center"/>
    </xf>
    <xf numFmtId="0" fontId="13" fillId="16" borderId="255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3" fillId="16" borderId="280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 wrapText="1"/>
    </xf>
    <xf numFmtId="0" fontId="23" fillId="0" borderId="169" xfId="0" applyFont="1" applyBorder="1" applyAlignment="1">
      <alignment horizontal="left" vertical="center" wrapText="1"/>
    </xf>
    <xf numFmtId="0" fontId="23" fillId="16" borderId="66" xfId="0" applyFont="1" applyFill="1" applyBorder="1" applyAlignment="1">
      <alignment horizontal="center" vertical="center"/>
    </xf>
    <xf numFmtId="0" fontId="23" fillId="16" borderId="178" xfId="0" applyFont="1" applyFill="1" applyBorder="1" applyAlignment="1">
      <alignment horizontal="center" vertical="center"/>
    </xf>
    <xf numFmtId="0" fontId="23" fillId="16" borderId="179" xfId="0" applyFont="1" applyFill="1" applyBorder="1" applyAlignment="1">
      <alignment horizontal="center" vertical="center"/>
    </xf>
    <xf numFmtId="0" fontId="23" fillId="0" borderId="230" xfId="0" applyFont="1" applyBorder="1" applyAlignment="1">
      <alignment horizontal="left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168" fontId="23" fillId="17" borderId="66" xfId="0" applyNumberFormat="1" applyFont="1" applyFill="1" applyBorder="1" applyAlignment="1">
      <alignment horizontal="center" vertical="center" wrapText="1"/>
    </xf>
    <xf numFmtId="168" fontId="23" fillId="17" borderId="178" xfId="0" applyNumberFormat="1" applyFont="1" applyFill="1" applyBorder="1" applyAlignment="1">
      <alignment horizontal="center" vertical="center" wrapText="1"/>
    </xf>
    <xf numFmtId="168" fontId="23" fillId="17" borderId="179" xfId="0" applyNumberFormat="1" applyFont="1" applyFill="1" applyBorder="1" applyAlignment="1">
      <alignment horizontal="center" vertical="center" wrapText="1"/>
    </xf>
    <xf numFmtId="168" fontId="24" fillId="33" borderId="66" xfId="0" applyNumberFormat="1" applyFont="1" applyFill="1" applyBorder="1" applyAlignment="1">
      <alignment horizontal="center" vertical="center" wrapText="1"/>
    </xf>
    <xf numFmtId="168" fontId="24" fillId="33" borderId="178" xfId="0" applyNumberFormat="1" applyFont="1" applyFill="1" applyBorder="1" applyAlignment="1">
      <alignment horizontal="center" vertical="center" wrapText="1"/>
    </xf>
    <xf numFmtId="168" fontId="24" fillId="33" borderId="179" xfId="0" applyNumberFormat="1" applyFont="1" applyFill="1" applyBorder="1" applyAlignment="1">
      <alignment horizontal="center" vertical="center" wrapText="1"/>
    </xf>
    <xf numFmtId="0" fontId="13" fillId="15" borderId="66" xfId="0" applyFont="1" applyFill="1" applyBorder="1" applyAlignment="1">
      <alignment horizontal="center" vertical="center" wrapText="1"/>
    </xf>
    <xf numFmtId="0" fontId="13" fillId="15" borderId="227" xfId="0" applyFont="1" applyFill="1" applyBorder="1" applyAlignment="1">
      <alignment horizontal="center" vertical="center" wrapText="1"/>
    </xf>
    <xf numFmtId="0" fontId="13" fillId="15" borderId="231" xfId="0" applyFont="1" applyFill="1" applyBorder="1" applyAlignment="1">
      <alignment horizontal="center" vertical="center" wrapText="1"/>
    </xf>
    <xf numFmtId="0" fontId="13" fillId="15" borderId="232" xfId="0" applyFont="1" applyFill="1" applyBorder="1" applyAlignment="1">
      <alignment horizontal="center" vertical="center" wrapText="1"/>
    </xf>
    <xf numFmtId="0" fontId="23" fillId="11" borderId="96" xfId="0" applyFont="1" applyFill="1" applyBorder="1" applyAlignment="1">
      <alignment horizontal="center" vertical="center" wrapText="1"/>
    </xf>
    <xf numFmtId="0" fontId="23" fillId="11" borderId="91" xfId="0" applyFont="1" applyFill="1" applyBorder="1" applyAlignment="1">
      <alignment horizontal="center" vertical="center" wrapText="1"/>
    </xf>
    <xf numFmtId="0" fontId="23" fillId="11" borderId="46" xfId="0" applyFont="1" applyFill="1" applyBorder="1" applyAlignment="1">
      <alignment horizontal="center" vertical="center" wrapText="1"/>
    </xf>
    <xf numFmtId="177" fontId="23" fillId="28" borderId="91" xfId="0" applyNumberFormat="1" applyFont="1" applyFill="1" applyBorder="1" applyAlignment="1">
      <alignment horizontal="right" vertical="center"/>
    </xf>
    <xf numFmtId="177" fontId="23" fillId="28" borderId="46" xfId="0" applyNumberFormat="1" applyFont="1" applyFill="1" applyBorder="1" applyAlignment="1">
      <alignment horizontal="right" vertical="center"/>
    </xf>
    <xf numFmtId="0" fontId="13" fillId="26" borderId="240" xfId="0" applyFont="1" applyFill="1" applyBorder="1" applyAlignment="1">
      <alignment horizontal="center" vertical="center" wrapText="1"/>
    </xf>
    <xf numFmtId="0" fontId="13" fillId="26" borderId="55" xfId="0" applyFont="1" applyFill="1" applyBorder="1" applyAlignment="1">
      <alignment horizontal="center" vertical="center" wrapText="1"/>
    </xf>
    <xf numFmtId="0" fontId="13" fillId="26" borderId="96" xfId="0" applyFont="1" applyFill="1" applyBorder="1" applyAlignment="1">
      <alignment horizontal="center" vertical="center" wrapText="1"/>
    </xf>
    <xf numFmtId="0" fontId="13" fillId="26" borderId="63" xfId="0" applyFont="1" applyFill="1" applyBorder="1" applyAlignment="1">
      <alignment horizontal="center" vertical="center" wrapText="1"/>
    </xf>
    <xf numFmtId="0" fontId="13" fillId="16" borderId="91" xfId="0" applyFont="1" applyFill="1" applyBorder="1" applyAlignment="1">
      <alignment horizontal="center" vertical="center" wrapText="1"/>
    </xf>
    <xf numFmtId="0" fontId="13" fillId="16" borderId="238" xfId="0" applyFont="1" applyFill="1" applyBorder="1" applyAlignment="1">
      <alignment horizontal="center" vertical="center"/>
    </xf>
    <xf numFmtId="0" fontId="13" fillId="16" borderId="35" xfId="0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horizontal="center" vertical="center"/>
    </xf>
    <xf numFmtId="0" fontId="13" fillId="16" borderId="111" xfId="0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horizontal="center" vertical="center" wrapText="1"/>
    </xf>
    <xf numFmtId="0" fontId="13" fillId="16" borderId="111" xfId="0" applyFont="1" applyFill="1" applyBorder="1" applyAlignment="1">
      <alignment horizontal="center" vertical="center" wrapText="1"/>
    </xf>
    <xf numFmtId="0" fontId="13" fillId="16" borderId="94" xfId="0" applyFont="1" applyFill="1" applyBorder="1" applyAlignment="1">
      <alignment horizontal="center" vertical="center" wrapText="1"/>
    </xf>
    <xf numFmtId="0" fontId="13" fillId="16" borderId="10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7" fontId="23" fillId="28" borderId="96" xfId="0" applyNumberFormat="1" applyFont="1" applyFill="1" applyBorder="1" applyAlignment="1">
      <alignment horizontal="right" vertical="center"/>
    </xf>
    <xf numFmtId="0" fontId="13" fillId="16" borderId="112" xfId="0" applyFont="1" applyFill="1" applyBorder="1" applyAlignment="1">
      <alignment horizontal="center" vertical="center" wrapText="1"/>
    </xf>
    <xf numFmtId="0" fontId="13" fillId="16" borderId="248" xfId="0" applyFont="1" applyFill="1" applyBorder="1" applyAlignment="1">
      <alignment horizontal="center" vertical="center" wrapText="1"/>
    </xf>
    <xf numFmtId="0" fontId="13" fillId="16" borderId="90" xfId="0" applyFont="1" applyFill="1" applyBorder="1" applyAlignment="1">
      <alignment horizontal="center" vertical="center" wrapText="1"/>
    </xf>
    <xf numFmtId="0" fontId="13" fillId="26" borderId="250" xfId="0" applyFont="1" applyFill="1" applyBorder="1" applyAlignment="1">
      <alignment horizontal="center" vertical="center" wrapText="1"/>
    </xf>
    <xf numFmtId="0" fontId="13" fillId="26" borderId="110" xfId="0" applyFont="1" applyFill="1" applyBorder="1" applyAlignment="1">
      <alignment horizontal="center" vertical="center" wrapText="1"/>
    </xf>
    <xf numFmtId="0" fontId="13" fillId="16" borderId="244" xfId="0" applyFont="1" applyFill="1" applyBorder="1" applyAlignment="1">
      <alignment horizontal="center" vertical="center" wrapText="1"/>
    </xf>
    <xf numFmtId="0" fontId="13" fillId="16" borderId="98" xfId="0" applyFont="1" applyFill="1" applyBorder="1" applyAlignment="1">
      <alignment horizontal="center" vertical="center" wrapText="1"/>
    </xf>
    <xf numFmtId="0" fontId="13" fillId="16" borderId="178" xfId="0" applyFont="1" applyFill="1" applyBorder="1" applyAlignment="1">
      <alignment horizontal="center" vertical="center" wrapText="1"/>
    </xf>
    <xf numFmtId="0" fontId="13" fillId="16" borderId="167" xfId="0" applyFont="1" applyFill="1" applyBorder="1" applyAlignment="1">
      <alignment horizontal="center" vertical="center" wrapText="1"/>
    </xf>
    <xf numFmtId="0" fontId="13" fillId="16" borderId="96" xfId="0" applyFont="1" applyFill="1" applyBorder="1" applyAlignment="1">
      <alignment horizontal="center" vertical="center" wrapText="1"/>
    </xf>
    <xf numFmtId="0" fontId="13" fillId="16" borderId="65" xfId="0" applyFont="1" applyFill="1" applyBorder="1" applyAlignment="1">
      <alignment horizontal="center" vertical="center"/>
    </xf>
    <xf numFmtId="0" fontId="13" fillId="16" borderId="257" xfId="0" applyFont="1" applyFill="1" applyBorder="1" applyAlignment="1">
      <alignment horizontal="center" vertical="center"/>
    </xf>
    <xf numFmtId="0" fontId="13" fillId="16" borderId="37" xfId="0" applyFont="1" applyFill="1" applyBorder="1" applyAlignment="1">
      <alignment horizontal="center" vertical="center"/>
    </xf>
    <xf numFmtId="0" fontId="13" fillId="16" borderId="37" xfId="0" applyFont="1" applyFill="1" applyBorder="1" applyAlignment="1">
      <alignment horizontal="center" vertical="center" wrapText="1"/>
    </xf>
    <xf numFmtId="177" fontId="23" fillId="28" borderId="63" xfId="0" applyNumberFormat="1" applyFont="1" applyFill="1" applyBorder="1" applyAlignment="1">
      <alignment horizontal="right" vertical="center"/>
    </xf>
    <xf numFmtId="0" fontId="13" fillId="16" borderId="150" xfId="0" applyFont="1" applyFill="1" applyBorder="1" applyAlignment="1">
      <alignment horizontal="center" vertical="center" wrapText="1"/>
    </xf>
    <xf numFmtId="0" fontId="13" fillId="16" borderId="60" xfId="0" applyFont="1" applyFill="1" applyBorder="1" applyAlignment="1">
      <alignment horizontal="center" vertical="center" wrapText="1"/>
    </xf>
    <xf numFmtId="0" fontId="23" fillId="15" borderId="142" xfId="0" applyFont="1" applyFill="1" applyBorder="1" applyAlignment="1">
      <alignment horizontal="center" vertical="center" wrapText="1"/>
    </xf>
    <xf numFmtId="0" fontId="23" fillId="15" borderId="72" xfId="0" applyFont="1" applyFill="1" applyBorder="1" applyAlignment="1">
      <alignment horizontal="center" vertical="center" wrapText="1"/>
    </xf>
    <xf numFmtId="168" fontId="24" fillId="33" borderId="124" xfId="0" applyNumberFormat="1" applyFont="1" applyFill="1" applyBorder="1" applyAlignment="1">
      <alignment horizontal="center" vertical="center" wrapText="1"/>
    </xf>
    <xf numFmtId="168" fontId="24" fillId="33" borderId="122" xfId="0" applyNumberFormat="1" applyFont="1" applyFill="1" applyBorder="1" applyAlignment="1">
      <alignment horizontal="center" vertical="center" wrapText="1"/>
    </xf>
    <xf numFmtId="168" fontId="24" fillId="33" borderId="125" xfId="0" applyNumberFormat="1" applyFont="1" applyFill="1" applyBorder="1" applyAlignment="1">
      <alignment horizontal="center" vertical="center" wrapText="1"/>
    </xf>
    <xf numFmtId="0" fontId="13" fillId="16" borderId="147" xfId="0" applyFont="1" applyFill="1" applyBorder="1" applyAlignment="1">
      <alignment horizontal="center" vertical="center" wrapText="1"/>
    </xf>
    <xf numFmtId="0" fontId="13" fillId="16" borderId="73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15" xfId="0" applyFont="1" applyFill="1" applyBorder="1" applyAlignment="1" applyProtection="1">
      <alignment horizontal="center" vertical="center"/>
      <protection locked="0"/>
    </xf>
    <xf numFmtId="0" fontId="13" fillId="16" borderId="145" xfId="0" applyFont="1" applyFill="1" applyBorder="1" applyAlignment="1">
      <alignment horizontal="center" vertical="center"/>
    </xf>
    <xf numFmtId="0" fontId="13" fillId="16" borderId="146" xfId="0" applyFont="1" applyFill="1" applyBorder="1" applyAlignment="1">
      <alignment horizontal="center" vertical="center"/>
    </xf>
    <xf numFmtId="0" fontId="0" fillId="37" borderId="32" xfId="0" applyFill="1" applyBorder="1" applyAlignment="1">
      <alignment horizontal="left" vertical="center" wrapText="1"/>
    </xf>
    <xf numFmtId="0" fontId="0" fillId="37" borderId="21" xfId="0" applyFill="1" applyBorder="1" applyAlignment="1">
      <alignment horizontal="left" vertical="center" wrapText="1"/>
    </xf>
    <xf numFmtId="0" fontId="0" fillId="37" borderId="35" xfId="0" applyFill="1" applyBorder="1" applyAlignment="1">
      <alignment horizontal="left" vertical="center" wrapText="1"/>
    </xf>
    <xf numFmtId="0" fontId="0" fillId="37" borderId="33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36" xfId="0" applyFill="1" applyBorder="1" applyAlignment="1">
      <alignment horizontal="left" vertical="center" wrapText="1"/>
    </xf>
    <xf numFmtId="0" fontId="0" fillId="37" borderId="22" xfId="0" applyFill="1" applyBorder="1" applyAlignment="1">
      <alignment horizontal="left" vertical="center" wrapText="1"/>
    </xf>
    <xf numFmtId="0" fontId="0" fillId="37" borderId="19" xfId="0" applyFill="1" applyBorder="1" applyAlignment="1">
      <alignment horizontal="left" vertical="center" wrapText="1"/>
    </xf>
    <xf numFmtId="0" fontId="0" fillId="37" borderId="20" xfId="0" applyFill="1" applyBorder="1" applyAlignment="1">
      <alignment horizontal="left" vertical="center" wrapText="1"/>
    </xf>
    <xf numFmtId="168" fontId="13" fillId="17" borderId="121" xfId="0" applyNumberFormat="1" applyFont="1" applyFill="1" applyBorder="1" applyAlignment="1">
      <alignment horizontal="center" vertical="center" wrapText="1"/>
    </xf>
    <xf numFmtId="168" fontId="13" fillId="17" borderId="122" xfId="0" applyNumberFormat="1" applyFont="1" applyFill="1" applyBorder="1" applyAlignment="1">
      <alignment horizontal="center" vertical="center" wrapText="1"/>
    </xf>
    <xf numFmtId="168" fontId="13" fillId="17" borderId="123" xfId="0" applyNumberFormat="1" applyFont="1" applyFill="1" applyBorder="1" applyAlignment="1">
      <alignment horizontal="center" vertical="center" wrapText="1"/>
    </xf>
    <xf numFmtId="0" fontId="13" fillId="16" borderId="66" xfId="0" applyFont="1" applyFill="1" applyBorder="1" applyAlignment="1">
      <alignment horizontal="center" vertical="center"/>
    </xf>
    <xf numFmtId="0" fontId="13" fillId="16" borderId="131" xfId="0" applyFont="1" applyFill="1" applyBorder="1" applyAlignment="1">
      <alignment horizontal="center" vertical="center"/>
    </xf>
    <xf numFmtId="0" fontId="13" fillId="16" borderId="149" xfId="0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151" xfId="0" applyFont="1" applyBorder="1" applyAlignment="1">
      <alignment horizontal="center" vertical="center" wrapText="1"/>
    </xf>
    <xf numFmtId="0" fontId="23" fillId="15" borderId="124" xfId="0" applyFont="1" applyFill="1" applyBorder="1" applyAlignment="1">
      <alignment horizontal="center" vertical="center" wrapText="1"/>
    </xf>
    <xf numFmtId="0" fontId="23" fillId="15" borderId="136" xfId="0" applyFont="1" applyFill="1" applyBorder="1" applyAlignment="1">
      <alignment horizontal="center" vertical="center" wrapText="1"/>
    </xf>
    <xf numFmtId="0" fontId="13" fillId="16" borderId="143" xfId="0" applyFont="1" applyFill="1" applyBorder="1" applyAlignment="1">
      <alignment horizontal="center" vertical="center"/>
    </xf>
    <xf numFmtId="0" fontId="13" fillId="16" borderId="144" xfId="0" applyFont="1" applyFill="1" applyBorder="1" applyAlignment="1">
      <alignment horizontal="center" vertical="center"/>
    </xf>
    <xf numFmtId="0" fontId="23" fillId="12" borderId="245" xfId="0" applyFont="1" applyFill="1" applyBorder="1" applyAlignment="1" applyProtection="1">
      <alignment horizontal="center" vertical="center"/>
      <protection locked="0"/>
    </xf>
    <xf numFmtId="0" fontId="23" fillId="12" borderId="246" xfId="0" applyFont="1" applyFill="1" applyBorder="1" applyAlignment="1" applyProtection="1">
      <alignment horizontal="center" vertical="center"/>
      <protection locked="0"/>
    </xf>
    <xf numFmtId="0" fontId="29" fillId="0" borderId="0" xfId="0" applyFont="1"/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1000000}"/>
    <cellStyle name="Millares 3" xfId="35" xr:uid="{00000000-0005-0000-0000-000012000000}"/>
    <cellStyle name="Moneda" xfId="13" builtinId="4"/>
    <cellStyle name="Moneda [0]" xfId="32" builtinId="7"/>
    <cellStyle name="Moneda [0] 2" xfId="33" xr:uid="{00000000-0005-0000-0000-000015000000}"/>
    <cellStyle name="Moneda 2" xfId="26" xr:uid="{00000000-0005-0000-0000-000016000000}"/>
    <cellStyle name="Moneda 3" xfId="25" xr:uid="{00000000-0005-0000-0000-000017000000}"/>
    <cellStyle name="Neutral" xfId="14" builtinId="28" customBuiltin="1"/>
    <cellStyle name="Normal" xfId="0" builtinId="0"/>
    <cellStyle name="Normal 2" xfId="27" xr:uid="{00000000-0005-0000-0000-00001A000000}"/>
    <cellStyle name="Normal 3" xfId="28" xr:uid="{00000000-0005-0000-0000-00001B000000}"/>
    <cellStyle name="Normal 4" xfId="29" xr:uid="{00000000-0005-0000-0000-00001C000000}"/>
    <cellStyle name="Normal 5" xfId="34" xr:uid="{00000000-0005-0000-0000-00001D000000}"/>
    <cellStyle name="Normal_Hoja1 2" xfId="36" xr:uid="{00000000-0005-0000-0000-00001E000000}"/>
    <cellStyle name="Note" xfId="15" xr:uid="{00000000-0005-0000-0000-00001F000000}"/>
    <cellStyle name="Porcentaje" xfId="16" builtinId="5"/>
    <cellStyle name="Porcentaje 2" xfId="30" xr:uid="{00000000-0005-0000-0000-000021000000}"/>
    <cellStyle name="Status" xfId="17" xr:uid="{00000000-0005-0000-0000-000022000000}"/>
    <cellStyle name="Text" xfId="18" xr:uid="{00000000-0005-0000-0000-000023000000}"/>
    <cellStyle name="Warning" xfId="19" xr:uid="{00000000-0005-0000-0000-000024000000}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FFFF66"/>
      <color rgb="FF0000CC"/>
      <color rgb="FFFF0909"/>
      <color rgb="FF69D8FF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C3847F-C0D8-4BD3-842A-255BF3B2199F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95249</xdr:rowOff>
    </xdr:from>
    <xdr:to>
      <xdr:col>9</xdr:col>
      <xdr:colOff>232835</xdr:colOff>
      <xdr:row>63</xdr:row>
      <xdr:rowOff>42332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F95214-FC11-4AA0-8B1C-EC968D43F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21" t="7408" r="24701" b="3589"/>
        <a:stretch/>
      </xdr:blipFill>
      <xdr:spPr>
        <a:xfrm>
          <a:off x="0" y="904874"/>
          <a:ext cx="7090835" cy="933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5</xdr:row>
      <xdr:rowOff>158749</xdr:rowOff>
    </xdr:from>
    <xdr:to>
      <xdr:col>18</xdr:col>
      <xdr:colOff>359834</xdr:colOff>
      <xdr:row>63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3810B1-5583-405B-8DD1-1D02BDF957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37" t="7820" r="25049" b="3896"/>
        <a:stretch/>
      </xdr:blipFill>
      <xdr:spPr>
        <a:xfrm>
          <a:off x="7069667" y="968374"/>
          <a:ext cx="7006167" cy="9264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52916</xdr:rowOff>
    </xdr:from>
    <xdr:to>
      <xdr:col>9</xdr:col>
      <xdr:colOff>179917</xdr:colOff>
      <xdr:row>120</xdr:row>
      <xdr:rowOff>42333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33AD4B-C18F-42BF-9A94-AACC2BCB7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6636" t="8540" r="24875" b="3588"/>
        <a:stretch/>
      </xdr:blipFill>
      <xdr:spPr>
        <a:xfrm>
          <a:off x="0" y="10254191"/>
          <a:ext cx="7037917" cy="9219142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211666</xdr:colOff>
      <xdr:row>63</xdr:row>
      <xdr:rowOff>52916</xdr:rowOff>
    </xdr:from>
    <xdr:to>
      <xdr:col>18</xdr:col>
      <xdr:colOff>412750</xdr:colOff>
      <xdr:row>120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8175FB-4A11-41F8-9DDC-8CBAE0314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694" t="8746" r="24702" b="3794"/>
        <a:stretch/>
      </xdr:blipFill>
      <xdr:spPr>
        <a:xfrm>
          <a:off x="7069666" y="10254191"/>
          <a:ext cx="7059084" cy="917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63499</xdr:rowOff>
    </xdr:from>
    <xdr:to>
      <xdr:col>9</xdr:col>
      <xdr:colOff>190500</xdr:colOff>
      <xdr:row>176</xdr:row>
      <xdr:rowOff>105834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6541E5F-D508-4173-9137-DB23490F1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579" t="9363" r="24874" b="3795"/>
        <a:stretch/>
      </xdr:blipFill>
      <xdr:spPr>
        <a:xfrm>
          <a:off x="0" y="19494499"/>
          <a:ext cx="7048500" cy="911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</xdr:colOff>
      <xdr:row>120</xdr:row>
      <xdr:rowOff>31751</xdr:rowOff>
    </xdr:from>
    <xdr:to>
      <xdr:col>18</xdr:col>
      <xdr:colOff>402167</xdr:colOff>
      <xdr:row>176</xdr:row>
      <xdr:rowOff>42334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D17011-AF44-470D-A666-B79E5A981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521" t="9776" r="24875" b="3692"/>
        <a:stretch/>
      </xdr:blipFill>
      <xdr:spPr>
        <a:xfrm>
          <a:off x="7059083" y="19462751"/>
          <a:ext cx="7059084" cy="9078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126999</xdr:rowOff>
    </xdr:from>
    <xdr:to>
      <xdr:col>9</xdr:col>
      <xdr:colOff>190500</xdr:colOff>
      <xdr:row>232</xdr:row>
      <xdr:rowOff>63499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BC22027-E169-458B-93DB-2E76C039A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463" t="10392" r="24990" b="3795"/>
        <a:stretch/>
      </xdr:blipFill>
      <xdr:spPr>
        <a:xfrm>
          <a:off x="0" y="28625799"/>
          <a:ext cx="7048500" cy="900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4" name="Flecha: hacia abaj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C682D-D4CE-41A5-B82F-96678D2AA2F6}"/>
            </a:ext>
          </a:extLst>
        </xdr:cNvPr>
        <xdr:cNvSpPr/>
      </xdr:nvSpPr>
      <xdr:spPr bwMode="auto">
        <a:xfrm>
          <a:off x="47624" y="161925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6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9B372C-1246-4090-AB40-3617DF842BFB}"/>
            </a:ext>
          </a:extLst>
        </xdr:cNvPr>
        <xdr:cNvSpPr/>
      </xdr:nvSpPr>
      <xdr:spPr bwMode="auto">
        <a:xfrm>
          <a:off x="1273969" y="185736"/>
          <a:ext cx="1188245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10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E2B469-AC36-4605-8E13-FA0F38B329EC}"/>
            </a:ext>
          </a:extLst>
        </xdr:cNvPr>
        <xdr:cNvSpPr/>
      </xdr:nvSpPr>
      <xdr:spPr bwMode="auto">
        <a:xfrm>
          <a:off x="2497931" y="197643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15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89CA80-60AC-4741-9A87-68DBB2051BEE}"/>
            </a:ext>
          </a:extLst>
        </xdr:cNvPr>
        <xdr:cNvSpPr/>
      </xdr:nvSpPr>
      <xdr:spPr bwMode="auto">
        <a:xfrm>
          <a:off x="3748087" y="209550"/>
          <a:ext cx="1188244" cy="759619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16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B76531-5DAA-4663-A4D5-595CE58CAC88}"/>
            </a:ext>
          </a:extLst>
        </xdr:cNvPr>
        <xdr:cNvSpPr/>
      </xdr:nvSpPr>
      <xdr:spPr bwMode="auto">
        <a:xfrm rot="10800000">
          <a:off x="37452300" y="371475"/>
          <a:ext cx="416718" cy="292893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17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14CF71-BC1F-420D-9C01-8179199CF6DC}"/>
            </a:ext>
          </a:extLst>
        </xdr:cNvPr>
        <xdr:cNvSpPr/>
      </xdr:nvSpPr>
      <xdr:spPr bwMode="auto">
        <a:xfrm rot="10800000">
          <a:off x="298894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8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A8227C-3296-4F59-A11E-E61933D353BC}"/>
            </a:ext>
          </a:extLst>
        </xdr:cNvPr>
        <xdr:cNvSpPr/>
      </xdr:nvSpPr>
      <xdr:spPr bwMode="auto">
        <a:xfrm rot="10800000">
          <a:off x="234886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9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C8533D-5CB5-40CE-AF37-2A5C939E14BC}"/>
            </a:ext>
          </a:extLst>
        </xdr:cNvPr>
        <xdr:cNvSpPr/>
      </xdr:nvSpPr>
      <xdr:spPr bwMode="auto">
        <a:xfrm rot="10800000">
          <a:off x="15551944" y="509588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20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ABB5D7-BECB-4DF4-A175-B65D3EC02C2D}"/>
            </a:ext>
          </a:extLst>
        </xdr:cNvPr>
        <xdr:cNvSpPr/>
      </xdr:nvSpPr>
      <xdr:spPr bwMode="auto">
        <a:xfrm>
          <a:off x="9265444" y="161925"/>
          <a:ext cx="1193008" cy="759619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21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82F8A1-5E14-4AA1-B421-F2D785BD310E}"/>
            </a:ext>
          </a:extLst>
        </xdr:cNvPr>
        <xdr:cNvSpPr/>
      </xdr:nvSpPr>
      <xdr:spPr bwMode="auto">
        <a:xfrm rot="10800000">
          <a:off x="4359592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2" name="Flecha: hacia abaj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9E904-F854-4BE7-90E2-C975C0028865}"/>
            </a:ext>
          </a:extLst>
        </xdr:cNvPr>
        <xdr:cNvSpPr/>
      </xdr:nvSpPr>
      <xdr:spPr bwMode="auto">
        <a:xfrm>
          <a:off x="47624" y="161925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2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995FA7-4FF0-4903-B5DE-EAF12F70E690}"/>
            </a:ext>
          </a:extLst>
        </xdr:cNvPr>
        <xdr:cNvSpPr/>
      </xdr:nvSpPr>
      <xdr:spPr bwMode="auto">
        <a:xfrm>
          <a:off x="1273969" y="185736"/>
          <a:ext cx="1188245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24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0A4637-4637-4B3B-B406-CBADFD833331}"/>
            </a:ext>
          </a:extLst>
        </xdr:cNvPr>
        <xdr:cNvSpPr/>
      </xdr:nvSpPr>
      <xdr:spPr bwMode="auto">
        <a:xfrm>
          <a:off x="2497931" y="197643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25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6313E5-7F22-47E6-A6CA-DD93170D68A3}"/>
            </a:ext>
          </a:extLst>
        </xdr:cNvPr>
        <xdr:cNvSpPr/>
      </xdr:nvSpPr>
      <xdr:spPr bwMode="auto">
        <a:xfrm>
          <a:off x="3748087" y="209550"/>
          <a:ext cx="1188244" cy="759619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26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6AC122-89B4-46AA-8148-E840EF0E7C14}"/>
            </a:ext>
          </a:extLst>
        </xdr:cNvPr>
        <xdr:cNvSpPr/>
      </xdr:nvSpPr>
      <xdr:spPr bwMode="auto">
        <a:xfrm rot="10800000">
          <a:off x="37452300" y="371475"/>
          <a:ext cx="416718" cy="292893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27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4A5DA7-D154-42BD-852A-7EF8481A5681}"/>
            </a:ext>
          </a:extLst>
        </xdr:cNvPr>
        <xdr:cNvSpPr/>
      </xdr:nvSpPr>
      <xdr:spPr bwMode="auto">
        <a:xfrm rot="10800000">
          <a:off x="298894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28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37537D-21D4-45E9-B782-3B184CB1C90F}"/>
            </a:ext>
          </a:extLst>
        </xdr:cNvPr>
        <xdr:cNvSpPr/>
      </xdr:nvSpPr>
      <xdr:spPr bwMode="auto">
        <a:xfrm rot="10800000">
          <a:off x="234886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29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756ED1-7EE0-46EE-9B3E-D33A0930C380}"/>
            </a:ext>
          </a:extLst>
        </xdr:cNvPr>
        <xdr:cNvSpPr/>
      </xdr:nvSpPr>
      <xdr:spPr bwMode="auto">
        <a:xfrm rot="10800000">
          <a:off x="15551944" y="509588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30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7190BC-E360-4B07-985B-984CA7A798BF}"/>
            </a:ext>
          </a:extLst>
        </xdr:cNvPr>
        <xdr:cNvSpPr/>
      </xdr:nvSpPr>
      <xdr:spPr bwMode="auto">
        <a:xfrm>
          <a:off x="9265444" y="161925"/>
          <a:ext cx="1193008" cy="759619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31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BE98C4-9295-407A-BBE9-11E85B3AEA00}"/>
            </a:ext>
          </a:extLst>
        </xdr:cNvPr>
        <xdr:cNvSpPr/>
      </xdr:nvSpPr>
      <xdr:spPr bwMode="auto">
        <a:xfrm rot="10800000">
          <a:off x="4359592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AJO%20PLANES%20CR/Analisis%20varios%202022/Area%20Educacional/Tarifas%202022/PLANILLA%20TARIF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 refreshError="1"/>
      <sheetData sheetId="1" refreshError="1"/>
      <sheetData sheetId="2" refreshError="1"/>
      <sheetData sheetId="3" refreshError="1">
        <row r="5">
          <cell r="F5" t="str">
            <v>(DEPTO./DELEG.)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topLeftCell="A85" zoomScale="90" zoomScaleNormal="90" workbookViewId="0">
      <selection activeCell="Y26" sqref="Y26"/>
    </sheetView>
  </sheetViews>
  <sheetFormatPr baseColWidth="10" defaultColWidth="11.42578125" defaultRowHeight="12.75" x14ac:dyDescent="0.2"/>
  <cols>
    <col min="1" max="16384" width="11.42578125" style="609"/>
  </cols>
  <sheetData>
    <row r="1" spans="3:10" x14ac:dyDescent="0.2">
      <c r="J1" s="610"/>
    </row>
    <row r="2" spans="3:10" x14ac:dyDescent="0.2">
      <c r="J2" s="610" t="s">
        <v>83</v>
      </c>
    </row>
    <row r="3" spans="3:10" x14ac:dyDescent="0.2">
      <c r="J3" s="610"/>
    </row>
    <row r="5" spans="3:10" x14ac:dyDescent="0.2">
      <c r="C5" s="611"/>
      <c r="D5" s="611"/>
      <c r="E5" s="611"/>
      <c r="F5" s="611"/>
      <c r="G5" s="611"/>
      <c r="H5" s="611"/>
      <c r="I5" s="611"/>
      <c r="J5" s="611"/>
    </row>
    <row r="6" spans="3:10" x14ac:dyDescent="0.2">
      <c r="C6" s="611"/>
      <c r="D6" s="611"/>
      <c r="E6" s="611"/>
      <c r="F6" s="611"/>
      <c r="G6" s="611"/>
      <c r="H6" s="611"/>
      <c r="I6" s="611"/>
      <c r="J6" s="611"/>
    </row>
    <row r="7" spans="3:10" x14ac:dyDescent="0.2">
      <c r="C7" s="611"/>
      <c r="D7" s="611"/>
      <c r="E7" s="611"/>
      <c r="F7" s="611"/>
      <c r="G7" s="611"/>
      <c r="H7" s="611"/>
      <c r="I7" s="611"/>
      <c r="J7" s="611"/>
    </row>
    <row r="8" spans="3:10" x14ac:dyDescent="0.2">
      <c r="C8" s="611"/>
      <c r="D8" s="611"/>
      <c r="E8" s="611"/>
      <c r="F8" s="611"/>
      <c r="G8" s="611"/>
      <c r="H8" s="611"/>
      <c r="I8" s="611"/>
      <c r="J8" s="611"/>
    </row>
    <row r="9" spans="3:10" x14ac:dyDescent="0.2">
      <c r="C9" s="611"/>
      <c r="D9" s="611"/>
      <c r="E9" s="611"/>
      <c r="F9" s="611"/>
      <c r="G9" s="611"/>
      <c r="H9" s="611"/>
      <c r="I9" s="611"/>
      <c r="J9" s="611"/>
    </row>
    <row r="10" spans="3:10" x14ac:dyDescent="0.2">
      <c r="C10" s="611"/>
      <c r="D10" s="611"/>
      <c r="E10" s="611"/>
      <c r="F10" s="611"/>
      <c r="G10" s="611"/>
      <c r="H10" s="611"/>
      <c r="I10" s="611"/>
      <c r="J10" s="611"/>
    </row>
    <row r="11" spans="3:10" x14ac:dyDescent="0.2">
      <c r="C11" s="611"/>
      <c r="D11" s="611"/>
      <c r="E11" s="611"/>
      <c r="F11" s="611"/>
      <c r="G11" s="611"/>
      <c r="H11" s="611"/>
      <c r="I11" s="611"/>
      <c r="J11" s="611"/>
    </row>
    <row r="12" spans="3:10" x14ac:dyDescent="0.2">
      <c r="C12" s="611"/>
      <c r="D12" s="611"/>
      <c r="E12" s="611"/>
      <c r="F12" s="611"/>
      <c r="G12" s="611"/>
      <c r="H12" s="611"/>
      <c r="I12" s="611"/>
      <c r="J12" s="611"/>
    </row>
    <row r="13" spans="3:10" x14ac:dyDescent="0.2">
      <c r="C13" s="611"/>
      <c r="D13" s="611"/>
      <c r="E13" s="611"/>
      <c r="F13" s="611"/>
      <c r="G13" s="611"/>
      <c r="H13" s="611"/>
      <c r="I13" s="611"/>
      <c r="J13" s="611"/>
    </row>
    <row r="14" spans="3:10" x14ac:dyDescent="0.2">
      <c r="C14" s="611"/>
      <c r="D14" s="611"/>
      <c r="E14" s="611"/>
      <c r="F14" s="611"/>
      <c r="G14" s="611"/>
      <c r="H14" s="611"/>
      <c r="I14" s="611"/>
      <c r="J14" s="611"/>
    </row>
    <row r="15" spans="3:10" x14ac:dyDescent="0.2">
      <c r="C15" s="611"/>
      <c r="D15" s="611"/>
      <c r="E15" s="611"/>
      <c r="F15" s="611"/>
      <c r="G15" s="611"/>
      <c r="H15" s="611"/>
      <c r="I15" s="611"/>
      <c r="J15" s="611"/>
    </row>
    <row r="16" spans="3:10" x14ac:dyDescent="0.2">
      <c r="C16" s="611"/>
      <c r="D16" s="611"/>
      <c r="E16" s="611"/>
      <c r="F16" s="611"/>
      <c r="G16" s="611"/>
      <c r="H16" s="611"/>
      <c r="I16" s="611"/>
      <c r="J16" s="611"/>
    </row>
    <row r="17" spans="3:10" x14ac:dyDescent="0.2">
      <c r="C17" s="611"/>
      <c r="D17" s="611"/>
      <c r="E17" s="611"/>
      <c r="F17" s="611"/>
      <c r="G17" s="611"/>
      <c r="H17" s="611"/>
      <c r="I17" s="611"/>
      <c r="J17" s="611"/>
    </row>
    <row r="18" spans="3:10" x14ac:dyDescent="0.2">
      <c r="C18" s="611"/>
      <c r="D18" s="611"/>
      <c r="E18" s="611"/>
      <c r="F18" s="611"/>
      <c r="G18" s="611"/>
      <c r="H18" s="611"/>
      <c r="I18" s="611"/>
      <c r="J18" s="611"/>
    </row>
    <row r="19" spans="3:10" x14ac:dyDescent="0.2">
      <c r="C19" s="611"/>
      <c r="D19" s="611"/>
      <c r="E19" s="611"/>
      <c r="F19" s="611"/>
      <c r="G19" s="611"/>
      <c r="H19" s="611"/>
      <c r="I19" s="611"/>
      <c r="J19" s="611"/>
    </row>
    <row r="20" spans="3:10" x14ac:dyDescent="0.2">
      <c r="C20" s="611"/>
      <c r="D20" s="611"/>
      <c r="E20" s="611"/>
      <c r="F20" s="611"/>
      <c r="G20" s="611"/>
      <c r="H20" s="611"/>
      <c r="I20" s="611"/>
      <c r="J20" s="611"/>
    </row>
    <row r="21" spans="3:10" x14ac:dyDescent="0.2">
      <c r="C21" s="611"/>
      <c r="D21" s="611"/>
      <c r="E21" s="611"/>
      <c r="F21" s="611"/>
      <c r="G21" s="611"/>
      <c r="H21" s="611"/>
      <c r="I21" s="611"/>
      <c r="J21" s="611"/>
    </row>
    <row r="22" spans="3:10" x14ac:dyDescent="0.2">
      <c r="C22" s="611"/>
      <c r="D22" s="611"/>
      <c r="E22" s="611"/>
      <c r="F22" s="611"/>
      <c r="G22" s="611"/>
      <c r="H22" s="611"/>
      <c r="I22" s="611"/>
      <c r="J22" s="611"/>
    </row>
    <row r="23" spans="3:10" x14ac:dyDescent="0.2">
      <c r="C23" s="611"/>
      <c r="D23" s="611"/>
      <c r="E23" s="611"/>
      <c r="F23" s="611"/>
      <c r="G23" s="611"/>
      <c r="H23" s="611"/>
      <c r="I23" s="611"/>
      <c r="J23" s="611"/>
    </row>
    <row r="24" spans="3:10" x14ac:dyDescent="0.2">
      <c r="C24" s="611"/>
      <c r="D24" s="611"/>
      <c r="E24" s="611"/>
      <c r="F24" s="611"/>
      <c r="G24" s="611"/>
      <c r="H24" s="611"/>
      <c r="I24" s="611"/>
      <c r="J24" s="611"/>
    </row>
    <row r="25" spans="3:10" x14ac:dyDescent="0.2">
      <c r="C25" s="611"/>
      <c r="D25" s="611"/>
      <c r="E25" s="611"/>
      <c r="F25" s="611"/>
      <c r="G25" s="611"/>
      <c r="H25" s="611"/>
      <c r="I25" s="611"/>
      <c r="J25" s="611"/>
    </row>
    <row r="26" spans="3:10" x14ac:dyDescent="0.2">
      <c r="C26" s="611"/>
      <c r="D26" s="611"/>
      <c r="E26" s="611"/>
      <c r="F26" s="611"/>
      <c r="G26" s="611"/>
      <c r="H26" s="611"/>
      <c r="I26" s="611"/>
      <c r="J26" s="611"/>
    </row>
    <row r="27" spans="3:10" x14ac:dyDescent="0.2">
      <c r="C27" s="611"/>
      <c r="D27" s="611"/>
      <c r="E27" s="611"/>
      <c r="F27" s="611"/>
      <c r="G27" s="611"/>
      <c r="H27" s="611"/>
      <c r="I27" s="611"/>
      <c r="J27" s="611"/>
    </row>
    <row r="28" spans="3:10" x14ac:dyDescent="0.2">
      <c r="C28" s="611"/>
      <c r="D28" s="611"/>
      <c r="E28" s="611"/>
      <c r="F28" s="611"/>
      <c r="G28" s="611"/>
      <c r="H28" s="611"/>
      <c r="I28" s="611"/>
      <c r="J28" s="611"/>
    </row>
    <row r="29" spans="3:10" x14ac:dyDescent="0.2">
      <c r="C29" s="611"/>
      <c r="D29" s="611"/>
      <c r="E29" s="611"/>
      <c r="F29" s="611"/>
      <c r="G29" s="611"/>
      <c r="H29" s="611"/>
      <c r="I29" s="611"/>
      <c r="J29" s="611"/>
    </row>
    <row r="30" spans="3:10" x14ac:dyDescent="0.2">
      <c r="C30" s="611"/>
      <c r="D30" s="611"/>
      <c r="E30" s="611"/>
      <c r="F30" s="611"/>
      <c r="G30" s="611"/>
      <c r="H30" s="611"/>
      <c r="I30" s="611"/>
      <c r="J30" s="611"/>
    </row>
    <row r="31" spans="3:10" x14ac:dyDescent="0.2">
      <c r="C31" s="611"/>
      <c r="D31" s="611"/>
      <c r="E31" s="611"/>
      <c r="F31" s="611"/>
      <c r="G31" s="611"/>
      <c r="H31" s="611"/>
      <c r="I31" s="611"/>
      <c r="J31" s="611"/>
    </row>
    <row r="32" spans="3:10" x14ac:dyDescent="0.2">
      <c r="C32" s="611"/>
      <c r="D32" s="611"/>
      <c r="E32" s="611"/>
      <c r="F32" s="611"/>
      <c r="G32" s="611"/>
      <c r="H32" s="611"/>
      <c r="I32" s="611"/>
      <c r="J32" s="611"/>
    </row>
    <row r="33" spans="3:10" x14ac:dyDescent="0.2">
      <c r="C33" s="611"/>
      <c r="D33" s="611"/>
      <c r="E33" s="611"/>
      <c r="F33" s="611"/>
      <c r="G33" s="611"/>
      <c r="H33" s="611"/>
      <c r="I33" s="611"/>
      <c r="J33" s="611"/>
    </row>
    <row r="34" spans="3:10" x14ac:dyDescent="0.2">
      <c r="C34" s="611"/>
      <c r="D34" s="611"/>
      <c r="E34" s="611"/>
      <c r="F34" s="611"/>
      <c r="G34" s="611"/>
      <c r="H34" s="611"/>
      <c r="I34" s="611"/>
      <c r="J34" s="611"/>
    </row>
    <row r="35" spans="3:10" x14ac:dyDescent="0.2">
      <c r="C35" s="611"/>
      <c r="D35" s="611"/>
      <c r="E35" s="611"/>
      <c r="F35" s="611"/>
      <c r="G35" s="611"/>
      <c r="H35" s="611"/>
      <c r="I35" s="611"/>
      <c r="J35" s="611"/>
    </row>
    <row r="36" spans="3:10" x14ac:dyDescent="0.2">
      <c r="C36" s="611"/>
      <c r="D36" s="611"/>
      <c r="E36" s="611"/>
      <c r="F36" s="611"/>
      <c r="G36" s="611"/>
      <c r="H36" s="611"/>
      <c r="I36" s="611"/>
      <c r="J36" s="611"/>
    </row>
    <row r="37" spans="3:10" x14ac:dyDescent="0.2">
      <c r="C37" s="611"/>
      <c r="D37" s="611"/>
      <c r="E37" s="611"/>
      <c r="F37" s="611"/>
      <c r="G37" s="611"/>
      <c r="H37" s="611"/>
      <c r="I37" s="611"/>
      <c r="J37" s="611"/>
    </row>
    <row r="38" spans="3:10" x14ac:dyDescent="0.2">
      <c r="C38" s="611"/>
      <c r="D38" s="611"/>
      <c r="E38" s="611"/>
      <c r="F38" s="611"/>
      <c r="G38" s="611"/>
      <c r="H38" s="611"/>
      <c r="I38" s="611"/>
      <c r="J38" s="611"/>
    </row>
    <row r="39" spans="3:10" x14ac:dyDescent="0.2">
      <c r="C39" s="611"/>
      <c r="D39" s="611"/>
      <c r="E39" s="611"/>
      <c r="F39" s="611"/>
      <c r="G39" s="611"/>
      <c r="H39" s="611"/>
      <c r="I39" s="611"/>
      <c r="J39" s="611"/>
    </row>
    <row r="40" spans="3:10" x14ac:dyDescent="0.2">
      <c r="C40" s="611"/>
      <c r="D40" s="611"/>
      <c r="E40" s="611"/>
      <c r="F40" s="611"/>
      <c r="G40" s="611"/>
      <c r="H40" s="611"/>
      <c r="I40" s="611"/>
      <c r="J40" s="611"/>
    </row>
    <row r="41" spans="3:10" x14ac:dyDescent="0.2">
      <c r="C41" s="611"/>
      <c r="D41" s="611"/>
      <c r="E41" s="611"/>
      <c r="F41" s="611"/>
      <c r="G41" s="611"/>
      <c r="H41" s="611"/>
      <c r="I41" s="611"/>
      <c r="J41" s="611"/>
    </row>
    <row r="42" spans="3:10" x14ac:dyDescent="0.2">
      <c r="C42" s="611"/>
      <c r="D42" s="611"/>
      <c r="E42" s="611"/>
      <c r="F42" s="611"/>
      <c r="G42" s="611"/>
      <c r="H42" s="611"/>
      <c r="I42" s="611"/>
      <c r="J42" s="611"/>
    </row>
    <row r="43" spans="3:10" x14ac:dyDescent="0.2">
      <c r="C43" s="611"/>
      <c r="D43" s="611"/>
      <c r="E43" s="611"/>
      <c r="F43" s="611"/>
      <c r="G43" s="611"/>
      <c r="H43" s="611"/>
      <c r="I43" s="611"/>
      <c r="J43" s="611"/>
    </row>
    <row r="44" spans="3:10" x14ac:dyDescent="0.2">
      <c r="C44" s="611"/>
      <c r="D44" s="611"/>
      <c r="E44" s="611"/>
      <c r="F44" s="611"/>
      <c r="G44" s="611"/>
      <c r="H44" s="611"/>
      <c r="I44" s="611"/>
      <c r="J44" s="611"/>
    </row>
    <row r="45" spans="3:10" x14ac:dyDescent="0.2">
      <c r="C45" s="611"/>
      <c r="D45" s="611"/>
      <c r="E45" s="611"/>
      <c r="F45" s="611"/>
      <c r="G45" s="611"/>
      <c r="H45" s="611"/>
      <c r="I45" s="611"/>
      <c r="J45" s="611"/>
    </row>
    <row r="46" spans="3:10" x14ac:dyDescent="0.2">
      <c r="C46" s="611"/>
      <c r="D46" s="611"/>
      <c r="E46" s="611"/>
      <c r="F46" s="611"/>
      <c r="G46" s="611"/>
      <c r="H46" s="611"/>
      <c r="I46" s="611"/>
      <c r="J46" s="611"/>
    </row>
    <row r="47" spans="3:10" x14ac:dyDescent="0.2">
      <c r="C47" s="611"/>
      <c r="D47" s="611"/>
      <c r="E47" s="611"/>
      <c r="F47" s="611"/>
      <c r="G47" s="611"/>
      <c r="H47" s="611"/>
      <c r="I47" s="611"/>
      <c r="J47" s="611"/>
    </row>
    <row r="48" spans="3:10" x14ac:dyDescent="0.2">
      <c r="C48" s="611"/>
      <c r="D48" s="611"/>
      <c r="E48" s="611"/>
      <c r="F48" s="611"/>
      <c r="G48" s="611"/>
      <c r="H48" s="611"/>
      <c r="I48" s="611"/>
      <c r="J48" s="611"/>
    </row>
    <row r="49" spans="3:10" x14ac:dyDescent="0.2">
      <c r="C49" s="611"/>
      <c r="D49" s="611"/>
      <c r="E49" s="611"/>
      <c r="F49" s="611"/>
      <c r="G49" s="611"/>
      <c r="H49" s="611"/>
      <c r="I49" s="611"/>
      <c r="J49" s="611"/>
    </row>
    <row r="50" spans="3:10" x14ac:dyDescent="0.2">
      <c r="C50" s="611"/>
      <c r="D50" s="611"/>
      <c r="E50" s="611"/>
      <c r="F50" s="611"/>
      <c r="G50" s="611"/>
      <c r="H50" s="611"/>
      <c r="I50" s="611"/>
      <c r="J50" s="611"/>
    </row>
    <row r="51" spans="3:10" x14ac:dyDescent="0.2">
      <c r="C51" s="611"/>
      <c r="D51" s="611"/>
      <c r="E51" s="611"/>
      <c r="F51" s="611"/>
      <c r="G51" s="611"/>
      <c r="H51" s="611"/>
      <c r="I51" s="611"/>
      <c r="J51" s="611"/>
    </row>
    <row r="52" spans="3:10" x14ac:dyDescent="0.2">
      <c r="C52" s="611"/>
      <c r="D52" s="611"/>
      <c r="E52" s="611"/>
      <c r="F52" s="611"/>
      <c r="G52" s="611"/>
      <c r="H52" s="611"/>
      <c r="I52" s="611"/>
      <c r="J52" s="611"/>
    </row>
  </sheetData>
  <sheetProtection algorithmName="SHA-512" hashValue="30ud0gYYBINfRSdnOkMVCLSaKSDSjwVyW1IAvl9KaBu8GGORLWxtAO7qi05xCT3IeSCLh8Fq8xAn03uCd2p9ug==" saltValue="xdjO6oixZPjYaJtRcQuO+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2" tint="-0.499984740745262"/>
  </sheetPr>
  <dimension ref="A1:P87"/>
  <sheetViews>
    <sheetView showGridLines="0" zoomScale="80" zoomScaleNormal="80" workbookViewId="0">
      <selection activeCell="G21" sqref="G21"/>
    </sheetView>
  </sheetViews>
  <sheetFormatPr baseColWidth="10" defaultColWidth="11.42578125" defaultRowHeight="12.75" x14ac:dyDescent="0.2"/>
  <cols>
    <col min="1" max="1" width="26" style="74" customWidth="1"/>
    <col min="2" max="2" width="20.140625" style="74" customWidth="1"/>
    <col min="3" max="3" width="22.7109375" style="74" customWidth="1"/>
    <col min="4" max="4" width="12.7109375" style="74" customWidth="1"/>
    <col min="5" max="5" width="13" style="74" bestFit="1" customWidth="1"/>
    <col min="6" max="6" width="16.140625" style="74" customWidth="1"/>
    <col min="7" max="7" width="16.7109375" style="74" customWidth="1"/>
    <col min="8" max="8" width="22.140625" style="74" customWidth="1"/>
    <col min="9" max="9" width="11.42578125" style="74"/>
    <col min="10" max="11" width="13.28515625" style="74" customWidth="1"/>
    <col min="12" max="16384" width="11.42578125" style="74"/>
  </cols>
  <sheetData>
    <row r="1" spans="1:16" x14ac:dyDescent="0.2">
      <c r="J1" s="625"/>
      <c r="K1" s="626"/>
    </row>
    <row r="2" spans="1:16" x14ac:dyDescent="0.2">
      <c r="J2" s="625" t="s">
        <v>203</v>
      </c>
      <c r="K2" s="626"/>
    </row>
    <row r="4" spans="1:16" ht="19.5" customHeight="1" x14ac:dyDescent="0.2">
      <c r="I4" s="627" t="s">
        <v>0</v>
      </c>
      <c r="J4" s="1048" t="str">
        <f>+'[1]B) Reajuste Tarifas y Ocupación'!F5</f>
        <v>(DEPTO./DELEG.)</v>
      </c>
      <c r="K4" s="1049"/>
    </row>
    <row r="6" spans="1:16" ht="12.75" customHeight="1" x14ac:dyDescent="0.2">
      <c r="A6" s="628" t="s">
        <v>122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x14ac:dyDescent="0.2">
      <c r="A8" s="629" t="s">
        <v>332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P8" s="75"/>
    </row>
    <row r="9" spans="1:16" ht="13.5" thickBot="1" x14ac:dyDescent="0.25">
      <c r="A9" s="630"/>
      <c r="B9" s="629"/>
      <c r="C9" s="629"/>
      <c r="D9" s="630"/>
      <c r="E9" s="630"/>
      <c r="F9" s="630"/>
      <c r="G9" s="630"/>
      <c r="H9" s="630"/>
      <c r="I9" s="630"/>
    </row>
    <row r="10" spans="1:16" ht="13.5" thickBot="1" x14ac:dyDescent="0.25">
      <c r="A10" s="631" t="s">
        <v>272</v>
      </c>
      <c r="B10" s="632" t="s">
        <v>81</v>
      </c>
      <c r="C10" s="633" t="s">
        <v>273</v>
      </c>
      <c r="D10" s="633" t="s">
        <v>274</v>
      </c>
      <c r="E10" s="634" t="s">
        <v>275</v>
      </c>
      <c r="F10" s="634" t="s">
        <v>276</v>
      </c>
      <c r="G10" s="634" t="s">
        <v>277</v>
      </c>
      <c r="H10" s="635" t="s">
        <v>278</v>
      </c>
      <c r="I10" s="634" t="s">
        <v>279</v>
      </c>
      <c r="J10" s="636" t="s">
        <v>280</v>
      </c>
      <c r="K10" s="637" t="s">
        <v>281</v>
      </c>
      <c r="L10" s="638" t="s">
        <v>106</v>
      </c>
      <c r="M10" s="639" t="s">
        <v>282</v>
      </c>
    </row>
    <row r="11" spans="1:16" x14ac:dyDescent="0.2">
      <c r="A11" s="640">
        <v>1</v>
      </c>
      <c r="B11" s="641" t="s">
        <v>283</v>
      </c>
      <c r="C11" s="703">
        <v>2100</v>
      </c>
      <c r="D11" s="643" t="s">
        <v>284</v>
      </c>
      <c r="E11" s="644">
        <f>+C11*D11</f>
        <v>42000</v>
      </c>
      <c r="F11" s="644"/>
      <c r="G11" s="644">
        <f>+E11-F11</f>
        <v>42000</v>
      </c>
      <c r="H11" s="645">
        <v>12</v>
      </c>
      <c r="I11" s="644">
        <f>+G11*H11</f>
        <v>504000</v>
      </c>
      <c r="J11" s="646">
        <f>+I11*11</f>
        <v>5544000</v>
      </c>
      <c r="K11" s="642"/>
      <c r="L11" s="647">
        <f>+J11+K11</f>
        <v>5544000</v>
      </c>
      <c r="M11" s="648">
        <f>+D11*H11*11</f>
        <v>2640</v>
      </c>
    </row>
    <row r="12" spans="1:16" x14ac:dyDescent="0.2">
      <c r="A12" s="640">
        <v>2</v>
      </c>
      <c r="B12" s="641" t="s">
        <v>285</v>
      </c>
      <c r="C12" s="642">
        <v>2100</v>
      </c>
      <c r="D12" s="643" t="s">
        <v>286</v>
      </c>
      <c r="E12" s="644">
        <f>+C12*D12</f>
        <v>31500</v>
      </c>
      <c r="F12" s="644"/>
      <c r="G12" s="644">
        <f>+E12-F12</f>
        <v>31500</v>
      </c>
      <c r="H12" s="645">
        <v>4</v>
      </c>
      <c r="I12" s="644">
        <f>+G12*H12</f>
        <v>126000</v>
      </c>
      <c r="J12" s="646">
        <f>+I12*11</f>
        <v>1386000</v>
      </c>
      <c r="K12" s="642"/>
      <c r="L12" s="647">
        <f>+J12+K12</f>
        <v>1386000</v>
      </c>
      <c r="M12" s="649">
        <f>+D12*H12*11</f>
        <v>660</v>
      </c>
    </row>
    <row r="13" spans="1:16" ht="13.5" thickBot="1" x14ac:dyDescent="0.25">
      <c r="A13" s="650">
        <v>3</v>
      </c>
      <c r="B13" s="651" t="s">
        <v>287</v>
      </c>
      <c r="C13" s="704">
        <v>2100</v>
      </c>
      <c r="D13" s="653" t="s">
        <v>284</v>
      </c>
      <c r="E13" s="654">
        <f>+C13*D13</f>
        <v>42000</v>
      </c>
      <c r="F13" s="654"/>
      <c r="G13" s="654">
        <f>+E13-F13</f>
        <v>42000</v>
      </c>
      <c r="H13" s="655">
        <v>0</v>
      </c>
      <c r="I13" s="654">
        <f>+G13*H13</f>
        <v>0</v>
      </c>
      <c r="J13" s="656">
        <f>+I13*11</f>
        <v>0</v>
      </c>
      <c r="K13" s="652"/>
      <c r="L13" s="657">
        <f>+J13+K13</f>
        <v>0</v>
      </c>
      <c r="M13" s="658">
        <f>+D13*H13*11</f>
        <v>0</v>
      </c>
    </row>
    <row r="14" spans="1:16" x14ac:dyDescent="0.2">
      <c r="J14" s="659" t="s">
        <v>288</v>
      </c>
    </row>
    <row r="15" spans="1:16" x14ac:dyDescent="0.2">
      <c r="A15" s="660" t="s">
        <v>333</v>
      </c>
    </row>
    <row r="17" spans="1:8" x14ac:dyDescent="0.2">
      <c r="A17" s="661" t="s">
        <v>289</v>
      </c>
      <c r="B17" s="662">
        <v>2024</v>
      </c>
      <c r="C17" s="663" t="s">
        <v>290</v>
      </c>
      <c r="D17" s="663" t="s">
        <v>291</v>
      </c>
      <c r="E17" s="663"/>
      <c r="G17" s="662">
        <v>2025</v>
      </c>
      <c r="H17" s="663" t="s">
        <v>292</v>
      </c>
    </row>
    <row r="18" spans="1:8" x14ac:dyDescent="0.2">
      <c r="A18" s="661" t="s">
        <v>293</v>
      </c>
      <c r="B18" s="664" t="s">
        <v>294</v>
      </c>
      <c r="C18" s="663" t="s">
        <v>295</v>
      </c>
      <c r="D18" s="663" t="s">
        <v>296</v>
      </c>
      <c r="E18" s="663"/>
      <c r="G18" s="664" t="s">
        <v>294</v>
      </c>
      <c r="H18" s="663" t="s">
        <v>427</v>
      </c>
    </row>
    <row r="19" spans="1:8" x14ac:dyDescent="0.2">
      <c r="A19" s="661" t="s">
        <v>297</v>
      </c>
      <c r="B19" s="665">
        <v>6728880</v>
      </c>
      <c r="C19" s="663"/>
      <c r="D19" s="663"/>
      <c r="E19" s="663"/>
      <c r="G19" s="666">
        <f>+G20*G21</f>
        <v>3696598.0891719749</v>
      </c>
      <c r="H19" s="663"/>
    </row>
    <row r="20" spans="1:8" x14ac:dyDescent="0.2">
      <c r="A20" s="661" t="s">
        <v>298</v>
      </c>
      <c r="B20" s="667">
        <f>+(B19/7)*5</f>
        <v>4806342.8571428573</v>
      </c>
      <c r="C20" s="663"/>
      <c r="D20" s="663"/>
      <c r="E20" s="663"/>
      <c r="G20" s="668">
        <f>+H20+I20</f>
        <v>17250</v>
      </c>
      <c r="H20" s="669">
        <f>25*3*23*10</f>
        <v>17250</v>
      </c>
    </row>
    <row r="21" spans="1:8" x14ac:dyDescent="0.2">
      <c r="A21" s="670" t="s">
        <v>424</v>
      </c>
      <c r="B21" s="671">
        <f>(B19+B20)</f>
        <v>11535222.857142858</v>
      </c>
      <c r="C21" s="663"/>
      <c r="D21" s="663"/>
      <c r="E21" s="663"/>
      <c r="G21" s="672">
        <f>+B23*1.05</f>
        <v>214.29554140127391</v>
      </c>
      <c r="H21" s="665"/>
    </row>
    <row r="22" spans="1:8" x14ac:dyDescent="0.2">
      <c r="A22" s="661" t="s">
        <v>299</v>
      </c>
      <c r="B22" s="668">
        <f>+C22+D22</f>
        <v>56520</v>
      </c>
      <c r="C22" s="669">
        <f>43*3*30*12</f>
        <v>46440</v>
      </c>
      <c r="D22" s="668">
        <f>28*2*15*12</f>
        <v>10080</v>
      </c>
      <c r="E22" s="663"/>
    </row>
    <row r="23" spans="1:8" x14ac:dyDescent="0.2">
      <c r="A23" s="673" t="s">
        <v>300</v>
      </c>
      <c r="B23" s="674">
        <f>+B21/B22</f>
        <v>204.09099181073705</v>
      </c>
      <c r="C23" s="665"/>
      <c r="D23" s="663"/>
      <c r="E23" s="663"/>
    </row>
    <row r="24" spans="1:8" x14ac:dyDescent="0.2">
      <c r="B24" s="675"/>
      <c r="C24" s="676"/>
      <c r="D24" s="677"/>
      <c r="E24" s="677"/>
    </row>
    <row r="25" spans="1:8" x14ac:dyDescent="0.2">
      <c r="B25" s="662">
        <v>2025</v>
      </c>
      <c r="C25" s="663" t="s">
        <v>290</v>
      </c>
      <c r="D25" s="663" t="s">
        <v>301</v>
      </c>
      <c r="E25" s="663"/>
      <c r="G25" s="662">
        <v>2025</v>
      </c>
    </row>
    <row r="26" spans="1:8" x14ac:dyDescent="0.2">
      <c r="B26" s="664" t="s">
        <v>294</v>
      </c>
      <c r="C26" s="663" t="s">
        <v>425</v>
      </c>
      <c r="D26" s="663" t="s">
        <v>426</v>
      </c>
      <c r="E26" s="663"/>
      <c r="G26" s="664" t="s">
        <v>294</v>
      </c>
    </row>
    <row r="27" spans="1:8" x14ac:dyDescent="0.2">
      <c r="B27" s="666">
        <f>+B28*B29</f>
        <v>12574862.369426753</v>
      </c>
      <c r="C27" s="663"/>
      <c r="D27" s="663"/>
      <c r="E27" s="663"/>
      <c r="G27" s="666">
        <f>+G28*G29</f>
        <v>0</v>
      </c>
    </row>
    <row r="28" spans="1:8" x14ac:dyDescent="0.2">
      <c r="B28" s="668">
        <f>+C28+D28</f>
        <v>58680</v>
      </c>
      <c r="C28" s="669">
        <f>45*3*30*12</f>
        <v>48600</v>
      </c>
      <c r="D28" s="668">
        <f>28*2*15*12</f>
        <v>10080</v>
      </c>
      <c r="E28" s="663"/>
      <c r="G28" s="668">
        <f>+H28+I28</f>
        <v>0</v>
      </c>
    </row>
    <row r="29" spans="1:8" x14ac:dyDescent="0.2">
      <c r="B29" s="705">
        <f>+B23*1.05</f>
        <v>214.29554140127391</v>
      </c>
      <c r="C29" s="665"/>
      <c r="D29" s="663"/>
      <c r="E29" s="663"/>
      <c r="G29" s="705">
        <f>+G23*1.06</f>
        <v>0</v>
      </c>
    </row>
    <row r="32" spans="1:8" x14ac:dyDescent="0.2">
      <c r="A32" s="74" t="s">
        <v>302</v>
      </c>
    </row>
    <row r="34" spans="1:15" ht="15.75" x14ac:dyDescent="0.25">
      <c r="A34" s="678"/>
      <c r="B34" s="679" t="s">
        <v>24</v>
      </c>
      <c r="C34" s="679" t="s">
        <v>303</v>
      </c>
      <c r="D34" s="678"/>
      <c r="E34" s="678"/>
      <c r="F34" s="679" t="s">
        <v>26</v>
      </c>
      <c r="G34" s="679" t="s">
        <v>303</v>
      </c>
      <c r="H34" s="679"/>
      <c r="I34" s="678"/>
      <c r="J34" s="678"/>
      <c r="K34" s="678"/>
      <c r="L34" s="678"/>
      <c r="M34" s="678"/>
      <c r="N34" s="678"/>
      <c r="O34" s="678"/>
    </row>
    <row r="35" spans="1:15" x14ac:dyDescent="0.2">
      <c r="A35" s="678"/>
      <c r="B35" s="680"/>
      <c r="C35" s="680"/>
      <c r="D35" s="680"/>
      <c r="E35" s="678"/>
      <c r="F35" s="678"/>
      <c r="G35" s="680"/>
      <c r="H35" s="680"/>
      <c r="I35" s="680"/>
      <c r="J35" s="680"/>
      <c r="K35" s="678"/>
      <c r="L35" s="678"/>
      <c r="M35" s="678"/>
      <c r="N35" s="678"/>
      <c r="O35" s="678"/>
    </row>
    <row r="36" spans="1:15" x14ac:dyDescent="0.2">
      <c r="A36" s="681" t="s">
        <v>304</v>
      </c>
      <c r="B36" s="682"/>
      <c r="C36" s="683" t="s">
        <v>423</v>
      </c>
      <c r="D36" s="684"/>
      <c r="E36" s="678"/>
      <c r="F36" s="681" t="s">
        <v>304</v>
      </c>
      <c r="G36" s="682"/>
      <c r="H36" s="683" t="s">
        <v>423</v>
      </c>
      <c r="I36" s="684"/>
      <c r="J36" s="680"/>
      <c r="K36" s="678"/>
      <c r="L36" s="678"/>
      <c r="M36" s="678"/>
      <c r="N36" s="678"/>
      <c r="O36" s="678"/>
    </row>
    <row r="37" spans="1:15" x14ac:dyDescent="0.2">
      <c r="A37" s="685" t="s">
        <v>305</v>
      </c>
      <c r="B37" s="686" t="s">
        <v>306</v>
      </c>
      <c r="C37" s="686" t="s">
        <v>307</v>
      </c>
      <c r="D37" s="686" t="s">
        <v>196</v>
      </c>
      <c r="E37" s="678"/>
      <c r="F37" s="685" t="s">
        <v>308</v>
      </c>
      <c r="G37" s="686" t="s">
        <v>309</v>
      </c>
      <c r="H37" s="686" t="s">
        <v>307</v>
      </c>
      <c r="I37" s="686" t="s">
        <v>196</v>
      </c>
      <c r="J37" s="680"/>
      <c r="K37" s="678"/>
      <c r="L37" s="678"/>
      <c r="M37" s="678"/>
      <c r="N37" s="678"/>
      <c r="O37" s="678"/>
    </row>
    <row r="38" spans="1:15" x14ac:dyDescent="0.2">
      <c r="A38" s="687" t="s">
        <v>310</v>
      </c>
      <c r="B38" s="688">
        <v>856</v>
      </c>
      <c r="C38" s="689">
        <v>260</v>
      </c>
      <c r="D38" s="688">
        <f>+B38*C38</f>
        <v>222560</v>
      </c>
      <c r="E38" s="678"/>
      <c r="F38" s="699" t="s">
        <v>310</v>
      </c>
      <c r="G38" s="700">
        <v>54</v>
      </c>
      <c r="H38" s="701">
        <v>986.87</v>
      </c>
      <c r="I38" s="702">
        <f>+G38*H38</f>
        <v>53290.98</v>
      </c>
      <c r="J38" s="680"/>
      <c r="K38" s="678"/>
      <c r="L38" s="678"/>
      <c r="M38" s="678"/>
      <c r="N38" s="678"/>
      <c r="O38" s="678"/>
    </row>
    <row r="39" spans="1:15" x14ac:dyDescent="0.2">
      <c r="A39" s="687" t="s">
        <v>311</v>
      </c>
      <c r="B39" s="688">
        <f>1427</f>
        <v>1427</v>
      </c>
      <c r="C39" s="689">
        <v>260</v>
      </c>
      <c r="D39" s="688">
        <f t="shared" ref="D39:D49" si="0">+B39*C39</f>
        <v>371020</v>
      </c>
      <c r="E39" s="678"/>
      <c r="F39" s="699" t="s">
        <v>311</v>
      </c>
      <c r="G39" s="700">
        <v>64</v>
      </c>
      <c r="H39" s="701">
        <v>986.87</v>
      </c>
      <c r="I39" s="702">
        <f t="shared" ref="I39:I49" si="1">+G39*H39</f>
        <v>63159.68</v>
      </c>
      <c r="J39" s="680"/>
      <c r="K39" s="678"/>
      <c r="L39" s="678"/>
      <c r="M39" s="678"/>
      <c r="N39" s="678"/>
      <c r="O39" s="678"/>
    </row>
    <row r="40" spans="1:15" x14ac:dyDescent="0.2">
      <c r="A40" s="687" t="s">
        <v>312</v>
      </c>
      <c r="B40" s="688">
        <v>1468</v>
      </c>
      <c r="C40" s="689">
        <v>260</v>
      </c>
      <c r="D40" s="688">
        <f t="shared" si="0"/>
        <v>381680</v>
      </c>
      <c r="E40" s="678"/>
      <c r="F40" s="699" t="s">
        <v>312</v>
      </c>
      <c r="G40" s="700">
        <v>253</v>
      </c>
      <c r="H40" s="701">
        <v>986.87</v>
      </c>
      <c r="I40" s="702">
        <f t="shared" si="1"/>
        <v>249678.11000000002</v>
      </c>
      <c r="J40" s="680"/>
      <c r="K40" s="678"/>
      <c r="L40" s="678"/>
      <c r="M40" s="678"/>
      <c r="N40" s="678"/>
      <c r="O40" s="678"/>
    </row>
    <row r="41" spans="1:15" x14ac:dyDescent="0.2">
      <c r="A41" s="687" t="s">
        <v>313</v>
      </c>
      <c r="B41" s="688">
        <v>1450</v>
      </c>
      <c r="C41" s="689">
        <v>260</v>
      </c>
      <c r="D41" s="688">
        <f t="shared" si="0"/>
        <v>377000</v>
      </c>
      <c r="E41" s="678"/>
      <c r="F41" s="699" t="s">
        <v>313</v>
      </c>
      <c r="G41" s="700">
        <v>170</v>
      </c>
      <c r="H41" s="701">
        <v>986.87</v>
      </c>
      <c r="I41" s="702">
        <f t="shared" si="1"/>
        <v>167767.9</v>
      </c>
      <c r="J41" s="680"/>
      <c r="K41" s="678"/>
      <c r="L41" s="678"/>
      <c r="M41" s="678"/>
      <c r="N41" s="678"/>
      <c r="O41" s="678"/>
    </row>
    <row r="42" spans="1:15" x14ac:dyDescent="0.2">
      <c r="A42" s="687" t="s">
        <v>314</v>
      </c>
      <c r="B42" s="688">
        <v>1635</v>
      </c>
      <c r="C42" s="689">
        <v>260</v>
      </c>
      <c r="D42" s="688">
        <f t="shared" si="0"/>
        <v>425100</v>
      </c>
      <c r="E42" s="678"/>
      <c r="F42" s="699" t="s">
        <v>314</v>
      </c>
      <c r="G42" s="700">
        <v>523</v>
      </c>
      <c r="H42" s="701">
        <v>986.87</v>
      </c>
      <c r="I42" s="702">
        <f t="shared" si="1"/>
        <v>516133.01</v>
      </c>
      <c r="J42" s="680"/>
      <c r="K42" s="678"/>
      <c r="L42" s="678"/>
      <c r="M42" s="678"/>
      <c r="N42" s="678"/>
      <c r="O42" s="678"/>
    </row>
    <row r="43" spans="1:15" x14ac:dyDescent="0.2">
      <c r="A43" s="687" t="s">
        <v>315</v>
      </c>
      <c r="B43" s="688">
        <v>1742</v>
      </c>
      <c r="C43" s="689">
        <v>260</v>
      </c>
      <c r="D43" s="688">
        <f t="shared" si="0"/>
        <v>452920</v>
      </c>
      <c r="E43" s="678"/>
      <c r="F43" s="699" t="s">
        <v>315</v>
      </c>
      <c r="G43" s="700">
        <v>1041</v>
      </c>
      <c r="H43" s="701">
        <v>986.87</v>
      </c>
      <c r="I43" s="702">
        <f t="shared" si="1"/>
        <v>1027331.67</v>
      </c>
      <c r="J43" s="680"/>
      <c r="K43" s="678"/>
      <c r="L43" s="678"/>
      <c r="M43" s="678"/>
      <c r="N43" s="678"/>
      <c r="O43" s="678"/>
    </row>
    <row r="44" spans="1:15" x14ac:dyDescent="0.2">
      <c r="A44" s="687" t="s">
        <v>316</v>
      </c>
      <c r="B44" s="688">
        <v>2026</v>
      </c>
      <c r="C44" s="689">
        <v>260</v>
      </c>
      <c r="D44" s="688">
        <f t="shared" si="0"/>
        <v>526760</v>
      </c>
      <c r="E44" s="678"/>
      <c r="F44" s="699" t="s">
        <v>316</v>
      </c>
      <c r="G44" s="700">
        <v>1236</v>
      </c>
      <c r="H44" s="701">
        <v>986.87</v>
      </c>
      <c r="I44" s="702">
        <f t="shared" si="1"/>
        <v>1219771.32</v>
      </c>
      <c r="J44" s="680"/>
      <c r="K44" s="678"/>
      <c r="L44" s="678"/>
      <c r="M44" s="678"/>
      <c r="N44" s="678"/>
      <c r="O44" s="678"/>
    </row>
    <row r="45" spans="1:15" x14ac:dyDescent="0.2">
      <c r="A45" s="687" t="s">
        <v>317</v>
      </c>
      <c r="B45" s="688">
        <v>1390</v>
      </c>
      <c r="C45" s="689">
        <v>260</v>
      </c>
      <c r="D45" s="688">
        <f t="shared" si="0"/>
        <v>361400</v>
      </c>
      <c r="E45" s="678"/>
      <c r="F45" s="699" t="s">
        <v>317</v>
      </c>
      <c r="G45" s="700">
        <v>535</v>
      </c>
      <c r="H45" s="701">
        <v>986.87</v>
      </c>
      <c r="I45" s="702">
        <f t="shared" si="1"/>
        <v>527975.44999999995</v>
      </c>
      <c r="J45" s="680"/>
      <c r="K45" s="678"/>
      <c r="L45" s="678"/>
      <c r="M45" s="678"/>
      <c r="N45" s="678"/>
      <c r="O45" s="678"/>
    </row>
    <row r="46" spans="1:15" x14ac:dyDescent="0.2">
      <c r="A46" s="687" t="s">
        <v>318</v>
      </c>
      <c r="B46" s="688">
        <v>1708</v>
      </c>
      <c r="C46" s="689">
        <v>260</v>
      </c>
      <c r="D46" s="688">
        <f t="shared" si="0"/>
        <v>444080</v>
      </c>
      <c r="E46" s="678"/>
      <c r="F46" s="699" t="s">
        <v>318</v>
      </c>
      <c r="G46" s="700">
        <v>535</v>
      </c>
      <c r="H46" s="701">
        <v>986.87</v>
      </c>
      <c r="I46" s="702">
        <f t="shared" si="1"/>
        <v>527975.44999999995</v>
      </c>
      <c r="J46" s="680"/>
      <c r="K46" s="678"/>
      <c r="L46" s="678"/>
      <c r="M46" s="678"/>
      <c r="N46" s="678"/>
      <c r="O46" s="678"/>
    </row>
    <row r="47" spans="1:15" x14ac:dyDescent="0.2">
      <c r="A47" s="687" t="s">
        <v>319</v>
      </c>
      <c r="B47" s="688">
        <v>1549</v>
      </c>
      <c r="C47" s="689">
        <v>260</v>
      </c>
      <c r="D47" s="688">
        <f t="shared" si="0"/>
        <v>402740</v>
      </c>
      <c r="E47" s="678"/>
      <c r="F47" s="699" t="s">
        <v>319</v>
      </c>
      <c r="G47" s="700">
        <v>510</v>
      </c>
      <c r="H47" s="701">
        <v>986.87</v>
      </c>
      <c r="I47" s="702">
        <f t="shared" si="1"/>
        <v>503303.7</v>
      </c>
      <c r="J47" s="680"/>
      <c r="K47" s="678"/>
      <c r="L47" s="678"/>
      <c r="M47" s="678"/>
      <c r="N47" s="678"/>
      <c r="O47" s="678"/>
    </row>
    <row r="48" spans="1:15" x14ac:dyDescent="0.2">
      <c r="A48" s="687" t="s">
        <v>320</v>
      </c>
      <c r="B48" s="688">
        <v>1628.5</v>
      </c>
      <c r="C48" s="689">
        <v>260</v>
      </c>
      <c r="D48" s="688">
        <f t="shared" si="0"/>
        <v>423410</v>
      </c>
      <c r="E48" s="678"/>
      <c r="F48" s="699" t="s">
        <v>320</v>
      </c>
      <c r="G48" s="700">
        <v>350</v>
      </c>
      <c r="H48" s="701">
        <v>986.87</v>
      </c>
      <c r="I48" s="702">
        <f t="shared" si="1"/>
        <v>345404.5</v>
      </c>
      <c r="J48" s="680"/>
      <c r="K48" s="678"/>
      <c r="L48" s="678"/>
      <c r="M48" s="678"/>
      <c r="N48" s="678"/>
      <c r="O48" s="678"/>
    </row>
    <row r="49" spans="1:15" x14ac:dyDescent="0.2">
      <c r="A49" s="687" t="s">
        <v>321</v>
      </c>
      <c r="B49" s="688">
        <v>1588.75</v>
      </c>
      <c r="C49" s="689">
        <v>260</v>
      </c>
      <c r="D49" s="688">
        <f t="shared" si="0"/>
        <v>413075</v>
      </c>
      <c r="E49" s="678"/>
      <c r="F49" s="699" t="s">
        <v>321</v>
      </c>
      <c r="G49" s="700">
        <v>288.22916666666669</v>
      </c>
      <c r="H49" s="701">
        <v>986.87</v>
      </c>
      <c r="I49" s="702">
        <f t="shared" si="1"/>
        <v>284444.71770833334</v>
      </c>
      <c r="J49" s="680"/>
      <c r="K49" s="678"/>
      <c r="L49" s="678"/>
      <c r="M49" s="678"/>
      <c r="N49" s="678"/>
      <c r="O49" s="678"/>
    </row>
    <row r="50" spans="1:15" x14ac:dyDescent="0.2">
      <c r="A50" s="691" t="s">
        <v>322</v>
      </c>
      <c r="B50" s="692">
        <f>SUM(B38:B49)</f>
        <v>18468.25</v>
      </c>
      <c r="C50" s="692"/>
      <c r="D50" s="692">
        <f>SUM(D38:D49)</f>
        <v>4801745</v>
      </c>
      <c r="E50" s="678"/>
      <c r="F50" s="687" t="s">
        <v>322</v>
      </c>
      <c r="G50" s="693">
        <v>4858.9709201388887</v>
      </c>
      <c r="H50" s="686">
        <f>+H49</f>
        <v>986.87</v>
      </c>
      <c r="I50" s="692">
        <f>SUM(I38:I49)</f>
        <v>5486236.4877083339</v>
      </c>
      <c r="J50" s="680"/>
      <c r="K50" s="678"/>
      <c r="L50" s="678"/>
      <c r="M50" s="678"/>
      <c r="N50" s="678"/>
      <c r="O50" s="678"/>
    </row>
    <row r="51" spans="1:15" x14ac:dyDescent="0.2">
      <c r="A51" s="691" t="s">
        <v>323</v>
      </c>
      <c r="B51" s="690">
        <f>+B38+B39+B40+B49</f>
        <v>5339.75</v>
      </c>
      <c r="C51" s="678"/>
      <c r="D51" s="678"/>
      <c r="E51" s="678"/>
      <c r="F51" s="687" t="s">
        <v>323</v>
      </c>
      <c r="G51" s="690">
        <f>+G38+G39+G40+G49</f>
        <v>659.22916666666674</v>
      </c>
      <c r="H51" s="678"/>
      <c r="I51" s="680"/>
      <c r="J51" s="680"/>
      <c r="K51" s="678"/>
      <c r="L51" s="678"/>
      <c r="M51" s="678"/>
      <c r="N51" s="678"/>
      <c r="O51" s="678"/>
    </row>
    <row r="52" spans="1:15" x14ac:dyDescent="0.2">
      <c r="A52" s="687" t="s">
        <v>324</v>
      </c>
      <c r="B52" s="690">
        <f>SUM(B41:B48)</f>
        <v>13128.5</v>
      </c>
      <c r="C52" s="678"/>
      <c r="D52" s="678"/>
      <c r="E52" s="678"/>
      <c r="F52" s="687" t="s">
        <v>324</v>
      </c>
      <c r="G52" s="690">
        <f>SUM(G41:G48)</f>
        <v>4900</v>
      </c>
      <c r="H52" s="678"/>
      <c r="I52" s="680"/>
      <c r="J52" s="680"/>
      <c r="K52" s="678"/>
      <c r="L52" s="678"/>
      <c r="M52" s="678"/>
      <c r="N52" s="678"/>
      <c r="O52" s="678"/>
    </row>
    <row r="53" spans="1:15" x14ac:dyDescent="0.2">
      <c r="A53" s="691" t="s">
        <v>325</v>
      </c>
      <c r="B53" s="692">
        <f>+B51+B52</f>
        <v>18468.25</v>
      </c>
      <c r="C53" s="678"/>
      <c r="D53" s="678"/>
      <c r="E53" s="678"/>
      <c r="F53" s="691" t="s">
        <v>325</v>
      </c>
      <c r="G53" s="692">
        <f>+G51+G52</f>
        <v>5559.229166666667</v>
      </c>
      <c r="H53" s="678"/>
      <c r="I53" s="680"/>
      <c r="J53" s="680"/>
      <c r="K53" s="678"/>
      <c r="L53" s="678"/>
      <c r="M53" s="678"/>
      <c r="N53" s="678"/>
      <c r="O53" s="678"/>
    </row>
    <row r="54" spans="1:15" x14ac:dyDescent="0.2">
      <c r="A54" s="678"/>
      <c r="B54" s="678"/>
      <c r="C54" s="678"/>
      <c r="D54" s="678"/>
      <c r="E54" s="678"/>
      <c r="F54" s="678"/>
      <c r="G54" s="678"/>
      <c r="H54" s="678"/>
      <c r="I54" s="678"/>
      <c r="J54" s="680"/>
      <c r="K54" s="678"/>
      <c r="L54" s="678"/>
      <c r="M54" s="678"/>
      <c r="N54" s="678"/>
      <c r="O54" s="678"/>
    </row>
    <row r="55" spans="1:15" x14ac:dyDescent="0.2">
      <c r="A55" s="678"/>
      <c r="B55" s="678"/>
      <c r="C55" s="678"/>
      <c r="D55" s="678"/>
      <c r="E55" s="678"/>
      <c r="F55" s="678"/>
      <c r="G55" s="678"/>
      <c r="H55" s="678"/>
      <c r="I55" s="678"/>
      <c r="J55" s="678"/>
      <c r="K55" s="678"/>
      <c r="L55" s="678"/>
      <c r="M55" s="678"/>
      <c r="N55" s="678"/>
      <c r="O55" s="678"/>
    </row>
    <row r="56" spans="1:15" x14ac:dyDescent="0.2">
      <c r="A56" s="678"/>
      <c r="B56" s="678"/>
      <c r="C56" s="678"/>
      <c r="D56" s="678"/>
      <c r="E56" s="678"/>
      <c r="F56" s="678"/>
      <c r="G56" s="678"/>
      <c r="H56" s="678"/>
      <c r="I56" s="678"/>
      <c r="J56" s="678"/>
      <c r="K56" s="678"/>
      <c r="L56" s="678"/>
      <c r="M56" s="678"/>
      <c r="N56" s="678"/>
      <c r="O56" s="678"/>
    </row>
    <row r="57" spans="1:15" ht="15.75" x14ac:dyDescent="0.25">
      <c r="A57" s="678"/>
      <c r="B57" s="679" t="s">
        <v>25</v>
      </c>
      <c r="C57" s="679" t="s">
        <v>303</v>
      </c>
      <c r="D57" s="678"/>
      <c r="E57" s="678"/>
      <c r="F57" s="678"/>
      <c r="G57" s="678"/>
      <c r="H57" s="678"/>
      <c r="I57" s="678"/>
      <c r="J57" s="678"/>
      <c r="K57" s="678"/>
      <c r="L57" s="678"/>
      <c r="M57" s="678"/>
      <c r="N57" s="678"/>
      <c r="O57" s="678"/>
    </row>
    <row r="58" spans="1:15" x14ac:dyDescent="0.2">
      <c r="A58" s="678"/>
      <c r="B58" s="680"/>
      <c r="C58" s="680"/>
      <c r="D58" s="680"/>
      <c r="E58" s="680"/>
      <c r="F58" s="678"/>
      <c r="G58" s="678"/>
      <c r="H58" s="678"/>
      <c r="I58" s="678"/>
      <c r="J58" s="678"/>
      <c r="K58" s="678"/>
      <c r="L58" s="678"/>
      <c r="M58" s="678"/>
      <c r="N58" s="678"/>
      <c r="O58" s="678"/>
    </row>
    <row r="59" spans="1:15" x14ac:dyDescent="0.2">
      <c r="A59" s="681" t="s">
        <v>304</v>
      </c>
      <c r="B59" s="682"/>
      <c r="C59" s="683" t="s">
        <v>423</v>
      </c>
      <c r="D59" s="684"/>
      <c r="E59" s="680"/>
      <c r="F59" s="678"/>
      <c r="G59" s="678"/>
      <c r="H59" s="678"/>
      <c r="I59" s="678"/>
      <c r="J59" s="678"/>
      <c r="K59" s="678"/>
      <c r="L59" s="678"/>
      <c r="M59" s="678"/>
      <c r="N59" s="678"/>
      <c r="O59" s="678"/>
    </row>
    <row r="60" spans="1:15" x14ac:dyDescent="0.2">
      <c r="A60" s="685" t="s">
        <v>305</v>
      </c>
      <c r="B60" s="686" t="s">
        <v>309</v>
      </c>
      <c r="C60" s="686" t="s">
        <v>307</v>
      </c>
      <c r="D60" s="686" t="s">
        <v>196</v>
      </c>
      <c r="E60" s="680"/>
      <c r="F60" s="678"/>
      <c r="G60" s="678"/>
      <c r="H60" s="678"/>
      <c r="I60" s="678"/>
      <c r="J60" s="678"/>
      <c r="K60" s="678"/>
      <c r="L60" s="678"/>
      <c r="M60" s="678"/>
      <c r="N60" s="678"/>
      <c r="O60" s="678"/>
    </row>
    <row r="61" spans="1:15" x14ac:dyDescent="0.2">
      <c r="A61" s="687" t="s">
        <v>310</v>
      </c>
      <c r="B61" s="694">
        <v>71</v>
      </c>
      <c r="C61" s="689">
        <v>642</v>
      </c>
      <c r="D61" s="687">
        <f>+B61*C61</f>
        <v>45582</v>
      </c>
      <c r="E61" s="680"/>
      <c r="F61" s="678"/>
      <c r="G61" s="678"/>
      <c r="H61" s="678"/>
      <c r="I61" s="678"/>
      <c r="J61" s="678"/>
      <c r="K61" s="678"/>
      <c r="L61" s="678"/>
      <c r="M61" s="678"/>
      <c r="N61" s="678"/>
      <c r="O61" s="678"/>
    </row>
    <row r="62" spans="1:15" x14ac:dyDescent="0.2">
      <c r="A62" s="687" t="s">
        <v>311</v>
      </c>
      <c r="B62" s="694">
        <v>68</v>
      </c>
      <c r="C62" s="689">
        <v>642</v>
      </c>
      <c r="D62" s="687">
        <f t="shared" ref="D62:D72" si="2">+B62*C62</f>
        <v>43656</v>
      </c>
      <c r="E62" s="680"/>
      <c r="F62" s="678"/>
      <c r="G62" s="678"/>
      <c r="H62" s="678"/>
      <c r="I62" s="678"/>
      <c r="J62" s="678"/>
      <c r="K62" s="678"/>
      <c r="L62" s="678"/>
      <c r="M62" s="678"/>
      <c r="N62" s="678"/>
      <c r="O62" s="678"/>
    </row>
    <row r="63" spans="1:15" x14ac:dyDescent="0.2">
      <c r="A63" s="687" t="s">
        <v>312</v>
      </c>
      <c r="B63" s="694">
        <v>117</v>
      </c>
      <c r="C63" s="689">
        <v>642</v>
      </c>
      <c r="D63" s="687">
        <f t="shared" si="2"/>
        <v>75114</v>
      </c>
      <c r="E63" s="680"/>
      <c r="F63" s="678"/>
      <c r="G63" s="678"/>
      <c r="H63" s="678"/>
      <c r="I63" s="678"/>
      <c r="J63" s="678"/>
      <c r="K63" s="678"/>
      <c r="L63" s="678"/>
      <c r="M63" s="678"/>
      <c r="N63" s="678"/>
      <c r="O63" s="678"/>
    </row>
    <row r="64" spans="1:15" x14ac:dyDescent="0.2">
      <c r="A64" s="687" t="s">
        <v>313</v>
      </c>
      <c r="B64" s="694">
        <v>52</v>
      </c>
      <c r="C64" s="689">
        <v>642</v>
      </c>
      <c r="D64" s="687">
        <f t="shared" si="2"/>
        <v>33384</v>
      </c>
      <c r="E64" s="680"/>
      <c r="F64" s="678"/>
      <c r="G64" s="678"/>
      <c r="H64" s="678"/>
      <c r="I64" s="678"/>
      <c r="J64" s="678"/>
      <c r="K64" s="678"/>
      <c r="L64" s="678"/>
      <c r="M64" s="678"/>
      <c r="N64" s="678"/>
      <c r="O64" s="678"/>
    </row>
    <row r="65" spans="1:15" x14ac:dyDescent="0.2">
      <c r="A65" s="687" t="s">
        <v>314</v>
      </c>
      <c r="B65" s="694">
        <v>68</v>
      </c>
      <c r="C65" s="689">
        <v>642</v>
      </c>
      <c r="D65" s="687">
        <f t="shared" si="2"/>
        <v>43656</v>
      </c>
      <c r="E65" s="680"/>
      <c r="F65" s="678"/>
      <c r="G65" s="678"/>
      <c r="H65" s="678"/>
      <c r="I65" s="678"/>
      <c r="J65" s="678"/>
      <c r="K65" s="678"/>
      <c r="L65" s="678"/>
      <c r="M65" s="678"/>
      <c r="N65" s="678"/>
      <c r="O65" s="678"/>
    </row>
    <row r="66" spans="1:15" x14ac:dyDescent="0.2">
      <c r="A66" s="687" t="s">
        <v>315</v>
      </c>
      <c r="B66" s="694">
        <v>187</v>
      </c>
      <c r="C66" s="689">
        <v>642</v>
      </c>
      <c r="D66" s="687">
        <f t="shared" si="2"/>
        <v>120054</v>
      </c>
      <c r="E66" s="680"/>
      <c r="F66" s="678"/>
      <c r="G66" s="678"/>
      <c r="H66" s="678"/>
      <c r="I66" s="678"/>
      <c r="J66" s="678"/>
      <c r="K66" s="678"/>
      <c r="L66" s="678"/>
      <c r="M66" s="678"/>
      <c r="N66" s="678"/>
      <c r="O66" s="678"/>
    </row>
    <row r="67" spans="1:15" x14ac:dyDescent="0.2">
      <c r="A67" s="687" t="s">
        <v>316</v>
      </c>
      <c r="B67" s="694">
        <v>124</v>
      </c>
      <c r="C67" s="689">
        <v>642</v>
      </c>
      <c r="D67" s="687">
        <f t="shared" si="2"/>
        <v>79608</v>
      </c>
      <c r="E67" s="680"/>
      <c r="F67" s="678"/>
      <c r="G67" s="678"/>
      <c r="H67" s="678"/>
      <c r="I67" s="678"/>
      <c r="J67" s="678"/>
      <c r="K67" s="678"/>
      <c r="L67" s="678"/>
      <c r="M67" s="678"/>
      <c r="N67" s="678"/>
      <c r="O67" s="678"/>
    </row>
    <row r="68" spans="1:15" x14ac:dyDescent="0.2">
      <c r="A68" s="687" t="s">
        <v>317</v>
      </c>
      <c r="B68" s="695">
        <v>95</v>
      </c>
      <c r="C68" s="689">
        <v>642</v>
      </c>
      <c r="D68" s="687">
        <f t="shared" si="2"/>
        <v>60990</v>
      </c>
      <c r="E68" s="680"/>
      <c r="F68" s="678"/>
      <c r="G68" s="678"/>
      <c r="H68" s="678"/>
      <c r="I68" s="678"/>
      <c r="J68" s="678"/>
      <c r="K68" s="678"/>
      <c r="L68" s="678"/>
      <c r="M68" s="678"/>
      <c r="N68" s="678"/>
      <c r="O68" s="678"/>
    </row>
    <row r="69" spans="1:15" x14ac:dyDescent="0.2">
      <c r="A69" s="687" t="s">
        <v>318</v>
      </c>
      <c r="B69" s="695">
        <v>109</v>
      </c>
      <c r="C69" s="689">
        <v>642</v>
      </c>
      <c r="D69" s="687">
        <f t="shared" si="2"/>
        <v>69978</v>
      </c>
      <c r="E69" s="680"/>
      <c r="F69" s="678"/>
      <c r="G69" s="678"/>
      <c r="H69" s="678"/>
      <c r="I69" s="678"/>
      <c r="J69" s="678"/>
      <c r="K69" s="678"/>
      <c r="L69" s="678"/>
      <c r="M69" s="678"/>
      <c r="N69" s="678"/>
      <c r="O69" s="678"/>
    </row>
    <row r="70" spans="1:15" x14ac:dyDescent="0.2">
      <c r="A70" s="687" t="s">
        <v>319</v>
      </c>
      <c r="B70" s="695">
        <f t="shared" ref="B70" si="3">+(B68+B69)/2</f>
        <v>102</v>
      </c>
      <c r="C70" s="689">
        <v>642</v>
      </c>
      <c r="D70" s="687">
        <f t="shared" si="2"/>
        <v>65484</v>
      </c>
      <c r="E70" s="680"/>
      <c r="F70" s="678"/>
      <c r="G70" s="678"/>
      <c r="H70" s="678"/>
      <c r="I70" s="678"/>
      <c r="J70" s="678"/>
      <c r="K70" s="678"/>
      <c r="L70" s="678"/>
      <c r="M70" s="678"/>
      <c r="N70" s="678"/>
      <c r="O70" s="678"/>
    </row>
    <row r="71" spans="1:15" x14ac:dyDescent="0.2">
      <c r="A71" s="687" t="s">
        <v>320</v>
      </c>
      <c r="B71" s="695">
        <v>106</v>
      </c>
      <c r="C71" s="689">
        <v>642</v>
      </c>
      <c r="D71" s="687">
        <f t="shared" si="2"/>
        <v>68052</v>
      </c>
      <c r="E71" s="680"/>
      <c r="F71" s="678"/>
      <c r="G71" s="678"/>
      <c r="H71" s="678"/>
      <c r="I71" s="678"/>
      <c r="J71" s="678"/>
      <c r="K71" s="678"/>
      <c r="L71" s="678"/>
      <c r="M71" s="678"/>
      <c r="N71" s="678"/>
      <c r="O71" s="678"/>
    </row>
    <row r="72" spans="1:15" x14ac:dyDescent="0.2">
      <c r="A72" s="687" t="s">
        <v>321</v>
      </c>
      <c r="B72" s="695">
        <v>104</v>
      </c>
      <c r="C72" s="689">
        <v>642</v>
      </c>
      <c r="D72" s="687">
        <f t="shared" si="2"/>
        <v>66768</v>
      </c>
      <c r="E72" s="680"/>
      <c r="F72" s="678"/>
      <c r="G72" s="678"/>
      <c r="H72" s="678"/>
      <c r="I72" s="678"/>
      <c r="J72" s="678"/>
      <c r="K72" s="678"/>
      <c r="L72" s="678"/>
      <c r="M72" s="678"/>
      <c r="N72" s="678"/>
      <c r="O72" s="678"/>
    </row>
    <row r="73" spans="1:15" x14ac:dyDescent="0.2">
      <c r="A73" s="691" t="s">
        <v>322</v>
      </c>
      <c r="B73" s="696">
        <f>SUM(B61:B72)</f>
        <v>1203</v>
      </c>
      <c r="C73" s="692"/>
      <c r="D73" s="692">
        <f>SUM(D61:D72)</f>
        <v>772326</v>
      </c>
      <c r="E73" s="680"/>
      <c r="F73" s="678"/>
      <c r="G73" s="678"/>
      <c r="H73" s="678"/>
      <c r="I73" s="678"/>
      <c r="J73" s="678"/>
      <c r="K73" s="678"/>
      <c r="L73" s="678"/>
      <c r="M73" s="678"/>
      <c r="N73" s="678"/>
      <c r="O73" s="678"/>
    </row>
    <row r="74" spans="1:15" x14ac:dyDescent="0.2">
      <c r="A74" s="687" t="s">
        <v>323</v>
      </c>
      <c r="B74" s="694">
        <f>+B61+B62+B63+B72</f>
        <v>360</v>
      </c>
      <c r="C74" s="678"/>
      <c r="D74" s="678"/>
      <c r="E74" s="680"/>
      <c r="F74" s="678"/>
      <c r="G74" s="678"/>
      <c r="H74" s="678"/>
      <c r="I74" s="678"/>
      <c r="J74" s="678"/>
      <c r="K74" s="678"/>
      <c r="L74" s="678"/>
      <c r="M74" s="678"/>
      <c r="N74" s="678"/>
      <c r="O74" s="678"/>
    </row>
    <row r="75" spans="1:15" x14ac:dyDescent="0.2">
      <c r="A75" s="687" t="s">
        <v>324</v>
      </c>
      <c r="B75" s="694">
        <f>SUM(B64:B71)</f>
        <v>843</v>
      </c>
      <c r="C75" s="678"/>
      <c r="D75" s="678"/>
      <c r="E75" s="680"/>
      <c r="F75" s="678"/>
      <c r="G75" s="678"/>
      <c r="H75" s="678"/>
      <c r="I75" s="678"/>
      <c r="J75" s="678"/>
      <c r="K75" s="678"/>
      <c r="L75" s="678"/>
      <c r="M75" s="678"/>
      <c r="N75" s="678"/>
      <c r="O75" s="678"/>
    </row>
    <row r="76" spans="1:15" x14ac:dyDescent="0.2">
      <c r="A76" s="691" t="s">
        <v>325</v>
      </c>
      <c r="B76" s="696">
        <f>+B74+B75</f>
        <v>1203</v>
      </c>
      <c r="C76" s="678"/>
      <c r="D76" s="678"/>
      <c r="E76" s="680"/>
      <c r="F76" s="678"/>
      <c r="G76" s="678"/>
      <c r="H76" s="678"/>
      <c r="I76" s="678"/>
      <c r="J76" s="678"/>
      <c r="K76" s="678"/>
      <c r="L76" s="678"/>
      <c r="M76" s="678"/>
      <c r="N76" s="678"/>
      <c r="O76" s="678"/>
    </row>
    <row r="77" spans="1:15" x14ac:dyDescent="0.2">
      <c r="A77" s="678"/>
      <c r="B77" s="678"/>
      <c r="C77" s="678"/>
      <c r="D77" s="678"/>
      <c r="E77" s="678"/>
      <c r="F77" s="678"/>
      <c r="G77" s="678"/>
      <c r="H77" s="678"/>
      <c r="I77" s="678"/>
      <c r="J77" s="678"/>
      <c r="K77" s="678"/>
      <c r="L77" s="697"/>
      <c r="M77" s="678"/>
      <c r="N77" s="678"/>
      <c r="O77" s="678"/>
    </row>
    <row r="78" spans="1:15" x14ac:dyDescent="0.2">
      <c r="A78" s="678"/>
      <c r="B78" s="678"/>
      <c r="C78" s="678"/>
      <c r="D78" s="678"/>
      <c r="E78" s="678"/>
      <c r="F78" s="678"/>
      <c r="G78" s="678"/>
      <c r="H78" s="678"/>
      <c r="I78" s="678"/>
      <c r="J78" s="678"/>
      <c r="K78" s="678"/>
      <c r="L78" s="678"/>
      <c r="M78" s="678"/>
      <c r="N78" s="678"/>
      <c r="O78" s="678"/>
    </row>
    <row r="79" spans="1:15" x14ac:dyDescent="0.2">
      <c r="A79" s="698" t="s">
        <v>326</v>
      </c>
      <c r="B79" s="678"/>
      <c r="C79" s="678"/>
      <c r="D79" s="678"/>
      <c r="E79" s="678"/>
      <c r="F79" s="678"/>
      <c r="G79" s="678"/>
      <c r="H79" s="678"/>
      <c r="I79" s="678"/>
      <c r="J79" s="678"/>
      <c r="K79" s="678"/>
      <c r="L79" s="678"/>
      <c r="M79" s="678"/>
      <c r="N79" s="678"/>
      <c r="O79" s="678"/>
    </row>
    <row r="80" spans="1:15" x14ac:dyDescent="0.2">
      <c r="A80" s="698" t="s">
        <v>327</v>
      </c>
    </row>
    <row r="83" spans="1:1" x14ac:dyDescent="0.2">
      <c r="A83" s="74" t="s">
        <v>328</v>
      </c>
    </row>
    <row r="85" spans="1:1" x14ac:dyDescent="0.2">
      <c r="A85" s="74" t="s">
        <v>329</v>
      </c>
    </row>
    <row r="86" spans="1:1" x14ac:dyDescent="0.2">
      <c r="A86" s="74" t="s">
        <v>330</v>
      </c>
    </row>
    <row r="87" spans="1:1" x14ac:dyDescent="0.2">
      <c r="A87" s="74" t="s">
        <v>331</v>
      </c>
    </row>
  </sheetData>
  <mergeCells count="1">
    <mergeCell ref="J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  <pageSetUpPr fitToPage="1"/>
  </sheetPr>
  <dimension ref="A2:P53"/>
  <sheetViews>
    <sheetView zoomScale="90" zoomScaleNormal="90" workbookViewId="0">
      <selection activeCell="K32" sqref="K32"/>
    </sheetView>
  </sheetViews>
  <sheetFormatPr baseColWidth="10" defaultColWidth="11.42578125" defaultRowHeight="15" x14ac:dyDescent="0.25"/>
  <cols>
    <col min="1" max="1" width="38.140625" style="397" bestFit="1" customWidth="1"/>
    <col min="2" max="13" width="13.85546875" style="397" bestFit="1" customWidth="1"/>
    <col min="14" max="14" width="14.85546875" style="397" bestFit="1" customWidth="1"/>
    <col min="15" max="15" width="13.85546875" style="397" bestFit="1" customWidth="1"/>
    <col min="16" max="16" width="17.140625" style="397" bestFit="1" customWidth="1"/>
    <col min="17" max="16384" width="11.42578125" style="397"/>
  </cols>
  <sheetData>
    <row r="2" spans="1:15" ht="15.75" x14ac:dyDescent="0.25">
      <c r="A2" s="807" t="s">
        <v>249</v>
      </c>
      <c r="B2" s="807"/>
      <c r="C2" s="807"/>
      <c r="D2" s="807"/>
    </row>
    <row r="4" spans="1:15" x14ac:dyDescent="0.25">
      <c r="A4" s="398" t="s">
        <v>256</v>
      </c>
      <c r="B4" s="399" t="s">
        <v>232</v>
      </c>
      <c r="C4" s="399" t="s">
        <v>233</v>
      </c>
      <c r="D4" s="399" t="s">
        <v>234</v>
      </c>
      <c r="E4" s="399" t="s">
        <v>235</v>
      </c>
      <c r="F4" s="399" t="s">
        <v>236</v>
      </c>
      <c r="G4" s="399" t="s">
        <v>237</v>
      </c>
      <c r="H4" s="399" t="s">
        <v>238</v>
      </c>
      <c r="I4" s="399" t="s">
        <v>239</v>
      </c>
      <c r="J4" s="399" t="s">
        <v>240</v>
      </c>
      <c r="K4" s="399" t="s">
        <v>241</v>
      </c>
      <c r="L4" s="399" t="s">
        <v>242</v>
      </c>
      <c r="M4" s="399" t="s">
        <v>243</v>
      </c>
    </row>
    <row r="5" spans="1:15" x14ac:dyDescent="0.25">
      <c r="A5" s="400" t="s">
        <v>250</v>
      </c>
      <c r="B5" s="401"/>
      <c r="C5" s="401"/>
      <c r="D5" s="401">
        <f>+'B) Reajuste Tarifas y Ocupación'!$I$28</f>
        <v>28</v>
      </c>
      <c r="E5" s="401">
        <f>+'B) Reajuste Tarifas y Ocupación'!$I$28</f>
        <v>28</v>
      </c>
      <c r="F5" s="401">
        <f>+'B) Reajuste Tarifas y Ocupación'!$I$28</f>
        <v>28</v>
      </c>
      <c r="G5" s="401">
        <f>+'B) Reajuste Tarifas y Ocupación'!$I$28</f>
        <v>28</v>
      </c>
      <c r="H5" s="401">
        <f>+'B) Reajuste Tarifas y Ocupación'!$I$28</f>
        <v>28</v>
      </c>
      <c r="I5" s="401">
        <f>+'B) Reajuste Tarifas y Ocupación'!$I$28</f>
        <v>28</v>
      </c>
      <c r="J5" s="401">
        <f>+'B) Reajuste Tarifas y Ocupación'!$I$28</f>
        <v>28</v>
      </c>
      <c r="K5" s="401">
        <f>+'B) Reajuste Tarifas y Ocupación'!$I$28</f>
        <v>28</v>
      </c>
      <c r="L5" s="401">
        <f>+'B) Reajuste Tarifas y Ocupación'!$I$28</f>
        <v>28</v>
      </c>
      <c r="M5" s="401">
        <f>+'B) Reajuste Tarifas y Ocupación'!$I$28</f>
        <v>28</v>
      </c>
    </row>
    <row r="6" spans="1:15" x14ac:dyDescent="0.25">
      <c r="A6" s="400" t="s">
        <v>251</v>
      </c>
      <c r="B6" s="401">
        <f>+COUNTA('F) Remuneraciones'!$C$11:$C$18)</f>
        <v>1</v>
      </c>
      <c r="C6" s="401">
        <f>+COUNTA('F) Remuneraciones'!$C$11:$C$18)</f>
        <v>1</v>
      </c>
      <c r="D6" s="401">
        <f>+COUNTA('F) Remuneraciones'!$C$11:$C$18)</f>
        <v>1</v>
      </c>
      <c r="E6" s="401">
        <f>+COUNTA('F) Remuneraciones'!$C$11:$C$18)</f>
        <v>1</v>
      </c>
      <c r="F6" s="401">
        <f>+COUNTA('F) Remuneraciones'!$C$11:$C$18)</f>
        <v>1</v>
      </c>
      <c r="G6" s="401">
        <f>+COUNTA('F) Remuneraciones'!$C$11:$C$18)</f>
        <v>1</v>
      </c>
      <c r="H6" s="401">
        <f>+COUNTA('F) Remuneraciones'!$C$11:$C$18)</f>
        <v>1</v>
      </c>
      <c r="I6" s="401">
        <f>+COUNTA('F) Remuneraciones'!$C$11:$C$18)</f>
        <v>1</v>
      </c>
      <c r="J6" s="401">
        <f>+COUNTA('F) Remuneraciones'!$C$11:$C$18)</f>
        <v>1</v>
      </c>
      <c r="K6" s="401">
        <f>+COUNTA('F) Remuneraciones'!$C$11:$C$18)</f>
        <v>1</v>
      </c>
      <c r="L6" s="401">
        <f>+COUNTA('F) Remuneraciones'!$C$11:$C$18)</f>
        <v>1</v>
      </c>
      <c r="M6" s="401">
        <f>+COUNTA('F) Remuneraciones'!$C$11:$C$18)</f>
        <v>1</v>
      </c>
    </row>
    <row r="7" spans="1:15" x14ac:dyDescent="0.25">
      <c r="A7" s="400"/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</row>
    <row r="8" spans="1:15" ht="30" x14ac:dyDescent="0.25">
      <c r="A8" s="403" t="str">
        <f>+'A) Resumen Ingresos y Egresos'!A22</f>
        <v>Jardín Infantil Tortuguita Marina</v>
      </c>
      <c r="B8" s="399" t="s">
        <v>232</v>
      </c>
      <c r="C8" s="399" t="s">
        <v>233</v>
      </c>
      <c r="D8" s="399" t="s">
        <v>234</v>
      </c>
      <c r="E8" s="399" t="s">
        <v>235</v>
      </c>
      <c r="F8" s="399" t="s">
        <v>236</v>
      </c>
      <c r="G8" s="399" t="s">
        <v>237</v>
      </c>
      <c r="H8" s="399" t="s">
        <v>238</v>
      </c>
      <c r="I8" s="399" t="s">
        <v>239</v>
      </c>
      <c r="J8" s="399" t="s">
        <v>240</v>
      </c>
      <c r="K8" s="399" t="s">
        <v>241</v>
      </c>
      <c r="L8" s="399" t="s">
        <v>242</v>
      </c>
      <c r="M8" s="399" t="s">
        <v>243</v>
      </c>
      <c r="N8" s="399" t="s">
        <v>252</v>
      </c>
    </row>
    <row r="9" spans="1:15" x14ac:dyDescent="0.25">
      <c r="A9" s="404" t="s">
        <v>244</v>
      </c>
      <c r="B9" s="405">
        <f>+'A) Resumen Ingresos y Egresos'!P28</f>
        <v>0</v>
      </c>
      <c r="C9" s="405">
        <f>+'A) Resumen Ingresos y Egresos'!N28*0.7</f>
        <v>2124920</v>
      </c>
      <c r="D9" s="405">
        <f>+'A) Resumen Ingresos y Egresos'!N28*0.3+'A) Resumen Ingresos y Egresos'!O28*0.1</f>
        <v>3946280</v>
      </c>
      <c r="E9" s="405">
        <f>+'A) Resumen Ingresos y Egresos'!$O$28*0.1</f>
        <v>3035600</v>
      </c>
      <c r="F9" s="405">
        <f>+'A) Resumen Ingresos y Egresos'!$O$28*0.1</f>
        <v>3035600</v>
      </c>
      <c r="G9" s="405">
        <f>+'A) Resumen Ingresos y Egresos'!$O$28*0.1</f>
        <v>3035600</v>
      </c>
      <c r="H9" s="405">
        <f>+'A) Resumen Ingresos y Egresos'!$O$28*0.1</f>
        <v>3035600</v>
      </c>
      <c r="I9" s="405">
        <f>+'A) Resumen Ingresos y Egresos'!$O$28*0.1</f>
        <v>3035600</v>
      </c>
      <c r="J9" s="405">
        <f>+'A) Resumen Ingresos y Egresos'!$O$28*0.1</f>
        <v>3035600</v>
      </c>
      <c r="K9" s="405">
        <f>+'A) Resumen Ingresos y Egresos'!$O$28*0.1</f>
        <v>3035600</v>
      </c>
      <c r="L9" s="405">
        <f>+'A) Resumen Ingresos y Egresos'!$O$28*0.1</f>
        <v>3035600</v>
      </c>
      <c r="M9" s="405">
        <f>+'A) Resumen Ingresos y Egresos'!$O$28*0.1</f>
        <v>3035600</v>
      </c>
      <c r="N9" s="406">
        <f>SUM(B9:M9)</f>
        <v>33391600</v>
      </c>
    </row>
    <row r="10" spans="1:15" x14ac:dyDescent="0.25">
      <c r="A10" s="404" t="s">
        <v>245</v>
      </c>
      <c r="B10" s="405">
        <f>SUM('F) Remuneraciones'!$H$11:$H$18)/12</f>
        <v>1099503.3</v>
      </c>
      <c r="C10" s="405">
        <f>SUM('F) Remuneraciones'!$H$11:$H$18)/12</f>
        <v>1099503.3</v>
      </c>
      <c r="D10" s="405">
        <f>SUM('F) Remuneraciones'!$H$11:$H$18)/12</f>
        <v>1099503.3</v>
      </c>
      <c r="E10" s="405">
        <f>SUM('F) Remuneraciones'!$H$11:$H$18)/12</f>
        <v>1099503.3</v>
      </c>
      <c r="F10" s="405">
        <f>SUM('F) Remuneraciones'!$H$11:$H$18)/12</f>
        <v>1099503.3</v>
      </c>
      <c r="G10" s="405">
        <f>SUM('F) Remuneraciones'!$H$11:$H$18)/12</f>
        <v>1099503.3</v>
      </c>
      <c r="H10" s="405">
        <f>SUM('F) Remuneraciones'!$H$11:$H$18)/12</f>
        <v>1099503.3</v>
      </c>
      <c r="I10" s="405">
        <f>SUM('F) Remuneraciones'!$H$11:$H$18)/12</f>
        <v>1099503.3</v>
      </c>
      <c r="J10" s="405">
        <f>SUM('F) Remuneraciones'!$H$11:$H$18)/12</f>
        <v>1099503.3</v>
      </c>
      <c r="K10" s="405">
        <f>SUM('F) Remuneraciones'!$H$11:$H$18)/12</f>
        <v>1099503.3</v>
      </c>
      <c r="L10" s="405">
        <f>SUM('F) Remuneraciones'!$H$11:$H$18)/12</f>
        <v>1099503.3</v>
      </c>
      <c r="M10" s="405">
        <f>SUM('F) Remuneraciones'!$H$11:$H$18)/12</f>
        <v>1099503.3</v>
      </c>
      <c r="N10" s="406">
        <f t="shared" ref="N10:N12" si="0">SUM(B10:M10)</f>
        <v>13194039.600000003</v>
      </c>
    </row>
    <row r="11" spans="1:15" x14ac:dyDescent="0.25">
      <c r="A11" s="404" t="s">
        <v>247</v>
      </c>
      <c r="B11" s="405">
        <f>SUM('F) Remuneraciones'!I11:I18*0.5)</f>
        <v>82635</v>
      </c>
      <c r="C11" s="405">
        <v>0</v>
      </c>
      <c r="D11" s="405">
        <v>0</v>
      </c>
      <c r="E11" s="405">
        <v>0</v>
      </c>
      <c r="F11" s="405">
        <v>0</v>
      </c>
      <c r="G11" s="405">
        <v>0</v>
      </c>
      <c r="H11" s="405">
        <v>0</v>
      </c>
      <c r="I11" s="405">
        <v>0</v>
      </c>
      <c r="J11" s="405">
        <f>SUM('F) Remuneraciones'!J11:J18*0.5)</f>
        <v>81197</v>
      </c>
      <c r="K11" s="405">
        <v>0</v>
      </c>
      <c r="L11" s="405">
        <v>0</v>
      </c>
      <c r="M11" s="405">
        <f>+B11+J11</f>
        <v>163832</v>
      </c>
      <c r="N11" s="406">
        <f t="shared" si="0"/>
        <v>327664</v>
      </c>
    </row>
    <row r="12" spans="1:15" x14ac:dyDescent="0.25">
      <c r="A12" s="404" t="s">
        <v>246</v>
      </c>
      <c r="B12" s="405">
        <f>(+'C) Costos Directos'!$H$75-'C) Costos Directos'!$D$14)*0.05</f>
        <v>784236.3600000001</v>
      </c>
      <c r="C12" s="405">
        <f>(+'C) Costos Directos'!$H$75-'C) Costos Directos'!$D$14)*0.05</f>
        <v>784236.3600000001</v>
      </c>
      <c r="D12" s="405">
        <f>(+'C) Costos Directos'!$H$75-'C) Costos Directos'!$D$14)*0.09</f>
        <v>1411625.4480000001</v>
      </c>
      <c r="E12" s="405">
        <f>(+'C) Costos Directos'!$H$75-'C) Costos Directos'!$D$14)*0.09</f>
        <v>1411625.4480000001</v>
      </c>
      <c r="F12" s="405">
        <f>(+'C) Costos Directos'!$H$75-'C) Costos Directos'!$D$14)*0.09</f>
        <v>1411625.4480000001</v>
      </c>
      <c r="G12" s="405">
        <f>(+'C) Costos Directos'!$H$75-'C) Costos Directos'!$D$14)*0.09</f>
        <v>1411625.4480000001</v>
      </c>
      <c r="H12" s="405">
        <f>(+'C) Costos Directos'!$H$75-'C) Costos Directos'!$D$14)*0.09</f>
        <v>1411625.4480000001</v>
      </c>
      <c r="I12" s="405">
        <f>(+'C) Costos Directos'!$H$75-'C) Costos Directos'!$D$14)*0.09</f>
        <v>1411625.4480000001</v>
      </c>
      <c r="J12" s="405">
        <f>(+'C) Costos Directos'!$H$75-'C) Costos Directos'!$D$14)*0.09</f>
        <v>1411625.4480000001</v>
      </c>
      <c r="K12" s="405">
        <f>(+'C) Costos Directos'!$H$75-'C) Costos Directos'!$D$14)*0.09</f>
        <v>1411625.4480000001</v>
      </c>
      <c r="L12" s="405">
        <f>(+'C) Costos Directos'!$H$75-'C) Costos Directos'!$D$14)*0.09</f>
        <v>1411625.4480000001</v>
      </c>
      <c r="M12" s="405">
        <f>(+'C) Costos Directos'!$H$75-'C) Costos Directos'!$D$14)*0.09</f>
        <v>1411625.4480000001</v>
      </c>
      <c r="N12" s="406">
        <f t="shared" si="0"/>
        <v>15684727.200000005</v>
      </c>
      <c r="O12" s="405"/>
    </row>
    <row r="13" spans="1:15" x14ac:dyDescent="0.25">
      <c r="A13" s="407" t="s">
        <v>253</v>
      </c>
      <c r="B13" s="408">
        <f t="shared" ref="B13:M13" si="1">+B9-B10-B11-B12</f>
        <v>-1966374.6600000001</v>
      </c>
      <c r="C13" s="408">
        <f t="shared" si="1"/>
        <v>241180.33999999985</v>
      </c>
      <c r="D13" s="408">
        <f t="shared" si="1"/>
        <v>1435151.2520000001</v>
      </c>
      <c r="E13" s="408">
        <f t="shared" si="1"/>
        <v>524471.25199999986</v>
      </c>
      <c r="F13" s="408">
        <f t="shared" si="1"/>
        <v>524471.25199999986</v>
      </c>
      <c r="G13" s="408">
        <f t="shared" si="1"/>
        <v>524471.25199999986</v>
      </c>
      <c r="H13" s="408">
        <f t="shared" si="1"/>
        <v>524471.25199999986</v>
      </c>
      <c r="I13" s="408">
        <f t="shared" si="1"/>
        <v>524471.25199999986</v>
      </c>
      <c r="J13" s="408">
        <f t="shared" si="1"/>
        <v>443274.25199999986</v>
      </c>
      <c r="K13" s="408">
        <f t="shared" si="1"/>
        <v>524471.25199999986</v>
      </c>
      <c r="L13" s="408">
        <f t="shared" si="1"/>
        <v>524471.25199999986</v>
      </c>
      <c r="M13" s="408">
        <f t="shared" si="1"/>
        <v>360639.25199999986</v>
      </c>
      <c r="N13" s="408">
        <f>+N9-N10-N11-N12</f>
        <v>4185169.1999999937</v>
      </c>
      <c r="O13" s="405"/>
    </row>
    <row r="16" spans="1:15" x14ac:dyDescent="0.25">
      <c r="A16" s="398" t="s">
        <v>256</v>
      </c>
      <c r="B16" s="399" t="s">
        <v>232</v>
      </c>
      <c r="C16" s="399" t="s">
        <v>233</v>
      </c>
      <c r="D16" s="399" t="s">
        <v>234</v>
      </c>
      <c r="E16" s="399" t="s">
        <v>235</v>
      </c>
      <c r="F16" s="399" t="s">
        <v>236</v>
      </c>
      <c r="G16" s="399" t="s">
        <v>237</v>
      </c>
      <c r="H16" s="399" t="s">
        <v>238</v>
      </c>
      <c r="I16" s="399" t="s">
        <v>239</v>
      </c>
      <c r="J16" s="399" t="s">
        <v>240</v>
      </c>
      <c r="K16" s="399" t="s">
        <v>241</v>
      </c>
      <c r="L16" s="399" t="s">
        <v>242</v>
      </c>
      <c r="M16" s="399" t="s">
        <v>243</v>
      </c>
    </row>
    <row r="17" spans="1:14" x14ac:dyDescent="0.25">
      <c r="A17" s="400" t="s">
        <v>250</v>
      </c>
      <c r="B17" s="401"/>
      <c r="C17" s="401"/>
      <c r="D17" s="401">
        <f>+'B) Reajuste Tarifas y Ocupación'!$I$30</f>
        <v>25</v>
      </c>
      <c r="E17" s="401">
        <f>+'B) Reajuste Tarifas y Ocupación'!$I$30</f>
        <v>25</v>
      </c>
      <c r="F17" s="401">
        <f>+'B) Reajuste Tarifas y Ocupación'!$I$30</f>
        <v>25</v>
      </c>
      <c r="G17" s="401">
        <f>+'B) Reajuste Tarifas y Ocupación'!$I$30</f>
        <v>25</v>
      </c>
      <c r="H17" s="401">
        <f>+'B) Reajuste Tarifas y Ocupación'!$I$30</f>
        <v>25</v>
      </c>
      <c r="I17" s="401">
        <f>+'B) Reajuste Tarifas y Ocupación'!$I$30</f>
        <v>25</v>
      </c>
      <c r="J17" s="401">
        <f>+'B) Reajuste Tarifas y Ocupación'!$I$30</f>
        <v>25</v>
      </c>
      <c r="K17" s="401">
        <f>+'B) Reajuste Tarifas y Ocupación'!$I$30</f>
        <v>25</v>
      </c>
      <c r="L17" s="401">
        <f>+'B) Reajuste Tarifas y Ocupación'!$I$30</f>
        <v>25</v>
      </c>
      <c r="M17" s="401">
        <f>+'B) Reajuste Tarifas y Ocupación'!$I$30</f>
        <v>25</v>
      </c>
    </row>
    <row r="18" spans="1:14" x14ac:dyDescent="0.25">
      <c r="A18" s="400" t="s">
        <v>251</v>
      </c>
      <c r="B18" s="401">
        <f>+COUNTA('F) Remuneraciones'!$C$19:$C$26)</f>
        <v>1</v>
      </c>
      <c r="C18" s="401">
        <f>+COUNTA('F) Remuneraciones'!$C$19:$C$26)</f>
        <v>1</v>
      </c>
      <c r="D18" s="401">
        <f>+COUNTA('F) Remuneraciones'!$C$19:$C$26)</f>
        <v>1</v>
      </c>
      <c r="E18" s="401">
        <f>+COUNTA('F) Remuneraciones'!$C$19:$C$26)</f>
        <v>1</v>
      </c>
      <c r="F18" s="401">
        <f>+COUNTA('F) Remuneraciones'!$C$19:$C$26)</f>
        <v>1</v>
      </c>
      <c r="G18" s="401">
        <f>+COUNTA('F) Remuneraciones'!$C$19:$C$26)</f>
        <v>1</v>
      </c>
      <c r="H18" s="401">
        <f>+COUNTA('F) Remuneraciones'!$C$19:$C$26)</f>
        <v>1</v>
      </c>
      <c r="I18" s="401">
        <f>+COUNTA('F) Remuneraciones'!$C$19:$C$26)</f>
        <v>1</v>
      </c>
      <c r="J18" s="401">
        <f>+COUNTA('F) Remuneraciones'!$C$19:$C$26)</f>
        <v>1</v>
      </c>
      <c r="K18" s="401">
        <f>+COUNTA('F) Remuneraciones'!$C$19:$C$26)</f>
        <v>1</v>
      </c>
      <c r="L18" s="401">
        <f>+COUNTA('F) Remuneraciones'!$C$19:$C$26)</f>
        <v>1</v>
      </c>
      <c r="M18" s="401">
        <f>+COUNTA('F) Remuneraciones'!$C$19:$C$26)</f>
        <v>1</v>
      </c>
    </row>
    <row r="19" spans="1:14" x14ac:dyDescent="0.25">
      <c r="A19" s="400"/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</row>
    <row r="20" spans="1:14" ht="30" x14ac:dyDescent="0.25">
      <c r="A20" s="403" t="str">
        <f>+'A) Resumen Ingresos y Egresos'!A29</f>
        <v>Jardín Infantil Burbujitas de Mar</v>
      </c>
      <c r="B20" s="399" t="s">
        <v>232</v>
      </c>
      <c r="C20" s="399" t="s">
        <v>233</v>
      </c>
      <c r="D20" s="399" t="s">
        <v>234</v>
      </c>
      <c r="E20" s="399" t="s">
        <v>235</v>
      </c>
      <c r="F20" s="399" t="s">
        <v>236</v>
      </c>
      <c r="G20" s="399" t="s">
        <v>237</v>
      </c>
      <c r="H20" s="399" t="s">
        <v>238</v>
      </c>
      <c r="I20" s="399" t="s">
        <v>239</v>
      </c>
      <c r="J20" s="399" t="s">
        <v>240</v>
      </c>
      <c r="K20" s="399" t="s">
        <v>241</v>
      </c>
      <c r="L20" s="399" t="s">
        <v>242</v>
      </c>
      <c r="M20" s="399" t="s">
        <v>243</v>
      </c>
      <c r="N20" s="399" t="s">
        <v>252</v>
      </c>
    </row>
    <row r="21" spans="1:14" x14ac:dyDescent="0.25">
      <c r="A21" s="404" t="s">
        <v>244</v>
      </c>
      <c r="B21" s="405">
        <f>+'A) Resumen Ingresos y Egresos'!P35</f>
        <v>0</v>
      </c>
      <c r="C21" s="405">
        <f>+'A) Resumen Ingresos y Egresos'!N35*0.7</f>
        <v>2268000</v>
      </c>
      <c r="D21" s="405">
        <f>+'A) Resumen Ingresos y Egresos'!N35*0.3+'A) Resumen Ingresos y Egresos'!O35*0.1</f>
        <v>4212000</v>
      </c>
      <c r="E21" s="405">
        <f>+'A) Resumen Ingresos y Egresos'!$O$35*0.1</f>
        <v>3240000</v>
      </c>
      <c r="F21" s="405">
        <f>+'A) Resumen Ingresos y Egresos'!$O$35*0.1</f>
        <v>3240000</v>
      </c>
      <c r="G21" s="405">
        <f>+'A) Resumen Ingresos y Egresos'!$O$35*0.1</f>
        <v>3240000</v>
      </c>
      <c r="H21" s="405">
        <f>+'A) Resumen Ingresos y Egresos'!$O$35*0.1</f>
        <v>3240000</v>
      </c>
      <c r="I21" s="405">
        <f>+'A) Resumen Ingresos y Egresos'!$O$35*0.1</f>
        <v>3240000</v>
      </c>
      <c r="J21" s="405">
        <f>+'A) Resumen Ingresos y Egresos'!$O$35*0.1</f>
        <v>3240000</v>
      </c>
      <c r="K21" s="405">
        <f>+'A) Resumen Ingresos y Egresos'!$O$35*0.1</f>
        <v>3240000</v>
      </c>
      <c r="L21" s="405">
        <f>+'A) Resumen Ingresos y Egresos'!$O$35*0.1</f>
        <v>3240000</v>
      </c>
      <c r="M21" s="405">
        <f>+'A) Resumen Ingresos y Egresos'!$O$35*0.1</f>
        <v>3240000</v>
      </c>
      <c r="N21" s="406">
        <f>SUM(B21:M21)</f>
        <v>35640000</v>
      </c>
    </row>
    <row r="22" spans="1:14" x14ac:dyDescent="0.25">
      <c r="A22" s="404" t="s">
        <v>245</v>
      </c>
      <c r="B22" s="405">
        <f>SUM('F) Remuneraciones'!$H$19:$H$26)/12</f>
        <v>0</v>
      </c>
      <c r="C22" s="405">
        <f>SUM('F) Remuneraciones'!$H$19:$H$26)/12</f>
        <v>0</v>
      </c>
      <c r="D22" s="405">
        <f>SUM('F) Remuneraciones'!$H$19:$H$26)/12</f>
        <v>0</v>
      </c>
      <c r="E22" s="405">
        <f>SUM('F) Remuneraciones'!$H$19:$H$26)/12</f>
        <v>0</v>
      </c>
      <c r="F22" s="405">
        <f>SUM('F) Remuneraciones'!$H$19:$H$26)/12</f>
        <v>0</v>
      </c>
      <c r="G22" s="405">
        <f>SUM('F) Remuneraciones'!$H$19:$H$26)/12</f>
        <v>0</v>
      </c>
      <c r="H22" s="405">
        <f>SUM('F) Remuneraciones'!$H$19:$H$26)/12</f>
        <v>0</v>
      </c>
      <c r="I22" s="405">
        <f>SUM('F) Remuneraciones'!$H$19:$H$26)/12</f>
        <v>0</v>
      </c>
      <c r="J22" s="405">
        <f>SUM('F) Remuneraciones'!$H$19:$H$26)/12</f>
        <v>0</v>
      </c>
      <c r="K22" s="405">
        <f>SUM('F) Remuneraciones'!$H$19:$H$26)/12</f>
        <v>0</v>
      </c>
      <c r="L22" s="405">
        <f>SUM('F) Remuneraciones'!$H$19:$H$26)/12</f>
        <v>0</v>
      </c>
      <c r="M22" s="405">
        <f>SUM('F) Remuneraciones'!$H$19:$H$26)/12</f>
        <v>0</v>
      </c>
      <c r="N22" s="406">
        <f t="shared" ref="N22:N24" si="2">SUM(B22:M22)</f>
        <v>0</v>
      </c>
    </row>
    <row r="23" spans="1:14" x14ac:dyDescent="0.25">
      <c r="A23" s="404" t="s">
        <v>247</v>
      </c>
      <c r="B23" s="405">
        <f>SUM('F) Remuneraciones'!I19:I26)*0.5</f>
        <v>0</v>
      </c>
      <c r="C23" s="405">
        <v>0</v>
      </c>
      <c r="D23" s="405">
        <v>0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f>SUM('F) Remuneraciones'!J19:J26)*0.5</f>
        <v>0</v>
      </c>
      <c r="K23" s="405">
        <v>0</v>
      </c>
      <c r="L23" s="405">
        <v>0</v>
      </c>
      <c r="M23" s="405">
        <f>+B23+J23</f>
        <v>0</v>
      </c>
      <c r="N23" s="406">
        <f t="shared" si="2"/>
        <v>0</v>
      </c>
    </row>
    <row r="24" spans="1:14" x14ac:dyDescent="0.25">
      <c r="A24" s="404" t="s">
        <v>246</v>
      </c>
      <c r="B24" s="405">
        <f>(+'C) Costos Directos'!$H$141-'C) Costos Directos'!$D$80)/12</f>
        <v>1108187.5896760912</v>
      </c>
      <c r="C24" s="405">
        <f>(+'C) Costos Directos'!$H$141-'C) Costos Directos'!$D$80)/12</f>
        <v>1108187.5896760912</v>
      </c>
      <c r="D24" s="405">
        <f>(+'C) Costos Directos'!$H$141-'C) Costos Directos'!$D$80)/12</f>
        <v>1108187.5896760912</v>
      </c>
      <c r="E24" s="405">
        <f>(+'C) Costos Directos'!$H$141-'C) Costos Directos'!$D$80)/12</f>
        <v>1108187.5896760912</v>
      </c>
      <c r="F24" s="405">
        <f>(+'C) Costos Directos'!$H$141-'C) Costos Directos'!$D$80)/12</f>
        <v>1108187.5896760912</v>
      </c>
      <c r="G24" s="405">
        <f>(+'C) Costos Directos'!$H$141-'C) Costos Directos'!$D$80)/12</f>
        <v>1108187.5896760912</v>
      </c>
      <c r="H24" s="405">
        <f>(+'C) Costos Directos'!$H$141-'C) Costos Directos'!$D$80)/12</f>
        <v>1108187.5896760912</v>
      </c>
      <c r="I24" s="405">
        <f>(+'C) Costos Directos'!$H$141-'C) Costos Directos'!$D$80)/12</f>
        <v>1108187.5896760912</v>
      </c>
      <c r="J24" s="405">
        <f>(+'C) Costos Directos'!$H$141-'C) Costos Directos'!$D$80)/12</f>
        <v>1108187.5896760912</v>
      </c>
      <c r="K24" s="405">
        <f>(+'C) Costos Directos'!$H$141-'C) Costos Directos'!$D$80)/12</f>
        <v>1108187.5896760912</v>
      </c>
      <c r="L24" s="405">
        <f>(+'C) Costos Directos'!$H$141-'C) Costos Directos'!$D$80)/12</f>
        <v>1108187.5896760912</v>
      </c>
      <c r="M24" s="405">
        <f>(+'C) Costos Directos'!$H$141-'C) Costos Directos'!$D$80)/12</f>
        <v>1108187.5896760912</v>
      </c>
      <c r="N24" s="406">
        <f t="shared" si="2"/>
        <v>13298251.076113096</v>
      </c>
    </row>
    <row r="25" spans="1:14" x14ac:dyDescent="0.25">
      <c r="A25" s="407" t="s">
        <v>253</v>
      </c>
      <c r="B25" s="408">
        <f t="shared" ref="B25:M25" si="3">+B21-B22-B23-B24</f>
        <v>-1108187.5896760912</v>
      </c>
      <c r="C25" s="408">
        <f t="shared" si="3"/>
        <v>1159812.4103239088</v>
      </c>
      <c r="D25" s="408">
        <f t="shared" si="3"/>
        <v>3103812.4103239086</v>
      </c>
      <c r="E25" s="408">
        <f t="shared" si="3"/>
        <v>2131812.4103239086</v>
      </c>
      <c r="F25" s="408">
        <f t="shared" si="3"/>
        <v>2131812.4103239086</v>
      </c>
      <c r="G25" s="408">
        <f t="shared" si="3"/>
        <v>2131812.4103239086</v>
      </c>
      <c r="H25" s="408">
        <f t="shared" si="3"/>
        <v>2131812.4103239086</v>
      </c>
      <c r="I25" s="408">
        <f t="shared" si="3"/>
        <v>2131812.4103239086</v>
      </c>
      <c r="J25" s="408">
        <f t="shared" si="3"/>
        <v>2131812.4103239086</v>
      </c>
      <c r="K25" s="408">
        <f t="shared" si="3"/>
        <v>2131812.4103239086</v>
      </c>
      <c r="L25" s="408">
        <f t="shared" si="3"/>
        <v>2131812.4103239086</v>
      </c>
      <c r="M25" s="408">
        <f t="shared" si="3"/>
        <v>2131812.4103239086</v>
      </c>
      <c r="N25" s="408">
        <f>+N21-N22-N23-N24</f>
        <v>22341748.923886903</v>
      </c>
    </row>
    <row r="28" spans="1:14" x14ac:dyDescent="0.25">
      <c r="A28" s="398" t="s">
        <v>256</v>
      </c>
      <c r="B28" s="399" t="s">
        <v>232</v>
      </c>
      <c r="C28" s="399" t="s">
        <v>233</v>
      </c>
      <c r="D28" s="399" t="s">
        <v>234</v>
      </c>
      <c r="E28" s="399" t="s">
        <v>235</v>
      </c>
      <c r="F28" s="399" t="s">
        <v>236</v>
      </c>
      <c r="G28" s="399" t="s">
        <v>237</v>
      </c>
      <c r="H28" s="399" t="s">
        <v>238</v>
      </c>
      <c r="I28" s="399" t="s">
        <v>239</v>
      </c>
      <c r="J28" s="399" t="s">
        <v>240</v>
      </c>
      <c r="K28" s="399" t="s">
        <v>241</v>
      </c>
      <c r="L28" s="399" t="s">
        <v>242</v>
      </c>
      <c r="M28" s="399" t="s">
        <v>243</v>
      </c>
    </row>
    <row r="29" spans="1:14" x14ac:dyDescent="0.25">
      <c r="A29" s="400" t="s">
        <v>250</v>
      </c>
      <c r="B29" s="401">
        <f>+'B) Reajuste Tarifas y Ocupación'!$I$36</f>
        <v>45</v>
      </c>
      <c r="C29" s="401">
        <f>+'B) Reajuste Tarifas y Ocupación'!$I$36</f>
        <v>45</v>
      </c>
      <c r="D29" s="401">
        <f>+'B) Reajuste Tarifas y Ocupación'!$I$36</f>
        <v>45</v>
      </c>
      <c r="E29" s="401">
        <f>+'B) Reajuste Tarifas y Ocupación'!$I$36</f>
        <v>45</v>
      </c>
      <c r="F29" s="401">
        <f>+'B) Reajuste Tarifas y Ocupación'!$I$36</f>
        <v>45</v>
      </c>
      <c r="G29" s="401">
        <f>+'B) Reajuste Tarifas y Ocupación'!$I$36</f>
        <v>45</v>
      </c>
      <c r="H29" s="401">
        <f>+'B) Reajuste Tarifas y Ocupación'!$I$36</f>
        <v>45</v>
      </c>
      <c r="I29" s="401">
        <f>+'B) Reajuste Tarifas y Ocupación'!$I$36</f>
        <v>45</v>
      </c>
      <c r="J29" s="401">
        <f>+'B) Reajuste Tarifas y Ocupación'!$I$36</f>
        <v>45</v>
      </c>
      <c r="K29" s="401">
        <f>+'B) Reajuste Tarifas y Ocupación'!$I$36</f>
        <v>45</v>
      </c>
      <c r="L29" s="401">
        <f>+'B) Reajuste Tarifas y Ocupación'!$I$36</f>
        <v>45</v>
      </c>
      <c r="M29" s="401">
        <f>+'B) Reajuste Tarifas y Ocupación'!$I$36</f>
        <v>45</v>
      </c>
    </row>
    <row r="30" spans="1:14" x14ac:dyDescent="0.25">
      <c r="A30" s="400" t="s">
        <v>251</v>
      </c>
      <c r="B30" s="401">
        <f>+COUNTA('F) Remuneraciones'!$C$29:$C$43)</f>
        <v>11</v>
      </c>
      <c r="C30" s="401">
        <f>+COUNTA('F) Remuneraciones'!$C$29:$C$43)</f>
        <v>11</v>
      </c>
      <c r="D30" s="401">
        <f>+COUNTA('F) Remuneraciones'!$C$29:$C$43)</f>
        <v>11</v>
      </c>
      <c r="E30" s="401">
        <f>+COUNTA('F) Remuneraciones'!$C$29:$C$43)</f>
        <v>11</v>
      </c>
      <c r="F30" s="401">
        <f>+COUNTA('F) Remuneraciones'!$C$29:$C$43)</f>
        <v>11</v>
      </c>
      <c r="G30" s="401">
        <f>+COUNTA('F) Remuneraciones'!$C$29:$C$43)</f>
        <v>11</v>
      </c>
      <c r="H30" s="401">
        <f>+COUNTA('F) Remuneraciones'!$C$29:$C$43)</f>
        <v>11</v>
      </c>
      <c r="I30" s="401">
        <f>+COUNTA('F) Remuneraciones'!$C$29:$C$43)</f>
        <v>11</v>
      </c>
      <c r="J30" s="401">
        <f>+COUNTA('F) Remuneraciones'!$C$29:$C$43)</f>
        <v>11</v>
      </c>
      <c r="K30" s="401">
        <f>+COUNTA('F) Remuneraciones'!$C$29:$C$43)</f>
        <v>11</v>
      </c>
      <c r="L30" s="401">
        <f>+COUNTA('F) Remuneraciones'!$C$29:$C$43)</f>
        <v>11</v>
      </c>
      <c r="M30" s="401">
        <f>+COUNTA('F) Remuneraciones'!$C$29:$C$43)</f>
        <v>11</v>
      </c>
    </row>
    <row r="31" spans="1:14" x14ac:dyDescent="0.25">
      <c r="A31" s="400"/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</row>
    <row r="32" spans="1:14" ht="30" x14ac:dyDescent="0.25">
      <c r="A32" s="403" t="s">
        <v>257</v>
      </c>
      <c r="B32" s="399" t="s">
        <v>232</v>
      </c>
      <c r="C32" s="399" t="s">
        <v>233</v>
      </c>
      <c r="D32" s="399" t="s">
        <v>234</v>
      </c>
      <c r="E32" s="399" t="s">
        <v>235</v>
      </c>
      <c r="F32" s="399" t="s">
        <v>236</v>
      </c>
      <c r="G32" s="399" t="s">
        <v>237</v>
      </c>
      <c r="H32" s="399" t="s">
        <v>238</v>
      </c>
      <c r="I32" s="399" t="s">
        <v>239</v>
      </c>
      <c r="J32" s="399" t="s">
        <v>240</v>
      </c>
      <c r="K32" s="399" t="s">
        <v>241</v>
      </c>
      <c r="L32" s="399" t="s">
        <v>242</v>
      </c>
      <c r="M32" s="399" t="s">
        <v>243</v>
      </c>
      <c r="N32" s="399" t="s">
        <v>252</v>
      </c>
    </row>
    <row r="33" spans="1:16" x14ac:dyDescent="0.25">
      <c r="A33" s="404" t="s">
        <v>244</v>
      </c>
      <c r="B33" s="405">
        <f>+('A) Resumen Ingresos y Egresos'!$N$38+'A) Resumen Ingresos y Egresos'!$O$38+'A) Resumen Ingresos y Egresos'!$N$44+'A) Resumen Ingresos y Egresos'!$O$44)/12</f>
        <v>17901000</v>
      </c>
      <c r="C33" s="405">
        <f>+('A) Resumen Ingresos y Egresos'!$N$38+'A) Resumen Ingresos y Egresos'!$O$38+'A) Resumen Ingresos y Egresos'!$N$44+'A) Resumen Ingresos y Egresos'!$O$44)/12</f>
        <v>17901000</v>
      </c>
      <c r="D33" s="405">
        <f>+('A) Resumen Ingresos y Egresos'!$N$38+'A) Resumen Ingresos y Egresos'!$O$38+'A) Resumen Ingresos y Egresos'!$N$44+'A) Resumen Ingresos y Egresos'!$O$44)/12</f>
        <v>17901000</v>
      </c>
      <c r="E33" s="405">
        <f>+('A) Resumen Ingresos y Egresos'!$N$38+'A) Resumen Ingresos y Egresos'!$O$38+'A) Resumen Ingresos y Egresos'!$N$44+'A) Resumen Ingresos y Egresos'!$O$44)/12</f>
        <v>17901000</v>
      </c>
      <c r="F33" s="405">
        <f>+('A) Resumen Ingresos y Egresos'!$N$38+'A) Resumen Ingresos y Egresos'!$O$38+'A) Resumen Ingresos y Egresos'!$N$44+'A) Resumen Ingresos y Egresos'!$O$44)/12</f>
        <v>17901000</v>
      </c>
      <c r="G33" s="405">
        <f>+('A) Resumen Ingresos y Egresos'!$N$38+'A) Resumen Ingresos y Egresos'!$O$38+'A) Resumen Ingresos y Egresos'!$N$44+'A) Resumen Ingresos y Egresos'!$O$44)/12</f>
        <v>17901000</v>
      </c>
      <c r="H33" s="405">
        <f>+('A) Resumen Ingresos y Egresos'!$N$38+'A) Resumen Ingresos y Egresos'!$O$38+'A) Resumen Ingresos y Egresos'!$N$44+'A) Resumen Ingresos y Egresos'!$O$44)/12</f>
        <v>17901000</v>
      </c>
      <c r="I33" s="405">
        <f>+('A) Resumen Ingresos y Egresos'!$N$38+'A) Resumen Ingresos y Egresos'!$O$38+'A) Resumen Ingresos y Egresos'!$N$44+'A) Resumen Ingresos y Egresos'!$O$44)/12</f>
        <v>17901000</v>
      </c>
      <c r="J33" s="405">
        <f>+('A) Resumen Ingresos y Egresos'!$N$38+'A) Resumen Ingresos y Egresos'!$O$38+'A) Resumen Ingresos y Egresos'!$N$44+'A) Resumen Ingresos y Egresos'!$O$44)/12</f>
        <v>17901000</v>
      </c>
      <c r="K33" s="405">
        <f>+('A) Resumen Ingresos y Egresos'!$N$38+'A) Resumen Ingresos y Egresos'!$O$38+'A) Resumen Ingresos y Egresos'!$N$44+'A) Resumen Ingresos y Egresos'!$O$44)/12</f>
        <v>17901000</v>
      </c>
      <c r="L33" s="405">
        <f>+('A) Resumen Ingresos y Egresos'!$N$38+'A) Resumen Ingresos y Egresos'!$O$38+'A) Resumen Ingresos y Egresos'!$N$44+'A) Resumen Ingresos y Egresos'!$O$44)/12</f>
        <v>17901000</v>
      </c>
      <c r="M33" s="405">
        <f>+('A) Resumen Ingresos y Egresos'!$N$38+'A) Resumen Ingresos y Egresos'!$O$38+'A) Resumen Ingresos y Egresos'!$N$44+'A) Resumen Ingresos y Egresos'!$O$44)/12</f>
        <v>17901000</v>
      </c>
      <c r="N33" s="406">
        <f>SUM(B33:M33)</f>
        <v>214812000</v>
      </c>
    </row>
    <row r="34" spans="1:16" x14ac:dyDescent="0.25">
      <c r="A34" s="404" t="s">
        <v>245</v>
      </c>
      <c r="B34" s="405">
        <f>SUM('F) Remuneraciones'!$H$29:$H$43)/12</f>
        <v>8433878.0750000011</v>
      </c>
      <c r="C34" s="405">
        <f>SUM('F) Remuneraciones'!$H$29:$H$43)/12</f>
        <v>8433878.0750000011</v>
      </c>
      <c r="D34" s="405">
        <f>SUM('F) Remuneraciones'!$H$29:$H$43)/12</f>
        <v>8433878.0750000011</v>
      </c>
      <c r="E34" s="405">
        <f>SUM('F) Remuneraciones'!$H$29:$H$43)/12</f>
        <v>8433878.0750000011</v>
      </c>
      <c r="F34" s="405">
        <f>SUM('F) Remuneraciones'!$H$29:$H$43)/12</f>
        <v>8433878.0750000011</v>
      </c>
      <c r="G34" s="405">
        <f>SUM('F) Remuneraciones'!$H$29:$H$43)/12</f>
        <v>8433878.0750000011</v>
      </c>
      <c r="H34" s="405">
        <f>SUM('F) Remuneraciones'!$H$29:$H$43)/12</f>
        <v>8433878.0750000011</v>
      </c>
      <c r="I34" s="405">
        <f>SUM('F) Remuneraciones'!$H$29:$H$43)/12</f>
        <v>8433878.0750000011</v>
      </c>
      <c r="J34" s="405">
        <f>SUM('F) Remuneraciones'!$H$29:$H$43)/12</f>
        <v>8433878.0750000011</v>
      </c>
      <c r="K34" s="405">
        <f>SUM('F) Remuneraciones'!$H$29:$H$43)/12</f>
        <v>8433878.0750000011</v>
      </c>
      <c r="L34" s="405">
        <f>SUM('F) Remuneraciones'!$H$29:$H$43)/12</f>
        <v>8433878.0750000011</v>
      </c>
      <c r="M34" s="405">
        <f>SUM('F) Remuneraciones'!$H$29:$H$43)/12</f>
        <v>8433878.0750000011</v>
      </c>
      <c r="N34" s="406">
        <f t="shared" ref="N34:N36" si="4">SUM(B34:M34)</f>
        <v>101206536.90000002</v>
      </c>
    </row>
    <row r="35" spans="1:16" x14ac:dyDescent="0.25">
      <c r="A35" s="404" t="s">
        <v>247</v>
      </c>
      <c r="B35" s="405">
        <f>SUM('F) Remuneraciones'!I29:I43)*0.5</f>
        <v>1239445</v>
      </c>
      <c r="C35" s="405">
        <v>0</v>
      </c>
      <c r="D35" s="405">
        <v>0</v>
      </c>
      <c r="E35" s="405">
        <v>0</v>
      </c>
      <c r="F35" s="405">
        <v>0</v>
      </c>
      <c r="G35" s="405">
        <v>0</v>
      </c>
      <c r="H35" s="405">
        <v>0</v>
      </c>
      <c r="I35" s="405">
        <v>0</v>
      </c>
      <c r="J35" s="405">
        <f>SUM('F) Remuneraciones'!J29:J43)*0.5</f>
        <v>906411</v>
      </c>
      <c r="K35" s="405">
        <v>0</v>
      </c>
      <c r="L35" s="405">
        <v>0</v>
      </c>
      <c r="M35" s="405">
        <f>+B35+J35</f>
        <v>2145856</v>
      </c>
      <c r="N35" s="406">
        <f t="shared" si="4"/>
        <v>4291712</v>
      </c>
    </row>
    <row r="36" spans="1:16" x14ac:dyDescent="0.25">
      <c r="A36" s="404" t="s">
        <v>246</v>
      </c>
      <c r="B36" s="405">
        <f>+('C) Costos Directos'!$H$207-'C) Costos Directos'!$D$146)/12</f>
        <v>3386327.3523616069</v>
      </c>
      <c r="C36" s="405">
        <f>+('C) Costos Directos'!$H$207-'C) Costos Directos'!$D$146)/12</f>
        <v>3386327.3523616069</v>
      </c>
      <c r="D36" s="405">
        <f>+('C) Costos Directos'!$H$207-'C) Costos Directos'!$D$146)/12</f>
        <v>3386327.3523616069</v>
      </c>
      <c r="E36" s="405">
        <f>+('C) Costos Directos'!$H$207-'C) Costos Directos'!$D$146)/12</f>
        <v>3386327.3523616069</v>
      </c>
      <c r="F36" s="405">
        <f>+('C) Costos Directos'!$H$207-'C) Costos Directos'!$D$146)/12</f>
        <v>3386327.3523616069</v>
      </c>
      <c r="G36" s="405">
        <f>+('C) Costos Directos'!$H$207-'C) Costos Directos'!$D$146)/12</f>
        <v>3386327.3523616069</v>
      </c>
      <c r="H36" s="405">
        <f>+('C) Costos Directos'!$H$207-'C) Costos Directos'!$D$146)/12</f>
        <v>3386327.3523616069</v>
      </c>
      <c r="I36" s="405">
        <f>+('C) Costos Directos'!$H$207-'C) Costos Directos'!$D$146)/12</f>
        <v>3386327.3523616069</v>
      </c>
      <c r="J36" s="405">
        <f>+('C) Costos Directos'!$H$207-'C) Costos Directos'!$D$146)/12</f>
        <v>3386327.3523616069</v>
      </c>
      <c r="K36" s="405">
        <f>+('C) Costos Directos'!$H$207-'C) Costos Directos'!$D$146)/12</f>
        <v>3386327.3523616069</v>
      </c>
      <c r="L36" s="405">
        <f>+('C) Costos Directos'!$H$207-'C) Costos Directos'!$D$146)/12</f>
        <v>3386327.3523616069</v>
      </c>
      <c r="M36" s="405">
        <f>+('C) Costos Directos'!$H$207-'C) Costos Directos'!$D$146)/12</f>
        <v>3386327.3523616069</v>
      </c>
      <c r="N36" s="406">
        <f t="shared" si="4"/>
        <v>40635928.228339285</v>
      </c>
    </row>
    <row r="37" spans="1:16" x14ac:dyDescent="0.25">
      <c r="A37" s="407" t="s">
        <v>253</v>
      </c>
      <c r="B37" s="408">
        <f t="shared" ref="B37:M37" si="5">+B33-B34-B35-B36</f>
        <v>4841349.5726383924</v>
      </c>
      <c r="C37" s="408">
        <f t="shared" si="5"/>
        <v>6080794.5726383924</v>
      </c>
      <c r="D37" s="408">
        <f t="shared" si="5"/>
        <v>6080794.5726383924</v>
      </c>
      <c r="E37" s="408">
        <f t="shared" si="5"/>
        <v>6080794.5726383924</v>
      </c>
      <c r="F37" s="408">
        <f t="shared" si="5"/>
        <v>6080794.5726383924</v>
      </c>
      <c r="G37" s="408">
        <f t="shared" si="5"/>
        <v>6080794.5726383924</v>
      </c>
      <c r="H37" s="408">
        <f t="shared" si="5"/>
        <v>6080794.5726383924</v>
      </c>
      <c r="I37" s="408">
        <f t="shared" si="5"/>
        <v>6080794.5726383924</v>
      </c>
      <c r="J37" s="408">
        <f t="shared" si="5"/>
        <v>5174383.5726383924</v>
      </c>
      <c r="K37" s="408">
        <f t="shared" si="5"/>
        <v>6080794.5726383924</v>
      </c>
      <c r="L37" s="408">
        <f t="shared" si="5"/>
        <v>6080794.5726383924</v>
      </c>
      <c r="M37" s="408">
        <f t="shared" si="5"/>
        <v>3934938.572638392</v>
      </c>
      <c r="N37" s="408">
        <f>+N33-N34-N35-N36</f>
        <v>68677822.871660694</v>
      </c>
    </row>
    <row r="40" spans="1:16" x14ac:dyDescent="0.25">
      <c r="A40" s="398" t="s">
        <v>256</v>
      </c>
      <c r="B40" s="399" t="s">
        <v>232</v>
      </c>
      <c r="C40" s="399" t="s">
        <v>233</v>
      </c>
      <c r="D40" s="399" t="s">
        <v>234</v>
      </c>
      <c r="E40" s="399" t="s">
        <v>235</v>
      </c>
      <c r="F40" s="399" t="s">
        <v>236</v>
      </c>
      <c r="G40" s="399" t="s">
        <v>237</v>
      </c>
      <c r="H40" s="399" t="s">
        <v>238</v>
      </c>
      <c r="I40" s="399" t="s">
        <v>239</v>
      </c>
      <c r="J40" s="399" t="s">
        <v>240</v>
      </c>
      <c r="K40" s="399" t="s">
        <v>241</v>
      </c>
      <c r="L40" s="399" t="s">
        <v>242</v>
      </c>
      <c r="M40" s="399" t="s">
        <v>243</v>
      </c>
    </row>
    <row r="41" spans="1:16" x14ac:dyDescent="0.25">
      <c r="A41" s="400" t="s">
        <v>250</v>
      </c>
      <c r="B41" s="401">
        <f>+'B) Reajuste Tarifas y Ocupación'!$H$35</f>
        <v>28</v>
      </c>
      <c r="C41" s="401">
        <f>+'B) Reajuste Tarifas y Ocupación'!$H$35</f>
        <v>28</v>
      </c>
      <c r="D41" s="401">
        <f>+'B) Reajuste Tarifas y Ocupación'!$H$35</f>
        <v>28</v>
      </c>
      <c r="E41" s="401">
        <f>+'B) Reajuste Tarifas y Ocupación'!$H$35</f>
        <v>28</v>
      </c>
      <c r="F41" s="401">
        <f>+'B) Reajuste Tarifas y Ocupación'!$H$35</f>
        <v>28</v>
      </c>
      <c r="G41" s="401">
        <f>+'B) Reajuste Tarifas y Ocupación'!$H$35</f>
        <v>28</v>
      </c>
      <c r="H41" s="401">
        <f>+'B) Reajuste Tarifas y Ocupación'!$H$35</f>
        <v>28</v>
      </c>
      <c r="I41" s="401">
        <f>+'B) Reajuste Tarifas y Ocupación'!$H$35</f>
        <v>28</v>
      </c>
      <c r="J41" s="401">
        <f>+'B) Reajuste Tarifas y Ocupación'!$H$35</f>
        <v>28</v>
      </c>
      <c r="K41" s="401">
        <f>+'B) Reajuste Tarifas y Ocupación'!$H$35</f>
        <v>28</v>
      </c>
      <c r="L41" s="401">
        <f>+'B) Reajuste Tarifas y Ocupación'!$H$35</f>
        <v>28</v>
      </c>
      <c r="M41" s="401">
        <f>+'B) Reajuste Tarifas y Ocupación'!$H$35</f>
        <v>28</v>
      </c>
    </row>
    <row r="42" spans="1:16" x14ac:dyDescent="0.25">
      <c r="A42" s="400" t="s">
        <v>251</v>
      </c>
      <c r="B42" s="401">
        <f>+COUNTA('F) Remuneraciones'!$C$44:$C$58)</f>
        <v>4</v>
      </c>
      <c r="C42" s="401">
        <f>+COUNTA('F) Remuneraciones'!$C$44:$C$58)</f>
        <v>4</v>
      </c>
      <c r="D42" s="401">
        <f>+COUNTA('F) Remuneraciones'!$C$44:$C$58)</f>
        <v>4</v>
      </c>
      <c r="E42" s="401">
        <f>+COUNTA('F) Remuneraciones'!$C$44:$C$58)</f>
        <v>4</v>
      </c>
      <c r="F42" s="401">
        <f>+COUNTA('F) Remuneraciones'!$C$44:$C$58)</f>
        <v>4</v>
      </c>
      <c r="G42" s="401">
        <f>+COUNTA('F) Remuneraciones'!$C$44:$C$58)</f>
        <v>4</v>
      </c>
      <c r="H42" s="401">
        <f>+COUNTA('F) Remuneraciones'!$C$44:$C$58)</f>
        <v>4</v>
      </c>
      <c r="I42" s="401">
        <f>+COUNTA('F) Remuneraciones'!$C$44:$C$58)</f>
        <v>4</v>
      </c>
      <c r="J42" s="401">
        <f>+COUNTA('F) Remuneraciones'!$C$44:$C$58)</f>
        <v>4</v>
      </c>
      <c r="K42" s="401">
        <f>+COUNTA('F) Remuneraciones'!$C$44:$C$58)</f>
        <v>4</v>
      </c>
      <c r="L42" s="401">
        <f>+COUNTA('F) Remuneraciones'!$C$44:$C$58)</f>
        <v>4</v>
      </c>
      <c r="M42" s="401">
        <f>+COUNTA('F) Remuneraciones'!$C$44:$C$58)</f>
        <v>4</v>
      </c>
    </row>
    <row r="43" spans="1:16" x14ac:dyDescent="0.25">
      <c r="A43" s="400"/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P43" s="405"/>
    </row>
    <row r="44" spans="1:16" ht="30" x14ac:dyDescent="0.25">
      <c r="A44" s="403" t="s">
        <v>258</v>
      </c>
      <c r="B44" s="399" t="s">
        <v>232</v>
      </c>
      <c r="C44" s="399" t="s">
        <v>233</v>
      </c>
      <c r="D44" s="399" t="s">
        <v>234</v>
      </c>
      <c r="E44" s="399" t="s">
        <v>235</v>
      </c>
      <c r="F44" s="399" t="s">
        <v>236</v>
      </c>
      <c r="G44" s="399" t="s">
        <v>237</v>
      </c>
      <c r="H44" s="399" t="s">
        <v>238</v>
      </c>
      <c r="I44" s="399" t="s">
        <v>239</v>
      </c>
      <c r="J44" s="399" t="s">
        <v>240</v>
      </c>
      <c r="K44" s="399" t="s">
        <v>241</v>
      </c>
      <c r="L44" s="399" t="s">
        <v>242</v>
      </c>
      <c r="M44" s="399" t="s">
        <v>243</v>
      </c>
      <c r="N44" s="399" t="s">
        <v>252</v>
      </c>
    </row>
    <row r="45" spans="1:16" x14ac:dyDescent="0.25">
      <c r="A45" s="404" t="s">
        <v>244</v>
      </c>
      <c r="B45" s="405">
        <f>+'A) Resumen Ingresos y Egresos'!$O$41/12</f>
        <v>8985200</v>
      </c>
      <c r="C45" s="405">
        <f>+'A) Resumen Ingresos y Egresos'!$O$41/12</f>
        <v>8985200</v>
      </c>
      <c r="D45" s="405">
        <f>+'A) Resumen Ingresos y Egresos'!$O$41/12</f>
        <v>8985200</v>
      </c>
      <c r="E45" s="405">
        <f>+'A) Resumen Ingresos y Egresos'!$O$41/12</f>
        <v>8985200</v>
      </c>
      <c r="F45" s="405">
        <f>+'A) Resumen Ingresos y Egresos'!$O$41/12</f>
        <v>8985200</v>
      </c>
      <c r="G45" s="405">
        <f>+'A) Resumen Ingresos y Egresos'!$O$41/12</f>
        <v>8985200</v>
      </c>
      <c r="H45" s="405">
        <f>+'A) Resumen Ingresos y Egresos'!$O$41/12</f>
        <v>8985200</v>
      </c>
      <c r="I45" s="405">
        <f>+'A) Resumen Ingresos y Egresos'!$O$41/12</f>
        <v>8985200</v>
      </c>
      <c r="J45" s="405">
        <f>+'A) Resumen Ingresos y Egresos'!$O$41/12</f>
        <v>8985200</v>
      </c>
      <c r="K45" s="405">
        <f>+'A) Resumen Ingresos y Egresos'!$O$41/12</f>
        <v>8985200</v>
      </c>
      <c r="L45" s="405">
        <f>+'A) Resumen Ingresos y Egresos'!$O$41/12</f>
        <v>8985200</v>
      </c>
      <c r="M45" s="405">
        <f>+'A) Resumen Ingresos y Egresos'!$O$41/12</f>
        <v>8985200</v>
      </c>
      <c r="N45" s="406">
        <f>SUM(B45:M45)</f>
        <v>107822400</v>
      </c>
    </row>
    <row r="46" spans="1:16" x14ac:dyDescent="0.25">
      <c r="A46" s="404" t="s">
        <v>245</v>
      </c>
      <c r="B46" s="405">
        <f>SUM('F) Remuneraciones'!$H$44:$H$58)/12</f>
        <v>4151913.15</v>
      </c>
      <c r="C46" s="405">
        <f>SUM('F) Remuneraciones'!$H$44:$H$58)/12</f>
        <v>4151913.15</v>
      </c>
      <c r="D46" s="405">
        <f>SUM('F) Remuneraciones'!$H$44:$H$58)/12</f>
        <v>4151913.15</v>
      </c>
      <c r="E46" s="405">
        <f>SUM('F) Remuneraciones'!$H$44:$H$58)/12</f>
        <v>4151913.15</v>
      </c>
      <c r="F46" s="405">
        <f>SUM('F) Remuneraciones'!$H$44:$H$58)/12</f>
        <v>4151913.15</v>
      </c>
      <c r="G46" s="405">
        <f>SUM('F) Remuneraciones'!$H$44:$H$58)/12</f>
        <v>4151913.15</v>
      </c>
      <c r="H46" s="405">
        <f>SUM('F) Remuneraciones'!$H$44:$H$58)/12</f>
        <v>4151913.15</v>
      </c>
      <c r="I46" s="405">
        <f>SUM('F) Remuneraciones'!$H$44:$H$58)/12</f>
        <v>4151913.15</v>
      </c>
      <c r="J46" s="405">
        <f>SUM('F) Remuneraciones'!$H$44:$H$58)/12</f>
        <v>4151913.15</v>
      </c>
      <c r="K46" s="405">
        <f>SUM('F) Remuneraciones'!$H$44:$H$58)/12</f>
        <v>4151913.15</v>
      </c>
      <c r="L46" s="405">
        <f>SUM('F) Remuneraciones'!$H$44:$H$58)/12</f>
        <v>4151913.15</v>
      </c>
      <c r="M46" s="405">
        <f>SUM('F) Remuneraciones'!$H$44:$H$58)/12</f>
        <v>4151913.15</v>
      </c>
      <c r="N46" s="406">
        <f t="shared" ref="N46:N48" si="6">SUM(B46:M46)</f>
        <v>49822957.79999999</v>
      </c>
    </row>
    <row r="47" spans="1:16" x14ac:dyDescent="0.25">
      <c r="A47" s="404" t="s">
        <v>247</v>
      </c>
      <c r="B47" s="405">
        <f>SUM('F) Remuneraciones'!I44:I58)*0.5</f>
        <v>330540</v>
      </c>
      <c r="C47" s="405">
        <v>0</v>
      </c>
      <c r="D47" s="405">
        <v>0</v>
      </c>
      <c r="E47" s="405">
        <v>0</v>
      </c>
      <c r="F47" s="405">
        <v>0</v>
      </c>
      <c r="G47" s="405">
        <v>0</v>
      </c>
      <c r="H47" s="405">
        <v>0</v>
      </c>
      <c r="I47" s="405">
        <v>0</v>
      </c>
      <c r="J47" s="405">
        <f>SUM('F) Remuneraciones'!J44:J58)*0.5</f>
        <v>324788</v>
      </c>
      <c r="K47" s="405">
        <v>0</v>
      </c>
      <c r="L47" s="405">
        <v>0</v>
      </c>
      <c r="M47" s="405">
        <f>+B47+J47</f>
        <v>655328</v>
      </c>
      <c r="N47" s="406">
        <f t="shared" si="6"/>
        <v>1310656</v>
      </c>
    </row>
    <row r="48" spans="1:16" x14ac:dyDescent="0.25">
      <c r="A48" s="404" t="s">
        <v>246</v>
      </c>
      <c r="B48" s="405">
        <f>+('C) Costos Directos'!$H$273-'C) Costos Directos'!$D$212)/12</f>
        <v>1096630.8396760914</v>
      </c>
      <c r="C48" s="405">
        <f>+('C) Costos Directos'!$H$273-'C) Costos Directos'!$D$212)/12</f>
        <v>1096630.8396760914</v>
      </c>
      <c r="D48" s="405">
        <f>+('C) Costos Directos'!$H$273-'C) Costos Directos'!$D$212)/12</f>
        <v>1096630.8396760914</v>
      </c>
      <c r="E48" s="405">
        <f>+('C) Costos Directos'!$H$273-'C) Costos Directos'!$D$212)/12</f>
        <v>1096630.8396760914</v>
      </c>
      <c r="F48" s="405">
        <f>+('C) Costos Directos'!$H$273-'C) Costos Directos'!$D$212)/12</f>
        <v>1096630.8396760914</v>
      </c>
      <c r="G48" s="405">
        <f>+('C) Costos Directos'!$H$273-'C) Costos Directos'!$D$212)/12</f>
        <v>1096630.8396760914</v>
      </c>
      <c r="H48" s="405">
        <f>+('C) Costos Directos'!$H$273-'C) Costos Directos'!$D$212)/12</f>
        <v>1096630.8396760914</v>
      </c>
      <c r="I48" s="405">
        <f>+('C) Costos Directos'!$H$273-'C) Costos Directos'!$D$212)/12</f>
        <v>1096630.8396760914</v>
      </c>
      <c r="J48" s="405">
        <f>+('C) Costos Directos'!$H$273-'C) Costos Directos'!$D$212)/12</f>
        <v>1096630.8396760914</v>
      </c>
      <c r="K48" s="405">
        <f>+('C) Costos Directos'!$H$273-'C) Costos Directos'!$D$212)/12</f>
        <v>1096630.8396760914</v>
      </c>
      <c r="L48" s="405">
        <f>+('C) Costos Directos'!$H$273-'C) Costos Directos'!$D$212)/12</f>
        <v>1096630.8396760914</v>
      </c>
      <c r="M48" s="405">
        <f>+('C) Costos Directos'!$H$273-'C) Costos Directos'!$D$212)/12</f>
        <v>1096630.8396760914</v>
      </c>
      <c r="N48" s="406">
        <f t="shared" si="6"/>
        <v>13159570.076113097</v>
      </c>
    </row>
    <row r="49" spans="1:14" x14ac:dyDescent="0.25">
      <c r="A49" s="407" t="s">
        <v>253</v>
      </c>
      <c r="B49" s="408">
        <f t="shared" ref="B49:M49" si="7">+B45-B46-B47-B48</f>
        <v>3406116.0103239082</v>
      </c>
      <c r="C49" s="408">
        <f t="shared" si="7"/>
        <v>3736656.0103239082</v>
      </c>
      <c r="D49" s="408">
        <f t="shared" si="7"/>
        <v>3736656.0103239082</v>
      </c>
      <c r="E49" s="408">
        <f t="shared" si="7"/>
        <v>3736656.0103239082</v>
      </c>
      <c r="F49" s="408">
        <f t="shared" si="7"/>
        <v>3736656.0103239082</v>
      </c>
      <c r="G49" s="408">
        <f t="shared" si="7"/>
        <v>3736656.0103239082</v>
      </c>
      <c r="H49" s="408">
        <f t="shared" si="7"/>
        <v>3736656.0103239082</v>
      </c>
      <c r="I49" s="408">
        <f t="shared" si="7"/>
        <v>3736656.0103239082</v>
      </c>
      <c r="J49" s="408">
        <f t="shared" si="7"/>
        <v>3411868.0103239082</v>
      </c>
      <c r="K49" s="408">
        <f t="shared" si="7"/>
        <v>3736656.0103239082</v>
      </c>
      <c r="L49" s="408">
        <f t="shared" si="7"/>
        <v>3736656.0103239082</v>
      </c>
      <c r="M49" s="408">
        <f t="shared" si="7"/>
        <v>3081328.0103239082</v>
      </c>
      <c r="N49" s="408">
        <f>+N45-N46-N47-N48</f>
        <v>43529216.123886913</v>
      </c>
    </row>
    <row r="53" spans="1:14" x14ac:dyDescent="0.25">
      <c r="N53" s="405"/>
    </row>
  </sheetData>
  <sheetProtection algorithmName="SHA-512" hashValue="vEM9tIpruTq6BFg03bTqpJg2TxHlQSkDmlA8mjVD/XlUUZQH0slZp2Zb4Sv14ILBC//121cSMHXG/HLcPepB4Q==" saltValue="Q/otkG8YA+C1qiq3cyYi+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C00FF"/>
  </sheetPr>
  <dimension ref="B1:S56"/>
  <sheetViews>
    <sheetView showGridLines="0" zoomScale="80" zoomScaleNormal="80" workbookViewId="0">
      <selection activeCell="Q18" sqref="Q18"/>
    </sheetView>
  </sheetViews>
  <sheetFormatPr baseColWidth="10" defaultColWidth="11.42578125" defaultRowHeight="12.75" x14ac:dyDescent="0.2"/>
  <sheetData>
    <row r="1" spans="2:11" x14ac:dyDescent="0.2">
      <c r="H1" s="33"/>
    </row>
    <row r="2" spans="2:11" x14ac:dyDescent="0.2">
      <c r="H2" s="33" t="s">
        <v>84</v>
      </c>
    </row>
    <row r="5" spans="2:11" x14ac:dyDescent="0.2">
      <c r="B5" s="776" t="s">
        <v>164</v>
      </c>
      <c r="C5" s="776"/>
      <c r="D5" s="776"/>
      <c r="E5" s="776"/>
      <c r="F5" s="776"/>
    </row>
    <row r="7" spans="2:11" x14ac:dyDescent="0.2">
      <c r="C7" s="133" t="s">
        <v>149</v>
      </c>
      <c r="D7" s="133"/>
      <c r="E7" s="133"/>
      <c r="F7" s="133"/>
      <c r="G7" s="133"/>
      <c r="H7" s="133"/>
      <c r="I7" s="133"/>
      <c r="J7" s="133"/>
      <c r="K7" s="133"/>
    </row>
    <row r="9" spans="2:11" x14ac:dyDescent="0.2">
      <c r="C9" s="133" t="s">
        <v>150</v>
      </c>
      <c r="D9" s="133"/>
      <c r="E9" s="133"/>
      <c r="F9" s="133"/>
      <c r="G9" s="133"/>
      <c r="H9" s="133"/>
    </row>
    <row r="11" spans="2:11" x14ac:dyDescent="0.2">
      <c r="B11" s="776" t="s">
        <v>165</v>
      </c>
      <c r="C11" s="776"/>
      <c r="D11" s="776"/>
      <c r="E11" s="776"/>
      <c r="F11" s="776"/>
    </row>
    <row r="13" spans="2:11" x14ac:dyDescent="0.2">
      <c r="C13" s="134" t="s">
        <v>151</v>
      </c>
      <c r="D13" s="134"/>
      <c r="E13" s="134"/>
      <c r="F13" s="134"/>
      <c r="G13" s="134"/>
      <c r="H13" s="134"/>
    </row>
    <row r="15" spans="2:11" x14ac:dyDescent="0.2">
      <c r="C15" s="134" t="s">
        <v>152</v>
      </c>
      <c r="D15" s="134"/>
      <c r="E15" s="134"/>
      <c r="F15" s="134"/>
      <c r="G15" s="134"/>
      <c r="H15" s="134"/>
    </row>
    <row r="19" spans="2:16" x14ac:dyDescent="0.2">
      <c r="B19" s="776" t="s">
        <v>166</v>
      </c>
      <c r="C19" s="776"/>
      <c r="D19" s="776"/>
      <c r="E19" s="776"/>
      <c r="F19" s="776"/>
    </row>
    <row r="21" spans="2:16" x14ac:dyDescent="0.2">
      <c r="C21" s="134" t="s">
        <v>154</v>
      </c>
      <c r="D21" s="134"/>
      <c r="E21" s="134"/>
      <c r="F21" s="135"/>
      <c r="G21" s="135"/>
      <c r="H21" s="135"/>
    </row>
    <row r="22" spans="2:16" x14ac:dyDescent="0.2">
      <c r="C22" s="777"/>
      <c r="D22" s="777"/>
      <c r="E22" s="777"/>
      <c r="F22" s="777"/>
      <c r="G22" s="777"/>
      <c r="H22" s="777"/>
      <c r="I22" s="777"/>
      <c r="J22" s="777"/>
      <c r="K22" s="777"/>
    </row>
    <row r="24" spans="2:16" x14ac:dyDescent="0.2">
      <c r="B24" s="776" t="s">
        <v>167</v>
      </c>
      <c r="C24" s="776"/>
      <c r="D24" s="776"/>
      <c r="E24" s="776"/>
      <c r="F24" s="776"/>
    </row>
    <row r="26" spans="2:16" x14ac:dyDescent="0.2">
      <c r="C26" s="136" t="s">
        <v>155</v>
      </c>
      <c r="D26" s="136"/>
      <c r="E26" s="136"/>
      <c r="F26" s="136"/>
      <c r="G26" s="136"/>
      <c r="H26" s="136"/>
      <c r="I26" s="136"/>
      <c r="J26" s="136"/>
    </row>
    <row r="27" spans="2:16" ht="12.75" customHeight="1" x14ac:dyDescent="0.2">
      <c r="C27" s="778" t="s">
        <v>156</v>
      </c>
      <c r="D27" s="778"/>
      <c r="E27" s="778"/>
      <c r="F27" s="778"/>
      <c r="G27" s="778"/>
      <c r="H27" s="778"/>
      <c r="I27" s="778"/>
      <c r="J27" s="778"/>
      <c r="K27" s="778"/>
      <c r="L27" s="778"/>
      <c r="M27" s="778"/>
    </row>
    <row r="28" spans="2:16" ht="12.75" customHeight="1" x14ac:dyDescent="0.2">
      <c r="C28" s="778"/>
      <c r="D28" s="778"/>
      <c r="E28" s="778"/>
      <c r="F28" s="778"/>
      <c r="G28" s="778"/>
      <c r="H28" s="778"/>
      <c r="I28" s="778"/>
      <c r="J28" s="778"/>
      <c r="K28" s="778"/>
      <c r="L28" s="778"/>
      <c r="M28" s="778"/>
    </row>
    <row r="29" spans="2:16" ht="12.75" customHeight="1" x14ac:dyDescent="0.2">
      <c r="C29" s="136" t="s">
        <v>157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5"/>
    </row>
    <row r="30" spans="2:16" ht="12.75" customHeight="1" x14ac:dyDescent="0.2"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5"/>
    </row>
    <row r="31" spans="2:16" ht="12.75" customHeight="1" x14ac:dyDescent="0.2">
      <c r="C31" s="140" t="s">
        <v>158</v>
      </c>
      <c r="D31" s="137"/>
      <c r="E31" s="137"/>
      <c r="F31" s="139"/>
      <c r="G31" s="137"/>
      <c r="H31" s="137"/>
      <c r="I31" s="137"/>
      <c r="J31" s="137"/>
      <c r="K31" s="137"/>
      <c r="L31" s="137"/>
      <c r="M31" s="137"/>
      <c r="N31" s="135"/>
      <c r="O31" s="135"/>
      <c r="P31" s="135"/>
    </row>
    <row r="32" spans="2:16" ht="12.75" customHeight="1" x14ac:dyDescent="0.2">
      <c r="C32" s="138"/>
      <c r="D32" s="138"/>
      <c r="E32" s="138"/>
      <c r="F32" s="138"/>
      <c r="G32" s="138"/>
      <c r="H32" s="138"/>
      <c r="I32" s="137"/>
      <c r="J32" s="137"/>
      <c r="K32" s="137"/>
      <c r="L32" s="137"/>
      <c r="M32" s="137"/>
      <c r="N32" s="135"/>
    </row>
    <row r="33" spans="2:19" ht="12.75" customHeight="1" x14ac:dyDescent="0.2">
      <c r="C33" s="779" t="s">
        <v>159</v>
      </c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135"/>
    </row>
    <row r="34" spans="2:19" ht="12.75" customHeight="1" x14ac:dyDescent="0.2">
      <c r="C34" s="104"/>
      <c r="D34" s="104"/>
      <c r="E34" s="104"/>
      <c r="F34" s="104"/>
      <c r="G34" s="104"/>
      <c r="H34" s="104"/>
      <c r="I34" s="136"/>
      <c r="J34" s="136"/>
      <c r="K34" s="136"/>
      <c r="L34" s="136"/>
      <c r="M34" s="136"/>
      <c r="N34" s="135"/>
    </row>
    <row r="35" spans="2:19" ht="12.75" customHeight="1" x14ac:dyDescent="0.2">
      <c r="C35" s="137" t="s">
        <v>160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5"/>
    </row>
    <row r="36" spans="2:19" ht="12.75" customHeight="1" x14ac:dyDescent="0.2">
      <c r="C36" s="138"/>
      <c r="D36" s="138"/>
      <c r="E36" s="138"/>
      <c r="F36" s="138"/>
      <c r="G36" s="138"/>
      <c r="H36" s="138"/>
      <c r="I36" s="137"/>
      <c r="J36" s="137"/>
      <c r="K36" s="137"/>
      <c r="L36" s="137"/>
      <c r="M36" s="137"/>
      <c r="N36" s="135"/>
    </row>
    <row r="37" spans="2:19" ht="12.75" customHeight="1" x14ac:dyDescent="0.2"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2:19" ht="12.75" customHeight="1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2:19" ht="12.75" customHeight="1" x14ac:dyDescent="0.2">
      <c r="B39" s="140" t="s">
        <v>168</v>
      </c>
      <c r="C39" s="13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0" spans="2:19" x14ac:dyDescent="0.2">
      <c r="O40" s="777"/>
      <c r="P40" s="777"/>
      <c r="Q40" s="777"/>
      <c r="R40" s="777"/>
      <c r="S40" s="777"/>
    </row>
    <row r="41" spans="2:19" x14ac:dyDescent="0.2">
      <c r="C41" s="780" t="s">
        <v>161</v>
      </c>
      <c r="D41" s="780"/>
      <c r="E41" s="780"/>
      <c r="F41" s="780"/>
    </row>
    <row r="42" spans="2:19" x14ac:dyDescent="0.2">
      <c r="C42" s="777"/>
      <c r="D42" s="777"/>
      <c r="E42" s="777"/>
      <c r="F42" s="777"/>
      <c r="G42" s="777"/>
      <c r="H42" s="777"/>
      <c r="I42" s="777"/>
      <c r="J42" s="777"/>
    </row>
    <row r="44" spans="2:19" x14ac:dyDescent="0.2">
      <c r="B44" s="776" t="s">
        <v>169</v>
      </c>
      <c r="C44" s="776"/>
      <c r="D44" s="776"/>
      <c r="E44" s="776"/>
      <c r="F44" s="776"/>
    </row>
    <row r="46" spans="2:19" x14ac:dyDescent="0.2">
      <c r="C46" s="141" t="s">
        <v>162</v>
      </c>
      <c r="D46" s="141"/>
      <c r="E46" s="141"/>
      <c r="F46" s="141"/>
      <c r="G46" s="141"/>
      <c r="H46" s="141"/>
      <c r="I46" s="141"/>
      <c r="J46" s="141"/>
      <c r="K46" s="142"/>
      <c r="L46" s="142"/>
      <c r="M46" s="142"/>
    </row>
    <row r="50" spans="2:13" x14ac:dyDescent="0.2">
      <c r="B50" s="776" t="s">
        <v>170</v>
      </c>
      <c r="C50" s="776"/>
      <c r="D50" s="776"/>
      <c r="E50" s="776"/>
      <c r="F50" s="776"/>
    </row>
    <row r="52" spans="2:13" x14ac:dyDescent="0.2">
      <c r="C52" s="136" t="s">
        <v>163</v>
      </c>
      <c r="D52" s="136"/>
      <c r="E52" s="136"/>
      <c r="F52" s="136"/>
      <c r="G52" s="135"/>
      <c r="H52" s="135"/>
      <c r="I52" s="135"/>
      <c r="J52" s="135"/>
      <c r="K52" s="135"/>
      <c r="L52" s="135"/>
      <c r="M52" s="135"/>
    </row>
    <row r="54" spans="2:13" x14ac:dyDescent="0.2">
      <c r="B54" s="135" t="s">
        <v>171</v>
      </c>
      <c r="C54" s="135"/>
    </row>
    <row r="56" spans="2:13" x14ac:dyDescent="0.2">
      <c r="B56" s="781" t="s">
        <v>248</v>
      </c>
      <c r="C56" s="781"/>
      <c r="D56" s="781"/>
    </row>
  </sheetData>
  <sheetProtection algorithmName="SHA-512" hashValue="+9pTAQVnHI/Q1Rh5NEIxES4MoGE1wqW+ZrectB+PwZoZeUO61iNEh8WctyQLpwaWu8XANY1VGCrdy63BwSntWA==" saltValue="7Dh3JQ1RO95+Of3Td79tSw==" spinCount="100000" sheet="1" objects="1" scenarios="1"/>
  <mergeCells count="13">
    <mergeCell ref="B56:D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:D56" location="'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0.39997558519241921"/>
    <pageSetUpPr fitToPage="1"/>
  </sheetPr>
  <dimension ref="A1:IM46"/>
  <sheetViews>
    <sheetView showGridLines="0" tabSelected="1" zoomScale="80" zoomScaleNormal="80" workbookViewId="0">
      <selection activeCell="I14" sqref="I14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3" t="s">
        <v>204</v>
      </c>
      <c r="F1" s="33"/>
      <c r="IL1" s="2"/>
      <c r="IM1" s="2"/>
    </row>
    <row r="2" spans="1:247" s="4" customFormat="1" x14ac:dyDescent="0.2">
      <c r="A2" s="5"/>
      <c r="E2" s="33" t="s">
        <v>197</v>
      </c>
      <c r="F2" s="33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9"/>
      <c r="C4" s="798" t="s">
        <v>0</v>
      </c>
      <c r="D4" s="798"/>
      <c r="E4" s="799" t="s">
        <v>145</v>
      </c>
      <c r="F4" s="800"/>
      <c r="G4" s="801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807" t="s">
        <v>149</v>
      </c>
      <c r="B6" s="807"/>
      <c r="C6" s="807"/>
      <c r="D6" s="807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x14ac:dyDescent="0.2">
      <c r="B7" s="4"/>
      <c r="C7" s="4"/>
      <c r="E7" s="42"/>
      <c r="F7" s="4"/>
      <c r="G7" s="4"/>
      <c r="H7" s="4"/>
      <c r="I7" s="4"/>
      <c r="M7" s="43"/>
    </row>
    <row r="8" spans="1:247" ht="39" customHeight="1" x14ac:dyDescent="0.2">
      <c r="A8" s="7" t="s">
        <v>114</v>
      </c>
      <c r="B8" s="50" t="str">
        <f>+N20</f>
        <v>Ingreso por Matrícula</v>
      </c>
      <c r="C8" s="51" t="str">
        <f>+O20</f>
        <v>Ingreso por Mensualidad</v>
      </c>
      <c r="D8" s="52" t="s">
        <v>126</v>
      </c>
      <c r="E8" s="53" t="s">
        <v>82</v>
      </c>
      <c r="F8" s="35" t="s">
        <v>79</v>
      </c>
      <c r="G8" s="36" t="s">
        <v>80</v>
      </c>
      <c r="H8" s="37" t="s">
        <v>107</v>
      </c>
      <c r="I8" s="8" t="s">
        <v>113</v>
      </c>
      <c r="L8" s="54" t="s">
        <v>112</v>
      </c>
      <c r="N8" s="80"/>
    </row>
    <row r="9" spans="1:247" x14ac:dyDescent="0.2">
      <c r="A9" s="49" t="str">
        <f>+'B) Reajuste Tarifas y Ocupación'!A12</f>
        <v>Jardín Infantil Tortuguita Marina</v>
      </c>
      <c r="B9" s="55">
        <f>N28</f>
        <v>3035600</v>
      </c>
      <c r="C9" s="62">
        <f>+O28</f>
        <v>30356000</v>
      </c>
      <c r="D9" s="64">
        <f>+P28</f>
        <v>0</v>
      </c>
      <c r="E9" s="57">
        <f>+B9+D9+C9</f>
        <v>33391600</v>
      </c>
      <c r="F9" s="38">
        <f>'C) Costos Directos'!H75</f>
        <v>29206430.800000001</v>
      </c>
      <c r="G9" s="39">
        <f>+'D) Costos Indirectos'!$AP$15*(F9/$F$13)</f>
        <v>4648412.1069829036</v>
      </c>
      <c r="H9" s="41">
        <f>+F9+G9</f>
        <v>33854842.906982906</v>
      </c>
      <c r="I9" s="63">
        <f>E9-H9</f>
        <v>-463242.90698290616</v>
      </c>
      <c r="L9" s="71">
        <f>+IFERROR(G9/$G$13,0)</f>
        <v>0.11547145417945831</v>
      </c>
      <c r="N9" s="81"/>
    </row>
    <row r="10" spans="1:247" x14ac:dyDescent="0.2">
      <c r="A10" s="49" t="str">
        <f>'B) Reajuste Tarifas y Ocupación'!A14</f>
        <v>Jardín Infantil Burbujitas de Mar</v>
      </c>
      <c r="B10" s="55">
        <f>+N35</f>
        <v>3240000</v>
      </c>
      <c r="C10" s="62">
        <f>+O35</f>
        <v>32400000</v>
      </c>
      <c r="D10" s="64">
        <f>+P35</f>
        <v>0</v>
      </c>
      <c r="E10" s="57">
        <f>+B10+D10+C10</f>
        <v>35640000</v>
      </c>
      <c r="F10" s="38">
        <f>'C) Costos Directos'!H141</f>
        <v>13298251.076113096</v>
      </c>
      <c r="G10" s="39">
        <f>+'D) Costos Indirectos'!$AP$15*(F10/$F$13)</f>
        <v>2116511.6589289829</v>
      </c>
      <c r="H10" s="41">
        <f>+F10+G10</f>
        <v>15414762.735042078</v>
      </c>
      <c r="I10" s="63">
        <f>E10-H10</f>
        <v>20225237.26495792</v>
      </c>
      <c r="L10" s="71">
        <f>+IFERROR(G10/$G$13,0)</f>
        <v>5.2576379507568091E-2</v>
      </c>
      <c r="N10" s="81"/>
    </row>
    <row r="11" spans="1:247" x14ac:dyDescent="0.2">
      <c r="A11" s="49" t="s">
        <v>215</v>
      </c>
      <c r="B11" s="56">
        <f>+N38+N44</f>
        <v>0</v>
      </c>
      <c r="C11" s="56">
        <f>+O38+O44</f>
        <v>214812000</v>
      </c>
      <c r="D11" s="224"/>
      <c r="E11" s="57">
        <f>+B11+D11+C11</f>
        <v>214812000</v>
      </c>
      <c r="F11" s="40">
        <f>'C) Costos Directos'!H207</f>
        <v>146134177.12833929</v>
      </c>
      <c r="G11" s="39">
        <f>+'D) Costos Indirectos'!$AP$15*(F11/$F$13)</f>
        <v>23258298.24462346</v>
      </c>
      <c r="H11" s="41">
        <f>+F11+G11</f>
        <v>169392475.37296274</v>
      </c>
      <c r="I11" s="63">
        <f t="shared" ref="I11:I12" si="0">E11-H11</f>
        <v>45419524.627037257</v>
      </c>
      <c r="L11" s="71">
        <f>+IFERROR(G11/$G$13,0)</f>
        <v>0.57776063271407596</v>
      </c>
      <c r="N11" s="72"/>
      <c r="O11" s="143"/>
    </row>
    <row r="12" spans="1:247" x14ac:dyDescent="0.2">
      <c r="A12" s="49" t="s">
        <v>216</v>
      </c>
      <c r="B12" s="78">
        <f>+N41</f>
        <v>0</v>
      </c>
      <c r="C12" s="78">
        <f t="shared" ref="C12" si="1">+O41</f>
        <v>107822400</v>
      </c>
      <c r="D12" s="225"/>
      <c r="E12" s="79">
        <f>+B12+D12+C12</f>
        <v>107822400</v>
      </c>
      <c r="F12" s="40">
        <f>'C) Costos Directos'!H273</f>
        <v>64293183.876113094</v>
      </c>
      <c r="G12" s="39">
        <f>+'D) Costos Indirectos'!$AP$15*(F12/$F$13)</f>
        <v>10232719.512108345</v>
      </c>
      <c r="H12" s="41">
        <f t="shared" ref="H12" si="2">+F12+G12</f>
        <v>74525903.388221443</v>
      </c>
      <c r="I12" s="63">
        <f t="shared" si="0"/>
        <v>33296496.611778557</v>
      </c>
      <c r="L12" s="71">
        <f>+IFERROR(G12/$G$13,0)</f>
        <v>0.25419153359889773</v>
      </c>
      <c r="N12" s="72"/>
      <c r="O12" s="143"/>
    </row>
    <row r="13" spans="1:247" s="4" customFormat="1" ht="15" x14ac:dyDescent="0.2">
      <c r="A13" s="9" t="s">
        <v>1</v>
      </c>
      <c r="B13" s="66">
        <f t="shared" ref="B13:H13" si="3">SUM(B9:B12)</f>
        <v>6275600</v>
      </c>
      <c r="C13" s="66">
        <f t="shared" si="3"/>
        <v>385390400</v>
      </c>
      <c r="D13" s="66">
        <f t="shared" si="3"/>
        <v>0</v>
      </c>
      <c r="E13" s="67">
        <f>SUM(E9:E12)</f>
        <v>391666000</v>
      </c>
      <c r="F13" s="66">
        <f t="shared" si="3"/>
        <v>252932042.88056546</v>
      </c>
      <c r="G13" s="66">
        <f>+'D) Costos Indirectos'!$AP$15*(F13/$F$13)</f>
        <v>40255941.522643685</v>
      </c>
      <c r="H13" s="66">
        <f t="shared" si="3"/>
        <v>293187984.40320921</v>
      </c>
      <c r="I13" s="66">
        <f>SUM(I9:I12)</f>
        <v>98478015.59679082</v>
      </c>
      <c r="L13" s="73">
        <f>SUM(L9:L12)</f>
        <v>1.0000000000000002</v>
      </c>
      <c r="N13" s="43"/>
      <c r="O13" s="143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4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10"/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2"/>
      <c r="IC17" s="2"/>
      <c r="ID17" s="2"/>
      <c r="IE17" s="2"/>
      <c r="IF17" s="2"/>
      <c r="IG17" s="2"/>
      <c r="IH17" s="2"/>
    </row>
    <row r="18" spans="1:247" s="4" customFormat="1" ht="15.75" customHeight="1" x14ac:dyDescent="0.2">
      <c r="A18" s="807" t="s">
        <v>150</v>
      </c>
      <c r="B18" s="807"/>
      <c r="C18" s="807"/>
      <c r="D18" s="807"/>
      <c r="E18" s="11"/>
      <c r="F18" s="11"/>
      <c r="G18" s="11"/>
      <c r="H18" s="11"/>
      <c r="I18" s="11"/>
      <c r="J18" s="11"/>
      <c r="K18" s="11"/>
      <c r="L18" s="11"/>
      <c r="M18" s="11"/>
      <c r="N18" s="11"/>
      <c r="IB18" s="2"/>
      <c r="IC18" s="2"/>
      <c r="ID18" s="2"/>
      <c r="IE18" s="2"/>
      <c r="IF18" s="2"/>
      <c r="IG18" s="2"/>
      <c r="IH18" s="2"/>
    </row>
    <row r="19" spans="1:247" s="4" customFormat="1" ht="13.5" thickBot="1" x14ac:dyDescent="0.25">
      <c r="I19" s="12"/>
      <c r="J19" s="12"/>
      <c r="K19" s="12"/>
      <c r="L19" s="1"/>
      <c r="M19" s="1"/>
      <c r="O19" s="13"/>
      <c r="P19" s="13"/>
      <c r="IL19" s="2"/>
      <c r="IM19" s="2"/>
    </row>
    <row r="20" spans="1:247" s="14" customFormat="1" ht="15.75" customHeight="1" thickBot="1" x14ac:dyDescent="0.25">
      <c r="A20" s="808" t="s">
        <v>114</v>
      </c>
      <c r="B20" s="810" t="s">
        <v>5</v>
      </c>
      <c r="C20" s="802" t="s">
        <v>2</v>
      </c>
      <c r="D20" s="804" t="s">
        <v>261</v>
      </c>
      <c r="E20" s="805"/>
      <c r="F20" s="805"/>
      <c r="G20" s="805"/>
      <c r="H20" s="806"/>
      <c r="I20" s="785" t="s">
        <v>262</v>
      </c>
      <c r="J20" s="786"/>
      <c r="K20" s="786"/>
      <c r="L20" s="786"/>
      <c r="M20" s="787"/>
      <c r="N20" s="816" t="s">
        <v>89</v>
      </c>
      <c r="O20" s="818" t="s">
        <v>90</v>
      </c>
      <c r="P20" s="812" t="s">
        <v>126</v>
      </c>
      <c r="Q20" s="820" t="s">
        <v>106</v>
      </c>
    </row>
    <row r="21" spans="1:247" s="14" customFormat="1" ht="58.5" customHeight="1" thickBot="1" x14ac:dyDescent="0.25">
      <c r="A21" s="809"/>
      <c r="B21" s="811"/>
      <c r="C21" s="803"/>
      <c r="D21" s="554" t="s">
        <v>86</v>
      </c>
      <c r="E21" s="579" t="s">
        <v>138</v>
      </c>
      <c r="F21" s="579" t="s">
        <v>139</v>
      </c>
      <c r="G21" s="579" t="s">
        <v>87</v>
      </c>
      <c r="H21" s="555" t="s">
        <v>88</v>
      </c>
      <c r="I21" s="554" t="s">
        <v>86</v>
      </c>
      <c r="J21" s="579" t="s">
        <v>138</v>
      </c>
      <c r="K21" s="579" t="s">
        <v>139</v>
      </c>
      <c r="L21" s="579" t="s">
        <v>87</v>
      </c>
      <c r="M21" s="555" t="s">
        <v>88</v>
      </c>
      <c r="N21" s="817"/>
      <c r="O21" s="819"/>
      <c r="P21" s="813"/>
      <c r="Q21" s="821"/>
    </row>
    <row r="22" spans="1:247" ht="12.75" customHeight="1" x14ac:dyDescent="0.2">
      <c r="A22" s="790" t="str">
        <f>+'B) Reajuste Tarifas y Ocupación'!A12</f>
        <v>Jardín Infantil Tortuguita Marina</v>
      </c>
      <c r="B22" s="793" t="str">
        <f>+'B) Reajuste Tarifas y Ocupación'!B12</f>
        <v>Media jornada</v>
      </c>
      <c r="C22" s="585" t="s">
        <v>263</v>
      </c>
      <c r="D22" s="580">
        <f t="shared" ref="D22:F23" si="4">+I22</f>
        <v>93900</v>
      </c>
      <c r="E22" s="561">
        <f t="shared" si="4"/>
        <v>126700</v>
      </c>
      <c r="F22" s="561">
        <f t="shared" si="4"/>
        <v>131400</v>
      </c>
      <c r="G22" s="561">
        <f t="shared" ref="G22:H23" si="5">+L22</f>
        <v>128100</v>
      </c>
      <c r="H22" s="581">
        <f t="shared" si="5"/>
        <v>162800</v>
      </c>
      <c r="I22" s="580">
        <f>+'B) Reajuste Tarifas y Ocupación'!M12</f>
        <v>93900</v>
      </c>
      <c r="J22" s="561">
        <f>+'B) Reajuste Tarifas y Ocupación'!N12</f>
        <v>126700</v>
      </c>
      <c r="K22" s="561">
        <f>+'B) Reajuste Tarifas y Ocupación'!O12</f>
        <v>131400</v>
      </c>
      <c r="L22" s="561">
        <f>+'B) Reajuste Tarifas y Ocupación'!P12</f>
        <v>128100</v>
      </c>
      <c r="M22" s="581">
        <f>+'B) Reajuste Tarifas y Ocupación'!Q12</f>
        <v>162800</v>
      </c>
      <c r="N22" s="574"/>
      <c r="O22" s="562"/>
      <c r="P22" s="594">
        <f>+'B) Reajuste Tarifas y Ocupación'!C12</f>
        <v>82300</v>
      </c>
      <c r="Q22" s="815"/>
    </row>
    <row r="23" spans="1:247" x14ac:dyDescent="0.2">
      <c r="A23" s="791"/>
      <c r="B23" s="794"/>
      <c r="C23" s="586" t="s">
        <v>7</v>
      </c>
      <c r="D23" s="582">
        <f t="shared" si="4"/>
        <v>12</v>
      </c>
      <c r="E23" s="558">
        <f t="shared" si="4"/>
        <v>0</v>
      </c>
      <c r="F23" s="558">
        <f t="shared" si="4"/>
        <v>0</v>
      </c>
      <c r="G23" s="558">
        <f t="shared" si="5"/>
        <v>0</v>
      </c>
      <c r="H23" s="382">
        <f t="shared" si="5"/>
        <v>0</v>
      </c>
      <c r="I23" s="582">
        <f>+'B) Reajuste Tarifas y Ocupación'!C27</f>
        <v>12</v>
      </c>
      <c r="J23" s="558">
        <f>+'B) Reajuste Tarifas y Ocupación'!D27</f>
        <v>0</v>
      </c>
      <c r="K23" s="558">
        <f>+'B) Reajuste Tarifas y Ocupación'!E27</f>
        <v>0</v>
      </c>
      <c r="L23" s="558">
        <f>+'B) Reajuste Tarifas y Ocupación'!F27</f>
        <v>0</v>
      </c>
      <c r="M23" s="382">
        <f>+'B) Reajuste Tarifas y Ocupación'!G27</f>
        <v>0</v>
      </c>
      <c r="N23" s="575"/>
      <c r="O23" s="557"/>
      <c r="P23" s="595">
        <v>0</v>
      </c>
      <c r="Q23" s="814"/>
    </row>
    <row r="24" spans="1:247" x14ac:dyDescent="0.2">
      <c r="A24" s="791"/>
      <c r="B24" s="794"/>
      <c r="C24" s="587" t="s">
        <v>9</v>
      </c>
      <c r="D24" s="583">
        <f>D23*D22</f>
        <v>1126800</v>
      </c>
      <c r="E24" s="559">
        <f>E23*E22</f>
        <v>0</v>
      </c>
      <c r="F24" s="559">
        <f t="shared" ref="F24" si="6">F23*F22</f>
        <v>0</v>
      </c>
      <c r="G24" s="559">
        <f t="shared" ref="G24:H24" si="7">G23*G22</f>
        <v>0</v>
      </c>
      <c r="H24" s="383">
        <f t="shared" si="7"/>
        <v>0</v>
      </c>
      <c r="I24" s="583">
        <f>I23*I22*10</f>
        <v>11268000</v>
      </c>
      <c r="J24" s="559">
        <f t="shared" ref="J24:M24" si="8">J23*J22*10</f>
        <v>0</v>
      </c>
      <c r="K24" s="559">
        <f t="shared" ref="K24" si="9">K23*K22*10</f>
        <v>0</v>
      </c>
      <c r="L24" s="559">
        <f t="shared" si="8"/>
        <v>0</v>
      </c>
      <c r="M24" s="383">
        <f t="shared" si="8"/>
        <v>0</v>
      </c>
      <c r="N24" s="576">
        <f>SUM(D24:H24)</f>
        <v>1126800</v>
      </c>
      <c r="O24" s="560">
        <f>SUM(I24:M24)</f>
        <v>11268000</v>
      </c>
      <c r="P24" s="570">
        <f>P23*P22</f>
        <v>0</v>
      </c>
      <c r="Q24" s="600">
        <f>N24+O24+P24</f>
        <v>12394800</v>
      </c>
    </row>
    <row r="25" spans="1:247" x14ac:dyDescent="0.2">
      <c r="A25" s="791"/>
      <c r="B25" s="794" t="str">
        <f>+'B) Reajuste Tarifas y Ocupación'!B13</f>
        <v xml:space="preserve">Doble Jornada </v>
      </c>
      <c r="C25" s="586" t="s">
        <v>263</v>
      </c>
      <c r="D25" s="588">
        <f t="shared" ref="D25:F26" si="10">+I25</f>
        <v>119300</v>
      </c>
      <c r="E25" s="556">
        <f t="shared" si="10"/>
        <v>161000</v>
      </c>
      <c r="F25" s="556">
        <f t="shared" si="10"/>
        <v>167000</v>
      </c>
      <c r="G25" s="556">
        <f t="shared" ref="G25:H26" si="11">+L25</f>
        <v>178900</v>
      </c>
      <c r="H25" s="381">
        <f t="shared" si="11"/>
        <v>238300</v>
      </c>
      <c r="I25" s="372">
        <f>+'B) Reajuste Tarifas y Ocupación'!M13</f>
        <v>119300</v>
      </c>
      <c r="J25" s="495">
        <f>+'B) Reajuste Tarifas y Ocupación'!N13</f>
        <v>161000</v>
      </c>
      <c r="K25" s="495">
        <f>+'B) Reajuste Tarifas y Ocupación'!O13</f>
        <v>167000</v>
      </c>
      <c r="L25" s="495">
        <f>+'B) Reajuste Tarifas y Ocupación'!P13</f>
        <v>178900</v>
      </c>
      <c r="M25" s="386">
        <f>+'B) Reajuste Tarifas y Ocupación'!Q13</f>
        <v>238300</v>
      </c>
      <c r="N25" s="575"/>
      <c r="O25" s="557"/>
      <c r="P25" s="596">
        <f>+'B) Reajuste Tarifas y Ocupación'!C13</f>
        <v>104600</v>
      </c>
      <c r="Q25" s="814"/>
    </row>
    <row r="26" spans="1:247" x14ac:dyDescent="0.2">
      <c r="A26" s="791"/>
      <c r="B26" s="794"/>
      <c r="C26" s="586" t="s">
        <v>7</v>
      </c>
      <c r="D26" s="582">
        <f t="shared" si="10"/>
        <v>16</v>
      </c>
      <c r="E26" s="558">
        <f t="shared" si="10"/>
        <v>0</v>
      </c>
      <c r="F26" s="558">
        <f t="shared" si="10"/>
        <v>0</v>
      </c>
      <c r="G26" s="558">
        <f t="shared" si="11"/>
        <v>0</v>
      </c>
      <c r="H26" s="382">
        <f t="shared" si="11"/>
        <v>0</v>
      </c>
      <c r="I26" s="582">
        <f>+'B) Reajuste Tarifas y Ocupación'!C28</f>
        <v>16</v>
      </c>
      <c r="J26" s="558">
        <f>+'B) Reajuste Tarifas y Ocupación'!D28</f>
        <v>0</v>
      </c>
      <c r="K26" s="558">
        <f>+'B) Reajuste Tarifas y Ocupación'!E28</f>
        <v>0</v>
      </c>
      <c r="L26" s="558">
        <f>+'B) Reajuste Tarifas y Ocupación'!F28</f>
        <v>0</v>
      </c>
      <c r="M26" s="382">
        <f>+'B) Reajuste Tarifas y Ocupación'!G28</f>
        <v>0</v>
      </c>
      <c r="N26" s="575"/>
      <c r="O26" s="557"/>
      <c r="P26" s="595">
        <v>0</v>
      </c>
      <c r="Q26" s="814"/>
    </row>
    <row r="27" spans="1:247" x14ac:dyDescent="0.2">
      <c r="A27" s="791"/>
      <c r="B27" s="794"/>
      <c r="C27" s="587" t="s">
        <v>9</v>
      </c>
      <c r="D27" s="583">
        <f t="shared" ref="D27:H27" si="12">D26*D25</f>
        <v>1908800</v>
      </c>
      <c r="E27" s="559">
        <f t="shared" si="12"/>
        <v>0</v>
      </c>
      <c r="F27" s="559">
        <f t="shared" ref="F27" si="13">F26*F25</f>
        <v>0</v>
      </c>
      <c r="G27" s="559">
        <f t="shared" si="12"/>
        <v>0</v>
      </c>
      <c r="H27" s="383">
        <f t="shared" si="12"/>
        <v>0</v>
      </c>
      <c r="I27" s="583">
        <f t="shared" ref="I27:M27" si="14">I26*I25*10</f>
        <v>19088000</v>
      </c>
      <c r="J27" s="559">
        <f t="shared" si="14"/>
        <v>0</v>
      </c>
      <c r="K27" s="559">
        <f t="shared" ref="K27" si="15">K26*K25*10</f>
        <v>0</v>
      </c>
      <c r="L27" s="559">
        <f t="shared" si="14"/>
        <v>0</v>
      </c>
      <c r="M27" s="383">
        <f t="shared" si="14"/>
        <v>0</v>
      </c>
      <c r="N27" s="576">
        <f>SUM(D27:H27)</f>
        <v>1908800</v>
      </c>
      <c r="O27" s="560">
        <f>SUM(I27:M27)</f>
        <v>19088000</v>
      </c>
      <c r="P27" s="570">
        <f>P26*P25</f>
        <v>0</v>
      </c>
      <c r="Q27" s="600">
        <f>N27+O27+P27</f>
        <v>20996800</v>
      </c>
    </row>
    <row r="28" spans="1:247" ht="15.75" thickBot="1" x14ac:dyDescent="0.25">
      <c r="A28" s="792"/>
      <c r="B28" s="788" t="s">
        <v>10</v>
      </c>
      <c r="C28" s="789"/>
      <c r="D28" s="584">
        <f>+D24+D27</f>
        <v>3035600</v>
      </c>
      <c r="E28" s="563">
        <f t="shared" ref="E28:G28" si="16">+E24+E27</f>
        <v>0</v>
      </c>
      <c r="F28" s="563">
        <f t="shared" si="16"/>
        <v>0</v>
      </c>
      <c r="G28" s="563">
        <f t="shared" si="16"/>
        <v>0</v>
      </c>
      <c r="H28" s="564">
        <f>+H24+H27</f>
        <v>0</v>
      </c>
      <c r="I28" s="584">
        <f t="shared" ref="I28:L28" si="17">+I24+I27</f>
        <v>30356000</v>
      </c>
      <c r="J28" s="563">
        <f t="shared" si="17"/>
        <v>0</v>
      </c>
      <c r="K28" s="563">
        <f t="shared" si="17"/>
        <v>0</v>
      </c>
      <c r="L28" s="563">
        <f t="shared" si="17"/>
        <v>0</v>
      </c>
      <c r="M28" s="564">
        <f>+M24+M27</f>
        <v>0</v>
      </c>
      <c r="N28" s="577">
        <f t="shared" ref="N28:Q28" si="18">+N24+N27</f>
        <v>3035600</v>
      </c>
      <c r="O28" s="563">
        <f t="shared" si="18"/>
        <v>30356000</v>
      </c>
      <c r="P28" s="571">
        <f>+P24+P27</f>
        <v>0</v>
      </c>
      <c r="Q28" s="601">
        <f t="shared" si="18"/>
        <v>33391600</v>
      </c>
    </row>
    <row r="29" spans="1:247" x14ac:dyDescent="0.2">
      <c r="A29" s="795" t="str">
        <f>'B) Reajuste Tarifas y Ocupación'!A29:A30</f>
        <v>Jardín Infantil Burbujitas de Mar</v>
      </c>
      <c r="B29" s="793" t="str">
        <f>+'B) Reajuste Tarifas y Ocupación'!B21</f>
        <v>Media Jornada</v>
      </c>
      <c r="C29" s="585" t="s">
        <v>263</v>
      </c>
      <c r="D29" s="580">
        <f>'B) Reajuste Tarifas y Ocupación'!M14</f>
        <v>129600</v>
      </c>
      <c r="E29" s="561">
        <f>'B) Reajuste Tarifas y Ocupación'!N14</f>
        <v>175000</v>
      </c>
      <c r="F29" s="561">
        <f>'B) Reajuste Tarifas y Ocupación'!O14</f>
        <v>181500</v>
      </c>
      <c r="G29" s="561">
        <f>'B) Reajuste Tarifas y Ocupación'!P14</f>
        <v>162100</v>
      </c>
      <c r="H29" s="581">
        <f>'B) Reajuste Tarifas y Ocupación'!Q14</f>
        <v>194400</v>
      </c>
      <c r="I29" s="580">
        <f>D29</f>
        <v>129600</v>
      </c>
      <c r="J29" s="561">
        <f t="shared" ref="J29:M29" si="19">E29</f>
        <v>175000</v>
      </c>
      <c r="K29" s="561">
        <f t="shared" si="19"/>
        <v>181500</v>
      </c>
      <c r="L29" s="561">
        <f t="shared" si="19"/>
        <v>162100</v>
      </c>
      <c r="M29" s="581">
        <f t="shared" si="19"/>
        <v>194400</v>
      </c>
      <c r="N29" s="574"/>
      <c r="O29" s="562"/>
      <c r="P29" s="594">
        <f>+'B) Reajuste Tarifas y Ocupación'!C14</f>
        <v>115700</v>
      </c>
      <c r="Q29" s="815"/>
    </row>
    <row r="30" spans="1:247" x14ac:dyDescent="0.2">
      <c r="A30" s="796"/>
      <c r="B30" s="794"/>
      <c r="C30" s="586" t="s">
        <v>7</v>
      </c>
      <c r="D30" s="582">
        <f t="shared" ref="D30" si="20">+I30</f>
        <v>25</v>
      </c>
      <c r="E30" s="558">
        <f t="shared" ref="E30" si="21">+J30</f>
        <v>0</v>
      </c>
      <c r="F30" s="558">
        <f t="shared" ref="F30" si="22">+K30</f>
        <v>0</v>
      </c>
      <c r="G30" s="558">
        <f t="shared" ref="G30" si="23">+L30</f>
        <v>0</v>
      </c>
      <c r="H30" s="382">
        <f t="shared" ref="H30" si="24">+M30</f>
        <v>0</v>
      </c>
      <c r="I30" s="582">
        <f>+'B) Reajuste Tarifas y Ocupación'!C29</f>
        <v>25</v>
      </c>
      <c r="J30" s="558">
        <f>+'B) Reajuste Tarifas y Ocupación'!D29</f>
        <v>0</v>
      </c>
      <c r="K30" s="558">
        <f>+'B) Reajuste Tarifas y Ocupación'!E29</f>
        <v>0</v>
      </c>
      <c r="L30" s="558">
        <f>+'B) Reajuste Tarifas y Ocupación'!F29</f>
        <v>0</v>
      </c>
      <c r="M30" s="382">
        <f>+'B) Reajuste Tarifas y Ocupación'!G29</f>
        <v>0</v>
      </c>
      <c r="N30" s="575"/>
      <c r="O30" s="557"/>
      <c r="P30" s="595">
        <v>0</v>
      </c>
      <c r="Q30" s="814"/>
    </row>
    <row r="31" spans="1:247" x14ac:dyDescent="0.2">
      <c r="A31" s="796"/>
      <c r="B31" s="794"/>
      <c r="C31" s="587" t="s">
        <v>9</v>
      </c>
      <c r="D31" s="583">
        <f>D30*D29</f>
        <v>3240000</v>
      </c>
      <c r="E31" s="559">
        <f>E30*E29</f>
        <v>0</v>
      </c>
      <c r="F31" s="559">
        <f t="shared" ref="F31:H31" si="25">F30*F29</f>
        <v>0</v>
      </c>
      <c r="G31" s="559">
        <f t="shared" si="25"/>
        <v>0</v>
      </c>
      <c r="H31" s="383">
        <f t="shared" si="25"/>
        <v>0</v>
      </c>
      <c r="I31" s="583">
        <f>I30*I29*10</f>
        <v>32400000</v>
      </c>
      <c r="J31" s="559">
        <f t="shared" ref="J31:M31" si="26">J30*J29*10</f>
        <v>0</v>
      </c>
      <c r="K31" s="559">
        <f t="shared" si="26"/>
        <v>0</v>
      </c>
      <c r="L31" s="559">
        <f t="shared" si="26"/>
        <v>0</v>
      </c>
      <c r="M31" s="383">
        <f t="shared" si="26"/>
        <v>0</v>
      </c>
      <c r="N31" s="576">
        <f>SUM(D31:H31)</f>
        <v>3240000</v>
      </c>
      <c r="O31" s="560">
        <f>SUM(I31:M31)</f>
        <v>32400000</v>
      </c>
      <c r="P31" s="570">
        <f>P30*P29</f>
        <v>0</v>
      </c>
      <c r="Q31" s="600">
        <f>N31+O31+P31</f>
        <v>35640000</v>
      </c>
    </row>
    <row r="32" spans="1:247" x14ac:dyDescent="0.2">
      <c r="A32" s="796"/>
      <c r="B32" s="794" t="str">
        <f>'B) Reajuste Tarifas y Ocupación'!B30</f>
        <v>Jornada  Completa</v>
      </c>
      <c r="C32" s="586" t="s">
        <v>263</v>
      </c>
      <c r="D32" s="588">
        <f>'B) Reajuste Tarifas y Ocupación'!M15</f>
        <v>203300</v>
      </c>
      <c r="E32" s="556">
        <f>'B) Reajuste Tarifas y Ocupación'!N15</f>
        <v>274500</v>
      </c>
      <c r="F32" s="556">
        <f>'B) Reajuste Tarifas y Ocupación'!O15</f>
        <v>284600</v>
      </c>
      <c r="G32" s="556">
        <f>'B) Reajuste Tarifas y Ocupación'!P15</f>
        <v>254200</v>
      </c>
      <c r="H32" s="381">
        <f>'B) Reajuste Tarifas y Ocupación'!Q15</f>
        <v>305000</v>
      </c>
      <c r="I32" s="372">
        <f>D32</f>
        <v>203300</v>
      </c>
      <c r="J32" s="495">
        <f t="shared" ref="J32:M32" si="27">E32</f>
        <v>274500</v>
      </c>
      <c r="K32" s="495">
        <f t="shared" si="27"/>
        <v>284600</v>
      </c>
      <c r="L32" s="495">
        <f t="shared" si="27"/>
        <v>254200</v>
      </c>
      <c r="M32" s="386">
        <f t="shared" si="27"/>
        <v>305000</v>
      </c>
      <c r="N32" s="575"/>
      <c r="O32" s="557"/>
      <c r="P32" s="596">
        <f>+'B) Reajuste Tarifas y Ocupación'!C15</f>
        <v>181500</v>
      </c>
      <c r="Q32" s="814"/>
    </row>
    <row r="33" spans="1:17" x14ac:dyDescent="0.2">
      <c r="A33" s="796"/>
      <c r="B33" s="794"/>
      <c r="C33" s="586" t="s">
        <v>7</v>
      </c>
      <c r="D33" s="582">
        <f t="shared" ref="D33" si="28">+I33</f>
        <v>0</v>
      </c>
      <c r="E33" s="558">
        <f t="shared" ref="E33" si="29">+J33</f>
        <v>0</v>
      </c>
      <c r="F33" s="558">
        <f t="shared" ref="F33" si="30">+K33</f>
        <v>0</v>
      </c>
      <c r="G33" s="558">
        <f t="shared" ref="G33" si="31">+L33</f>
        <v>0</v>
      </c>
      <c r="H33" s="382">
        <f t="shared" ref="H33" si="32">+M33</f>
        <v>0</v>
      </c>
      <c r="I33" s="582">
        <f>+'B) Reajuste Tarifas y Ocupación'!C30</f>
        <v>0</v>
      </c>
      <c r="J33" s="558">
        <f>+'B) Reajuste Tarifas y Ocupación'!D30</f>
        <v>0</v>
      </c>
      <c r="K33" s="558">
        <f>+'B) Reajuste Tarifas y Ocupación'!E30</f>
        <v>0</v>
      </c>
      <c r="L33" s="558">
        <f>+'B) Reajuste Tarifas y Ocupación'!F30</f>
        <v>0</v>
      </c>
      <c r="M33" s="382">
        <f>+'B) Reajuste Tarifas y Ocupación'!G30</f>
        <v>0</v>
      </c>
      <c r="N33" s="575"/>
      <c r="O33" s="557"/>
      <c r="P33" s="595">
        <v>0</v>
      </c>
      <c r="Q33" s="814"/>
    </row>
    <row r="34" spans="1:17" x14ac:dyDescent="0.2">
      <c r="A34" s="796"/>
      <c r="B34" s="794"/>
      <c r="C34" s="587" t="s">
        <v>9</v>
      </c>
      <c r="D34" s="583">
        <f t="shared" ref="D34:H34" si="33">D33*D32</f>
        <v>0</v>
      </c>
      <c r="E34" s="559">
        <f t="shared" si="33"/>
        <v>0</v>
      </c>
      <c r="F34" s="559">
        <f t="shared" si="33"/>
        <v>0</v>
      </c>
      <c r="G34" s="559">
        <f t="shared" si="33"/>
        <v>0</v>
      </c>
      <c r="H34" s="383">
        <f t="shared" si="33"/>
        <v>0</v>
      </c>
      <c r="I34" s="583">
        <f t="shared" ref="I34:M34" si="34">I33*I32*10</f>
        <v>0</v>
      </c>
      <c r="J34" s="559">
        <f t="shared" si="34"/>
        <v>0</v>
      </c>
      <c r="K34" s="559">
        <f t="shared" si="34"/>
        <v>0</v>
      </c>
      <c r="L34" s="559">
        <f t="shared" si="34"/>
        <v>0</v>
      </c>
      <c r="M34" s="383">
        <f t="shared" si="34"/>
        <v>0</v>
      </c>
      <c r="N34" s="576">
        <f>SUM(D34:H34)</f>
        <v>0</v>
      </c>
      <c r="O34" s="560">
        <f>SUM(I34:M34)</f>
        <v>0</v>
      </c>
      <c r="P34" s="570">
        <f>P33*P32</f>
        <v>0</v>
      </c>
      <c r="Q34" s="600">
        <f>N34+O34+P34</f>
        <v>0</v>
      </c>
    </row>
    <row r="35" spans="1:17" ht="15.75" thickBot="1" x14ac:dyDescent="0.25">
      <c r="A35" s="797"/>
      <c r="B35" s="788" t="s">
        <v>10</v>
      </c>
      <c r="C35" s="789"/>
      <c r="D35" s="584">
        <f>+D31+D34</f>
        <v>3240000</v>
      </c>
      <c r="E35" s="563">
        <f t="shared" ref="E35:G35" si="35">+E31+E34</f>
        <v>0</v>
      </c>
      <c r="F35" s="563">
        <f t="shared" si="35"/>
        <v>0</v>
      </c>
      <c r="G35" s="563">
        <f t="shared" si="35"/>
        <v>0</v>
      </c>
      <c r="H35" s="564">
        <f>+H31+H34</f>
        <v>0</v>
      </c>
      <c r="I35" s="584">
        <f t="shared" ref="I35:L35" si="36">+I31+I34</f>
        <v>32400000</v>
      </c>
      <c r="J35" s="563">
        <f t="shared" si="36"/>
        <v>0</v>
      </c>
      <c r="K35" s="563">
        <f t="shared" si="36"/>
        <v>0</v>
      </c>
      <c r="L35" s="563">
        <f t="shared" si="36"/>
        <v>0</v>
      </c>
      <c r="M35" s="564">
        <f>+M31+M34</f>
        <v>0</v>
      </c>
      <c r="N35" s="577">
        <f>+N31+N34</f>
        <v>3240000</v>
      </c>
      <c r="O35" s="563">
        <f t="shared" ref="O35:Q35" si="37">+O31+O34</f>
        <v>32400000</v>
      </c>
      <c r="P35" s="571">
        <f>+P31+P34</f>
        <v>0</v>
      </c>
      <c r="Q35" s="601">
        <f t="shared" si="37"/>
        <v>35640000</v>
      </c>
    </row>
    <row r="36" spans="1:17" x14ac:dyDescent="0.2">
      <c r="A36" s="790" t="str">
        <f>+'B) Reajuste Tarifas y Ocupación'!A19</f>
        <v>Sala Cuna Burbujitas de Mar</v>
      </c>
      <c r="B36" s="793" t="str">
        <f>+'B) Reajuste Tarifas y Ocupación'!B19</f>
        <v>Jornada Completa Diurna</v>
      </c>
      <c r="C36" s="585" t="s">
        <v>263</v>
      </c>
      <c r="D36" s="589"/>
      <c r="E36" s="561">
        <f t="shared" ref="E36" si="38">+J36</f>
        <v>537000</v>
      </c>
      <c r="F36" s="561">
        <f t="shared" ref="F36" si="39">+K36</f>
        <v>556900</v>
      </c>
      <c r="G36" s="561">
        <f t="shared" ref="G36:H36" si="40">+L36</f>
        <v>497200</v>
      </c>
      <c r="H36" s="581">
        <f t="shared" si="40"/>
        <v>596600</v>
      </c>
      <c r="I36" s="496">
        <f>+'B) Reajuste Tarifas y Ocupación'!M19</f>
        <v>397800</v>
      </c>
      <c r="J36" s="348">
        <f>+'B) Reajuste Tarifas y Ocupación'!N19</f>
        <v>537000</v>
      </c>
      <c r="K36" s="348">
        <f>+'B) Reajuste Tarifas y Ocupación'!O19</f>
        <v>556900</v>
      </c>
      <c r="L36" s="348">
        <f>+'B) Reajuste Tarifas y Ocupación'!P19</f>
        <v>497200</v>
      </c>
      <c r="M36" s="370">
        <f>+'B) Reajuste Tarifas y Ocupación'!Q19</f>
        <v>596600</v>
      </c>
      <c r="N36" s="574"/>
      <c r="O36" s="562"/>
      <c r="P36" s="597"/>
      <c r="Q36" s="815"/>
    </row>
    <row r="37" spans="1:17" x14ac:dyDescent="0.2">
      <c r="A37" s="791"/>
      <c r="B37" s="794"/>
      <c r="C37" s="586" t="s">
        <v>7</v>
      </c>
      <c r="D37" s="590">
        <v>0</v>
      </c>
      <c r="E37" s="556">
        <f t="shared" ref="E37" si="41">+J37</f>
        <v>0</v>
      </c>
      <c r="F37" s="556">
        <f t="shared" ref="F37" si="42">+K37</f>
        <v>0</v>
      </c>
      <c r="G37" s="556">
        <f t="shared" ref="G37" si="43">+L37</f>
        <v>0</v>
      </c>
      <c r="H37" s="381">
        <f t="shared" ref="H37" si="44">+M37</f>
        <v>0</v>
      </c>
      <c r="I37" s="582">
        <f>+'B) Reajuste Tarifas y Ocupación'!C34</f>
        <v>45</v>
      </c>
      <c r="J37" s="558">
        <f>+'B) Reajuste Tarifas y Ocupación'!D34</f>
        <v>0</v>
      </c>
      <c r="K37" s="558">
        <f>+'B) Reajuste Tarifas y Ocupación'!E34</f>
        <v>0</v>
      </c>
      <c r="L37" s="558">
        <f>+'B) Reajuste Tarifas y Ocupación'!F34</f>
        <v>0</v>
      </c>
      <c r="M37" s="382">
        <f>+'B) Reajuste Tarifas y Ocupación'!G34</f>
        <v>0</v>
      </c>
      <c r="N37" s="575"/>
      <c r="O37" s="557"/>
      <c r="P37" s="598"/>
      <c r="Q37" s="814"/>
    </row>
    <row r="38" spans="1:17" x14ac:dyDescent="0.2">
      <c r="A38" s="791"/>
      <c r="B38" s="794"/>
      <c r="C38" s="587" t="s">
        <v>9</v>
      </c>
      <c r="D38" s="591">
        <f>D37*D36</f>
        <v>0</v>
      </c>
      <c r="E38" s="567">
        <f>E37*E36</f>
        <v>0</v>
      </c>
      <c r="F38" s="567">
        <f t="shared" ref="F38" si="45">F37*F36</f>
        <v>0</v>
      </c>
      <c r="G38" s="559">
        <f>G37*G36</f>
        <v>0</v>
      </c>
      <c r="H38" s="383">
        <f>H37*H36</f>
        <v>0</v>
      </c>
      <c r="I38" s="583">
        <f>I37*I36*12</f>
        <v>214812000</v>
      </c>
      <c r="J38" s="559">
        <f t="shared" ref="J38:M38" si="46">J37*J36*12</f>
        <v>0</v>
      </c>
      <c r="K38" s="559">
        <f t="shared" si="46"/>
        <v>0</v>
      </c>
      <c r="L38" s="559">
        <f t="shared" si="46"/>
        <v>0</v>
      </c>
      <c r="M38" s="383">
        <f t="shared" si="46"/>
        <v>0</v>
      </c>
      <c r="N38" s="576">
        <f>SUM(D38:H38)</f>
        <v>0</v>
      </c>
      <c r="O38" s="560">
        <f>SUM(I38:M38)</f>
        <v>214812000</v>
      </c>
      <c r="P38" s="572"/>
      <c r="Q38" s="600">
        <f>N38+O38+P38</f>
        <v>214812000</v>
      </c>
    </row>
    <row r="39" spans="1:17" x14ac:dyDescent="0.2">
      <c r="A39" s="791"/>
      <c r="B39" s="794" t="str">
        <f>+'B) Reajuste Tarifas y Ocupación'!B20</f>
        <v>Nocturna</v>
      </c>
      <c r="C39" s="586" t="s">
        <v>263</v>
      </c>
      <c r="D39" s="592"/>
      <c r="E39" s="565"/>
      <c r="F39" s="565"/>
      <c r="G39" s="565"/>
      <c r="H39" s="384"/>
      <c r="I39" s="372">
        <f>+'B) Reajuste Tarifas y Ocupación'!M20</f>
        <v>320900</v>
      </c>
      <c r="J39" s="565"/>
      <c r="K39" s="565"/>
      <c r="L39" s="565"/>
      <c r="M39" s="384"/>
      <c r="N39" s="575"/>
      <c r="O39" s="557"/>
      <c r="P39" s="599"/>
      <c r="Q39" s="814"/>
    </row>
    <row r="40" spans="1:17" x14ac:dyDescent="0.2">
      <c r="A40" s="791"/>
      <c r="B40" s="794"/>
      <c r="C40" s="586" t="s">
        <v>7</v>
      </c>
      <c r="D40" s="590"/>
      <c r="E40" s="566"/>
      <c r="F40" s="566"/>
      <c r="G40" s="566"/>
      <c r="H40" s="385"/>
      <c r="I40" s="582">
        <f>+'B) Reajuste Tarifas y Ocupación'!C35</f>
        <v>28</v>
      </c>
      <c r="J40" s="566"/>
      <c r="K40" s="566"/>
      <c r="L40" s="566"/>
      <c r="M40" s="385"/>
      <c r="N40" s="575"/>
      <c r="O40" s="557"/>
      <c r="P40" s="598"/>
      <c r="Q40" s="814"/>
    </row>
    <row r="41" spans="1:17" x14ac:dyDescent="0.2">
      <c r="A41" s="791"/>
      <c r="B41" s="794"/>
      <c r="C41" s="587" t="s">
        <v>9</v>
      </c>
      <c r="D41" s="591">
        <f>D40*D39</f>
        <v>0</v>
      </c>
      <c r="E41" s="567">
        <f>E40*E39</f>
        <v>0</v>
      </c>
      <c r="F41" s="567">
        <f t="shared" ref="F41" si="47">F40*F39</f>
        <v>0</v>
      </c>
      <c r="G41" s="567">
        <f>G40*G39</f>
        <v>0</v>
      </c>
      <c r="H41" s="593">
        <f>H40*H39</f>
        <v>0</v>
      </c>
      <c r="I41" s="583">
        <f>I40*I39*12</f>
        <v>107822400</v>
      </c>
      <c r="J41" s="559">
        <f t="shared" ref="J41:M41" si="48">J40*J39*12</f>
        <v>0</v>
      </c>
      <c r="K41" s="559">
        <f t="shared" si="48"/>
        <v>0</v>
      </c>
      <c r="L41" s="559">
        <f t="shared" si="48"/>
        <v>0</v>
      </c>
      <c r="M41" s="383">
        <f t="shared" si="48"/>
        <v>0</v>
      </c>
      <c r="N41" s="576">
        <f>SUM(D41:H41)</f>
        <v>0</v>
      </c>
      <c r="O41" s="560">
        <f>SUM(I41:M41)</f>
        <v>107822400</v>
      </c>
      <c r="P41" s="572"/>
      <c r="Q41" s="600">
        <f>N41+O41+P41</f>
        <v>107822400</v>
      </c>
    </row>
    <row r="42" spans="1:17" x14ac:dyDescent="0.2">
      <c r="A42" s="791"/>
      <c r="B42" s="794" t="str">
        <f>+'B) Reajuste Tarifas y Ocupación'!B21</f>
        <v>Media Jornada</v>
      </c>
      <c r="C42" s="586" t="s">
        <v>263</v>
      </c>
      <c r="D42" s="592"/>
      <c r="E42" s="556">
        <f>J42</f>
        <v>322600</v>
      </c>
      <c r="F42" s="556">
        <f t="shared" ref="F42:H42" si="49">K42</f>
        <v>334500</v>
      </c>
      <c r="G42" s="556">
        <f t="shared" si="49"/>
        <v>358100</v>
      </c>
      <c r="H42" s="381">
        <f t="shared" si="49"/>
        <v>477400</v>
      </c>
      <c r="I42" s="372">
        <f>+'B) Reajuste Tarifas y Ocupación'!M21</f>
        <v>238900</v>
      </c>
      <c r="J42" s="495">
        <f>+'B) Reajuste Tarifas y Ocupación'!N21</f>
        <v>322600</v>
      </c>
      <c r="K42" s="495">
        <f>+'B) Reajuste Tarifas y Ocupación'!O21</f>
        <v>334500</v>
      </c>
      <c r="L42" s="495">
        <f>+'B) Reajuste Tarifas y Ocupación'!P21</f>
        <v>358100</v>
      </c>
      <c r="M42" s="386">
        <f>+'B) Reajuste Tarifas y Ocupación'!Q21</f>
        <v>477400</v>
      </c>
      <c r="N42" s="575"/>
      <c r="O42" s="557"/>
      <c r="P42" s="599"/>
      <c r="Q42" s="814"/>
    </row>
    <row r="43" spans="1:17" x14ac:dyDescent="0.2">
      <c r="A43" s="791"/>
      <c r="B43" s="794"/>
      <c r="C43" s="586" t="s">
        <v>7</v>
      </c>
      <c r="D43" s="590"/>
      <c r="E43" s="556">
        <f t="shared" ref="E43" si="50">+J43</f>
        <v>0</v>
      </c>
      <c r="F43" s="556">
        <f t="shared" ref="F43" si="51">+K43</f>
        <v>0</v>
      </c>
      <c r="G43" s="556">
        <f t="shared" ref="G43" si="52">+L43</f>
        <v>0</v>
      </c>
      <c r="H43" s="381">
        <f t="shared" ref="H43" si="53">+M43</f>
        <v>0</v>
      </c>
      <c r="I43" s="582">
        <f>+'B) Reajuste Tarifas y Ocupación'!C36</f>
        <v>0</v>
      </c>
      <c r="J43" s="558">
        <f>+'B) Reajuste Tarifas y Ocupación'!D36</f>
        <v>0</v>
      </c>
      <c r="K43" s="558">
        <f>+'B) Reajuste Tarifas y Ocupación'!E36</f>
        <v>0</v>
      </c>
      <c r="L43" s="558">
        <f>+'B) Reajuste Tarifas y Ocupación'!F36</f>
        <v>0</v>
      </c>
      <c r="M43" s="382">
        <f>+'B) Reajuste Tarifas y Ocupación'!G36</f>
        <v>0</v>
      </c>
      <c r="N43" s="575"/>
      <c r="O43" s="557"/>
      <c r="P43" s="598"/>
      <c r="Q43" s="814"/>
    </row>
    <row r="44" spans="1:17" x14ac:dyDescent="0.2">
      <c r="A44" s="791"/>
      <c r="B44" s="794"/>
      <c r="C44" s="587" t="s">
        <v>9</v>
      </c>
      <c r="D44" s="591">
        <f t="shared" ref="D44:H44" si="54">D43*D42</f>
        <v>0</v>
      </c>
      <c r="E44" s="567">
        <f>E43*E42</f>
        <v>0</v>
      </c>
      <c r="F44" s="567"/>
      <c r="G44" s="567">
        <f t="shared" si="54"/>
        <v>0</v>
      </c>
      <c r="H44" s="593">
        <f t="shared" si="54"/>
        <v>0</v>
      </c>
      <c r="I44" s="583">
        <f>I43*I42*12</f>
        <v>0</v>
      </c>
      <c r="J44" s="559">
        <f>J43*J42*12</f>
        <v>0</v>
      </c>
      <c r="K44" s="559">
        <f t="shared" ref="K44:M44" si="55">K43*K42*12</f>
        <v>0</v>
      </c>
      <c r="L44" s="559">
        <f t="shared" si="55"/>
        <v>0</v>
      </c>
      <c r="M44" s="383">
        <f t="shared" si="55"/>
        <v>0</v>
      </c>
      <c r="N44" s="576">
        <f>SUM(D44:H44)</f>
        <v>0</v>
      </c>
      <c r="O44" s="560">
        <f>SUM(I44:M44)</f>
        <v>0</v>
      </c>
      <c r="P44" s="572"/>
      <c r="Q44" s="600">
        <f>N44+O44+P44</f>
        <v>0</v>
      </c>
    </row>
    <row r="45" spans="1:17" ht="15.75" thickBot="1" x14ac:dyDescent="0.25">
      <c r="A45" s="792"/>
      <c r="B45" s="788" t="s">
        <v>10</v>
      </c>
      <c r="C45" s="789"/>
      <c r="D45" s="584">
        <f>SUM(D38,D41,D44)</f>
        <v>0</v>
      </c>
      <c r="E45" s="563">
        <f>SUM(E38,E41,E44)</f>
        <v>0</v>
      </c>
      <c r="F45" s="563">
        <f t="shared" ref="F45:Q45" si="56">SUM(F38,F41,F44)</f>
        <v>0</v>
      </c>
      <c r="G45" s="563">
        <f t="shared" si="56"/>
        <v>0</v>
      </c>
      <c r="H45" s="564">
        <f t="shared" si="56"/>
        <v>0</v>
      </c>
      <c r="I45" s="584">
        <f t="shared" si="56"/>
        <v>322634400</v>
      </c>
      <c r="J45" s="563">
        <f t="shared" si="56"/>
        <v>0</v>
      </c>
      <c r="K45" s="563">
        <f t="shared" si="56"/>
        <v>0</v>
      </c>
      <c r="L45" s="563">
        <f t="shared" si="56"/>
        <v>0</v>
      </c>
      <c r="M45" s="564">
        <f t="shared" si="56"/>
        <v>0</v>
      </c>
      <c r="N45" s="577">
        <f>SUM(N38,N41,N44)</f>
        <v>0</v>
      </c>
      <c r="O45" s="563">
        <f>SUM(O38,O41,O44)</f>
        <v>322634400</v>
      </c>
      <c r="P45" s="571">
        <f>SUM(P38,P41,P44)</f>
        <v>0</v>
      </c>
      <c r="Q45" s="601">
        <f t="shared" si="56"/>
        <v>322634400</v>
      </c>
    </row>
    <row r="46" spans="1:17" ht="15" customHeight="1" thickBot="1" x14ac:dyDescent="0.25">
      <c r="A46" s="782" t="s">
        <v>8</v>
      </c>
      <c r="B46" s="783"/>
      <c r="C46" s="784"/>
      <c r="D46" s="162">
        <f>+D28+D45+D35</f>
        <v>6275600</v>
      </c>
      <c r="E46" s="568">
        <f t="shared" ref="E46:I46" si="57">+E28+E45+E35</f>
        <v>0</v>
      </c>
      <c r="F46" s="568">
        <f t="shared" si="57"/>
        <v>0</v>
      </c>
      <c r="G46" s="568">
        <f t="shared" si="57"/>
        <v>0</v>
      </c>
      <c r="H46" s="569">
        <f t="shared" si="57"/>
        <v>0</v>
      </c>
      <c r="I46" s="162">
        <f t="shared" si="57"/>
        <v>385390400</v>
      </c>
      <c r="J46" s="568">
        <f t="shared" ref="J46" si="58">+J28+J45+J35</f>
        <v>0</v>
      </c>
      <c r="K46" s="568">
        <f t="shared" ref="K46" si="59">+K28+K45+K35</f>
        <v>0</v>
      </c>
      <c r="L46" s="568">
        <f t="shared" ref="L46" si="60">+L28+L45+L35</f>
        <v>0</v>
      </c>
      <c r="M46" s="569">
        <f t="shared" ref="M46:N46" si="61">+M28+M45+M35</f>
        <v>0</v>
      </c>
      <c r="N46" s="578">
        <f t="shared" si="61"/>
        <v>6275600</v>
      </c>
      <c r="O46" s="568">
        <f t="shared" ref="O46" si="62">+O28+O45+O35</f>
        <v>385390400</v>
      </c>
      <c r="P46" s="573">
        <f>+P28+P45+P35</f>
        <v>0</v>
      </c>
      <c r="Q46" s="602">
        <f t="shared" ref="Q46" si="63">+Q28+Q45+Q35</f>
        <v>391666000</v>
      </c>
    </row>
  </sheetData>
  <mergeCells count="34"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</mergeCells>
  <phoneticPr fontId="35" type="noConversion"/>
  <conditionalFormatting sqref="B9:I13 C14:N14 D15:N17 E18:N18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3:H23 D22:H22 J22 D25:Q25 I24:Q24 J23:O23 Q38 I42:J42 I40 D45 N43:O43 G36:J36 L22:Q22 N39:O39 N37:O37 L42:O42 N41:O41 N40:O40 L45:M45 L36:O36 D44 N44:O44 I39 Q23 D27:Q27 D26:O26 Q26 I43 F44:H44 F45:J45 Q45 D28:O28 Q28 Q41 Q44 Q40 Q43 Q39 Q37 Q42 Q36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autoPageBreaks="0"/>
  </sheetPr>
  <dimension ref="A1:IV36"/>
  <sheetViews>
    <sheetView showGridLines="0" zoomScale="80" zoomScaleNormal="80" workbookViewId="0">
      <selection activeCell="H19" sqref="H19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33" t="s">
        <v>205</v>
      </c>
      <c r="S1" s="3"/>
      <c r="IU1" s="2"/>
      <c r="IV1" s="2"/>
    </row>
    <row r="2" spans="1:256" s="4" customFormat="1" x14ac:dyDescent="0.2">
      <c r="A2" s="5"/>
      <c r="F2" s="33" t="s">
        <v>198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9"/>
      <c r="S4" s="2"/>
      <c r="T4" s="19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9"/>
      <c r="C5" s="798" t="s">
        <v>0</v>
      </c>
      <c r="D5" s="825"/>
      <c r="E5" s="6"/>
      <c r="F5" s="842" t="s">
        <v>123</v>
      </c>
      <c r="G5" s="843"/>
      <c r="S5" s="2"/>
      <c r="T5" s="19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9"/>
      <c r="C6" s="6"/>
      <c r="D6" s="6"/>
      <c r="E6" s="6"/>
      <c r="F6" s="33"/>
      <c r="G6" s="33"/>
      <c r="S6" s="2"/>
      <c r="T6" s="19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9"/>
      <c r="C7" s="6"/>
      <c r="D7" s="6"/>
      <c r="E7" s="6"/>
      <c r="F7" s="33"/>
      <c r="G7" s="33"/>
      <c r="S7" s="2"/>
      <c r="T7" s="19"/>
      <c r="V7" s="46"/>
      <c r="W7" s="46"/>
      <c r="IL7" s="2"/>
      <c r="IM7" s="2"/>
      <c r="IN7" s="2"/>
      <c r="IO7" s="2"/>
      <c r="IP7" s="2"/>
      <c r="IQ7" s="2"/>
    </row>
    <row r="8" spans="1:256" s="4" customFormat="1" ht="15.75" x14ac:dyDescent="0.2">
      <c r="A8" s="833" t="s">
        <v>151</v>
      </c>
      <c r="B8" s="833"/>
      <c r="C8" s="833"/>
      <c r="D8" s="833"/>
      <c r="E8" s="83"/>
      <c r="F8" s="33"/>
      <c r="G8" s="33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834" t="s">
        <v>135</v>
      </c>
      <c r="B10" s="828" t="s">
        <v>5</v>
      </c>
      <c r="C10" s="830" t="s">
        <v>259</v>
      </c>
      <c r="D10" s="831"/>
      <c r="E10" s="831"/>
      <c r="F10" s="831"/>
      <c r="G10" s="832"/>
      <c r="H10" s="850" t="s">
        <v>108</v>
      </c>
      <c r="I10" s="851"/>
      <c r="J10" s="851"/>
      <c r="K10" s="851"/>
      <c r="L10" s="852"/>
      <c r="M10" s="847" t="s">
        <v>265</v>
      </c>
      <c r="N10" s="848"/>
      <c r="O10" s="848"/>
      <c r="P10" s="848"/>
      <c r="Q10" s="849"/>
      <c r="R10" s="15"/>
    </row>
    <row r="11" spans="1:256" ht="69" customHeight="1" thickBot="1" x14ac:dyDescent="0.25">
      <c r="A11" s="835"/>
      <c r="B11" s="829"/>
      <c r="C11" s="226" t="s">
        <v>86</v>
      </c>
      <c r="D11" s="227" t="s">
        <v>138</v>
      </c>
      <c r="E11" s="227" t="s">
        <v>139</v>
      </c>
      <c r="F11" s="227" t="s">
        <v>87</v>
      </c>
      <c r="G11" s="445" t="s">
        <v>88</v>
      </c>
      <c r="H11" s="447" t="s">
        <v>86</v>
      </c>
      <c r="I11" s="448" t="s">
        <v>138</v>
      </c>
      <c r="J11" s="448" t="s">
        <v>139</v>
      </c>
      <c r="K11" s="449" t="s">
        <v>87</v>
      </c>
      <c r="L11" s="450" t="s">
        <v>88</v>
      </c>
      <c r="M11" s="446" t="s">
        <v>86</v>
      </c>
      <c r="N11" s="227" t="s">
        <v>138</v>
      </c>
      <c r="O11" s="227" t="s">
        <v>139</v>
      </c>
      <c r="P11" s="227" t="s">
        <v>87</v>
      </c>
      <c r="Q11" s="228" t="s">
        <v>88</v>
      </c>
      <c r="R11" s="15"/>
    </row>
    <row r="12" spans="1:256" ht="19.5" customHeight="1" x14ac:dyDescent="0.2">
      <c r="A12" s="844" t="s">
        <v>211</v>
      </c>
      <c r="B12" s="426" t="s">
        <v>127</v>
      </c>
      <c r="C12" s="427">
        <v>82300</v>
      </c>
      <c r="D12" s="428">
        <v>111100</v>
      </c>
      <c r="E12" s="428">
        <v>115200</v>
      </c>
      <c r="F12" s="428">
        <v>112300</v>
      </c>
      <c r="G12" s="388">
        <v>142800</v>
      </c>
      <c r="H12" s="451">
        <v>0.14000000000000001</v>
      </c>
      <c r="I12" s="429">
        <f>+H12</f>
        <v>0.14000000000000001</v>
      </c>
      <c r="J12" s="429">
        <f>+H12</f>
        <v>0.14000000000000001</v>
      </c>
      <c r="K12" s="429">
        <f>+H12</f>
        <v>0.14000000000000001</v>
      </c>
      <c r="L12" s="452">
        <f>+H12</f>
        <v>0.14000000000000001</v>
      </c>
      <c r="M12" s="389">
        <f>CEILING(C12*(1+H12),100)</f>
        <v>93900</v>
      </c>
      <c r="N12" s="430">
        <f>+CEILING(C12*(1.35)*(1+I12),100)</f>
        <v>126700</v>
      </c>
      <c r="O12" s="430">
        <f>+CEILING(C12*(1.4)*(1+J12),100)</f>
        <v>131400</v>
      </c>
      <c r="P12" s="430">
        <f t="shared" ref="P12:Q15" si="0">+CEILING(F12*(1+K12),100)</f>
        <v>128100</v>
      </c>
      <c r="Q12" s="431">
        <f t="shared" si="0"/>
        <v>162800</v>
      </c>
      <c r="R12" s="68"/>
    </row>
    <row r="13" spans="1:256" ht="19.5" customHeight="1" thickBot="1" x14ac:dyDescent="0.25">
      <c r="A13" s="846"/>
      <c r="B13" s="432" t="s">
        <v>212</v>
      </c>
      <c r="C13" s="433">
        <v>104600</v>
      </c>
      <c r="D13" s="437">
        <v>141200</v>
      </c>
      <c r="E13" s="437">
        <v>146400</v>
      </c>
      <c r="F13" s="437">
        <v>156900</v>
      </c>
      <c r="G13" s="438">
        <v>209000</v>
      </c>
      <c r="H13" s="453">
        <v>0.14000000000000001</v>
      </c>
      <c r="I13" s="439">
        <f>+H13</f>
        <v>0.14000000000000001</v>
      </c>
      <c r="J13" s="439">
        <f>+H13</f>
        <v>0.14000000000000001</v>
      </c>
      <c r="K13" s="439">
        <f>+H13</f>
        <v>0.14000000000000001</v>
      </c>
      <c r="L13" s="454">
        <f>+H13</f>
        <v>0.14000000000000001</v>
      </c>
      <c r="M13" s="434">
        <f>CEILING(C13*(1+H13),100)</f>
        <v>119300</v>
      </c>
      <c r="N13" s="440">
        <f>+CEILING(C13*(1.35)*(1+I13),100)</f>
        <v>161000</v>
      </c>
      <c r="O13" s="440">
        <f>+CEILING(C13*(1.4)*(1+J13),100)</f>
        <v>167000</v>
      </c>
      <c r="P13" s="440">
        <f t="shared" si="0"/>
        <v>178900</v>
      </c>
      <c r="Q13" s="441">
        <f t="shared" si="0"/>
        <v>238300</v>
      </c>
    </row>
    <row r="14" spans="1:256" ht="19.5" customHeight="1" x14ac:dyDescent="0.2">
      <c r="A14" s="844" t="s">
        <v>218</v>
      </c>
      <c r="B14" s="390" t="s">
        <v>127</v>
      </c>
      <c r="C14" s="435">
        <v>115700</v>
      </c>
      <c r="D14" s="428">
        <v>156200</v>
      </c>
      <c r="E14" s="428">
        <v>162000</v>
      </c>
      <c r="F14" s="428">
        <v>144700</v>
      </c>
      <c r="G14" s="388">
        <v>173500</v>
      </c>
      <c r="H14" s="472">
        <v>0.12</v>
      </c>
      <c r="I14" s="424">
        <f t="shared" ref="I14:I15" si="1">+H14</f>
        <v>0.12</v>
      </c>
      <c r="J14" s="424">
        <f t="shared" ref="J14:J15" si="2">+H14</f>
        <v>0.12</v>
      </c>
      <c r="K14" s="424">
        <f t="shared" ref="K14:K15" si="3">+H14</f>
        <v>0.12</v>
      </c>
      <c r="L14" s="473">
        <f t="shared" ref="L14:L15" si="4">+H14</f>
        <v>0.12</v>
      </c>
      <c r="M14" s="470">
        <f>CEILING(C14*(1+H14),100)</f>
        <v>129600</v>
      </c>
      <c r="N14" s="425">
        <f>+CEILING(C14*(1.35)*(1+I14),100)</f>
        <v>175000</v>
      </c>
      <c r="O14" s="425">
        <f>+CEILING(C14*(1.4)*(1+J14),100)</f>
        <v>181500</v>
      </c>
      <c r="P14" s="425">
        <f t="shared" si="0"/>
        <v>162100</v>
      </c>
      <c r="Q14" s="471">
        <f t="shared" si="0"/>
        <v>194400</v>
      </c>
    </row>
    <row r="15" spans="1:256" ht="19.5" customHeight="1" thickBot="1" x14ac:dyDescent="0.25">
      <c r="A15" s="846"/>
      <c r="B15" s="391" t="s">
        <v>219</v>
      </c>
      <c r="C15" s="436">
        <v>181500</v>
      </c>
      <c r="D15" s="437">
        <v>245100</v>
      </c>
      <c r="E15" s="437">
        <v>254100</v>
      </c>
      <c r="F15" s="437">
        <v>226900</v>
      </c>
      <c r="G15" s="438">
        <v>272300</v>
      </c>
      <c r="H15" s="453">
        <v>0.12</v>
      </c>
      <c r="I15" s="439">
        <f t="shared" si="1"/>
        <v>0.12</v>
      </c>
      <c r="J15" s="439">
        <f t="shared" si="2"/>
        <v>0.12</v>
      </c>
      <c r="K15" s="439">
        <f t="shared" si="3"/>
        <v>0.12</v>
      </c>
      <c r="L15" s="454">
        <f t="shared" si="4"/>
        <v>0.12</v>
      </c>
      <c r="M15" s="434">
        <f>CEILING(C15*(1+H15),100)</f>
        <v>203300</v>
      </c>
      <c r="N15" s="440">
        <f>+CEILING(C15*(1.35)*(1+I15),100)</f>
        <v>274500</v>
      </c>
      <c r="O15" s="440">
        <f>+CEILING(C15*(1.4)*(1+J15),100)</f>
        <v>284600</v>
      </c>
      <c r="P15" s="440">
        <f t="shared" si="0"/>
        <v>254200</v>
      </c>
      <c r="Q15" s="441">
        <f t="shared" si="0"/>
        <v>305000</v>
      </c>
    </row>
    <row r="16" spans="1:256" ht="12.75" customHeight="1" thickBot="1" x14ac:dyDescent="0.25"/>
    <row r="17" spans="1:18" ht="15.75" customHeight="1" x14ac:dyDescent="0.2">
      <c r="A17" s="857" t="s">
        <v>136</v>
      </c>
      <c r="B17" s="858" t="s">
        <v>5</v>
      </c>
      <c r="C17" s="859" t="s">
        <v>259</v>
      </c>
      <c r="D17" s="848"/>
      <c r="E17" s="848"/>
      <c r="F17" s="848"/>
      <c r="G17" s="849"/>
      <c r="H17" s="850" t="s">
        <v>108</v>
      </c>
      <c r="I17" s="851"/>
      <c r="J17" s="851"/>
      <c r="K17" s="851"/>
      <c r="L17" s="852"/>
      <c r="M17" s="860" t="s">
        <v>265</v>
      </c>
      <c r="N17" s="861"/>
      <c r="O17" s="861"/>
      <c r="P17" s="861"/>
      <c r="Q17" s="862"/>
      <c r="R17" s="15"/>
    </row>
    <row r="18" spans="1:18" ht="72.75" customHeight="1" thickBot="1" x14ac:dyDescent="0.25">
      <c r="A18" s="835"/>
      <c r="B18" s="854"/>
      <c r="C18" s="462" t="s">
        <v>86</v>
      </c>
      <c r="D18" s="374" t="s">
        <v>138</v>
      </c>
      <c r="E18" s="374" t="s">
        <v>139</v>
      </c>
      <c r="F18" s="374" t="s">
        <v>87</v>
      </c>
      <c r="G18" s="463" t="s">
        <v>88</v>
      </c>
      <c r="H18" s="458" t="s">
        <v>86</v>
      </c>
      <c r="I18" s="356" t="s">
        <v>138</v>
      </c>
      <c r="J18" s="356" t="s">
        <v>139</v>
      </c>
      <c r="K18" s="459" t="s">
        <v>87</v>
      </c>
      <c r="L18" s="450" t="s">
        <v>88</v>
      </c>
      <c r="M18" s="455" t="s">
        <v>86</v>
      </c>
      <c r="N18" s="374" t="s">
        <v>138</v>
      </c>
      <c r="O18" s="374" t="s">
        <v>139</v>
      </c>
      <c r="P18" s="355" t="s">
        <v>87</v>
      </c>
      <c r="Q18" s="362" t="s">
        <v>88</v>
      </c>
      <c r="R18" s="15"/>
    </row>
    <row r="19" spans="1:18" ht="19.5" customHeight="1" x14ac:dyDescent="0.2">
      <c r="A19" s="844" t="s">
        <v>213</v>
      </c>
      <c r="B19" s="426" t="s">
        <v>214</v>
      </c>
      <c r="C19" s="464">
        <v>368300</v>
      </c>
      <c r="D19" s="443">
        <v>497200</v>
      </c>
      <c r="E19" s="443">
        <v>515600</v>
      </c>
      <c r="F19" s="443">
        <v>460300</v>
      </c>
      <c r="G19" s="465">
        <v>552400</v>
      </c>
      <c r="H19" s="451">
        <v>0.08</v>
      </c>
      <c r="I19" s="429">
        <f>+H19</f>
        <v>0.08</v>
      </c>
      <c r="J19" s="429">
        <f>+H19</f>
        <v>0.08</v>
      </c>
      <c r="K19" s="429">
        <f>+H19</f>
        <v>0.08</v>
      </c>
      <c r="L19" s="452">
        <f>+H19</f>
        <v>0.08</v>
      </c>
      <c r="M19" s="389">
        <f>CEILING(C19*(1+H19),100)</f>
        <v>397800</v>
      </c>
      <c r="N19" s="430">
        <f>+CEILING(C19*(1.35)*(1+I19),100)</f>
        <v>537000</v>
      </c>
      <c r="O19" s="430">
        <f>+CEILING(C19*(1.4)*(1+J19),100)</f>
        <v>556900</v>
      </c>
      <c r="P19" s="430">
        <f>+CEILING(F19*(1+K19),100)</f>
        <v>497200</v>
      </c>
      <c r="Q19" s="431">
        <f>+CEILING(G19*(1+L19),100)</f>
        <v>596600</v>
      </c>
      <c r="R19" s="69"/>
    </row>
    <row r="20" spans="1:18" ht="19.5" customHeight="1" x14ac:dyDescent="0.2">
      <c r="A20" s="845"/>
      <c r="B20" s="461" t="s">
        <v>141</v>
      </c>
      <c r="C20" s="466">
        <v>297100</v>
      </c>
      <c r="D20" s="442"/>
      <c r="E20" s="442"/>
      <c r="F20" s="442"/>
      <c r="G20" s="444"/>
      <c r="H20" s="460">
        <v>0.08</v>
      </c>
      <c r="I20" s="442"/>
      <c r="J20" s="442"/>
      <c r="K20" s="442"/>
      <c r="L20" s="444"/>
      <c r="M20" s="456">
        <f>CEILING(C20*(1+H20),100)</f>
        <v>320900</v>
      </c>
      <c r="N20" s="442"/>
      <c r="O20" s="442"/>
      <c r="P20" s="442"/>
      <c r="Q20" s="444"/>
      <c r="R20" s="69"/>
    </row>
    <row r="21" spans="1:18" ht="19.5" customHeight="1" thickBot="1" x14ac:dyDescent="0.25">
      <c r="A21" s="846"/>
      <c r="B21" s="432" t="s">
        <v>134</v>
      </c>
      <c r="C21" s="467">
        <v>221200</v>
      </c>
      <c r="D21" s="468">
        <v>298600</v>
      </c>
      <c r="E21" s="468">
        <v>309600</v>
      </c>
      <c r="F21" s="468">
        <v>331500</v>
      </c>
      <c r="G21" s="469">
        <v>442000</v>
      </c>
      <c r="H21" s="453">
        <v>0.08</v>
      </c>
      <c r="I21" s="439">
        <f t="shared" ref="I21" si="5">+H21</f>
        <v>0.08</v>
      </c>
      <c r="J21" s="439">
        <f t="shared" ref="J21" si="6">+H21</f>
        <v>0.08</v>
      </c>
      <c r="K21" s="439">
        <f t="shared" ref="K21" si="7">+H21</f>
        <v>0.08</v>
      </c>
      <c r="L21" s="454">
        <f t="shared" ref="L21" si="8">+H21</f>
        <v>0.08</v>
      </c>
      <c r="M21" s="457">
        <f>CEILING(C21*(1+H21),100)</f>
        <v>238900</v>
      </c>
      <c r="N21" s="440">
        <f>+CEILING(C21*(1.35)*(1+I21),100)</f>
        <v>322600</v>
      </c>
      <c r="O21" s="440">
        <f>+CEILING(C21*(1.4)*(1+J21),100)</f>
        <v>334500</v>
      </c>
      <c r="P21" s="440">
        <f>+CEILING(F21*(1+K21),100)</f>
        <v>358100</v>
      </c>
      <c r="Q21" s="441">
        <f>+CEILING(G21*(1+L21),100)</f>
        <v>477400</v>
      </c>
      <c r="R21" s="69"/>
    </row>
    <row r="22" spans="1:18" x14ac:dyDescent="0.2">
      <c r="D22" s="98"/>
    </row>
    <row r="23" spans="1:18" ht="15.75" x14ac:dyDescent="0.2">
      <c r="A23" s="833" t="s">
        <v>152</v>
      </c>
      <c r="B23" s="833"/>
      <c r="C23" s="833"/>
      <c r="D23" s="833"/>
      <c r="E23" s="833"/>
      <c r="F23" s="833"/>
      <c r="G23" s="4"/>
      <c r="H23" s="4"/>
    </row>
    <row r="24" spans="1:18" ht="13.5" thickBot="1" x14ac:dyDescent="0.25"/>
    <row r="25" spans="1:18" ht="16.5" thickBot="1" x14ac:dyDescent="0.25">
      <c r="A25" s="838" t="s">
        <v>135</v>
      </c>
      <c r="B25" s="836" t="s">
        <v>5</v>
      </c>
      <c r="C25" s="826" t="s">
        <v>264</v>
      </c>
      <c r="D25" s="826"/>
      <c r="E25" s="826"/>
      <c r="F25" s="826"/>
      <c r="G25" s="826"/>
      <c r="H25" s="827"/>
      <c r="M25" s="603"/>
    </row>
    <row r="26" spans="1:18" ht="64.5" thickBot="1" x14ac:dyDescent="0.25">
      <c r="A26" s="839"/>
      <c r="B26" s="837"/>
      <c r="C26" s="413" t="s">
        <v>86</v>
      </c>
      <c r="D26" s="76" t="s">
        <v>138</v>
      </c>
      <c r="E26" s="76" t="s">
        <v>139</v>
      </c>
      <c r="F26" s="76" t="s">
        <v>87</v>
      </c>
      <c r="G26" s="409" t="s">
        <v>88</v>
      </c>
      <c r="H26" s="396" t="s">
        <v>133</v>
      </c>
      <c r="M26" s="98"/>
    </row>
    <row r="27" spans="1:18" ht="19.5" customHeight="1" thickBot="1" x14ac:dyDescent="0.25">
      <c r="A27" s="840" t="str">
        <f>+A12</f>
        <v>Jardín Infantil Tortuguita Marina</v>
      </c>
      <c r="B27" s="417" t="str">
        <f>+B12</f>
        <v>Media jornada</v>
      </c>
      <c r="C27" s="414">
        <v>12</v>
      </c>
      <c r="D27" s="166"/>
      <c r="E27" s="166"/>
      <c r="F27" s="166"/>
      <c r="G27" s="410"/>
      <c r="H27" s="420">
        <f>SUM(C27:G27)</f>
        <v>12</v>
      </c>
      <c r="M27" s="604"/>
    </row>
    <row r="28" spans="1:18" ht="19.5" customHeight="1" thickBot="1" x14ac:dyDescent="0.25">
      <c r="A28" s="841"/>
      <c r="B28" s="418" t="str">
        <f>+B13</f>
        <v xml:space="preserve">Doble Jornada </v>
      </c>
      <c r="C28" s="415">
        <v>16</v>
      </c>
      <c r="D28" s="222"/>
      <c r="E28" s="222"/>
      <c r="F28" s="222"/>
      <c r="G28" s="411"/>
      <c r="H28" s="421">
        <f t="shared" ref="H28:H35" si="9">SUM(C28:G28)</f>
        <v>16</v>
      </c>
      <c r="I28" s="423">
        <f>SUM(H27:H28)</f>
        <v>28</v>
      </c>
      <c r="M28" s="604"/>
    </row>
    <row r="29" spans="1:18" ht="19.5" customHeight="1" thickBot="1" x14ac:dyDescent="0.25">
      <c r="A29" s="840" t="str">
        <f>+A14</f>
        <v>Jardín Infantil Burbujitas de Mar</v>
      </c>
      <c r="B29" s="417" t="str">
        <f>+B14</f>
        <v>Media jornada</v>
      </c>
      <c r="C29" s="414">
        <v>25</v>
      </c>
      <c r="D29" s="166"/>
      <c r="E29" s="166"/>
      <c r="F29" s="166"/>
      <c r="G29" s="410"/>
      <c r="H29" s="420">
        <f>SUM(C29:G29)</f>
        <v>25</v>
      </c>
      <c r="I29" s="14"/>
    </row>
    <row r="30" spans="1:18" ht="19.5" customHeight="1" thickBot="1" x14ac:dyDescent="0.25">
      <c r="A30" s="824"/>
      <c r="B30" s="419" t="str">
        <f>+B15</f>
        <v>Jornada  Completa</v>
      </c>
      <c r="C30" s="416"/>
      <c r="D30" s="223"/>
      <c r="E30" s="223"/>
      <c r="F30" s="223"/>
      <c r="G30" s="412"/>
      <c r="H30" s="422">
        <f>SUM(C30:G30)</f>
        <v>0</v>
      </c>
      <c r="I30" s="423">
        <f>SUM(H29:H30)</f>
        <v>25</v>
      </c>
      <c r="K30" s="604"/>
      <c r="L30" s="604"/>
      <c r="M30" s="604"/>
    </row>
    <row r="31" spans="1:18" ht="13.5" thickBot="1" x14ac:dyDescent="0.25">
      <c r="K31" s="604"/>
      <c r="L31" s="604"/>
      <c r="M31" s="604"/>
    </row>
    <row r="32" spans="1:18" ht="16.5" thickBot="1" x14ac:dyDescent="0.25">
      <c r="A32" s="863" t="s">
        <v>136</v>
      </c>
      <c r="B32" s="853" t="s">
        <v>5</v>
      </c>
      <c r="C32" s="855" t="s">
        <v>264</v>
      </c>
      <c r="D32" s="826"/>
      <c r="E32" s="826"/>
      <c r="F32" s="826"/>
      <c r="G32" s="826"/>
      <c r="H32" s="856"/>
    </row>
    <row r="33" spans="1:9" ht="64.5" thickBot="1" x14ac:dyDescent="0.25">
      <c r="A33" s="864"/>
      <c r="B33" s="854"/>
      <c r="C33" s="163" t="s">
        <v>86</v>
      </c>
      <c r="D33" s="76" t="s">
        <v>138</v>
      </c>
      <c r="E33" s="76" t="s">
        <v>139</v>
      </c>
      <c r="F33" s="76" t="s">
        <v>87</v>
      </c>
      <c r="G33" s="77" t="s">
        <v>88</v>
      </c>
      <c r="H33" s="164" t="s">
        <v>133</v>
      </c>
    </row>
    <row r="34" spans="1:9" ht="19.5" customHeight="1" x14ac:dyDescent="0.2">
      <c r="A34" s="822" t="str">
        <f>+A19</f>
        <v>Sala Cuna Burbujitas de Mar</v>
      </c>
      <c r="B34" s="168" t="str">
        <f>+B19</f>
        <v>Jornada Completa Diurna</v>
      </c>
      <c r="C34" s="165">
        <v>45</v>
      </c>
      <c r="D34" s="166"/>
      <c r="E34" s="166"/>
      <c r="F34" s="166"/>
      <c r="G34" s="166"/>
      <c r="H34" s="229">
        <f t="shared" si="9"/>
        <v>45</v>
      </c>
    </row>
    <row r="35" spans="1:9" ht="19.5" customHeight="1" thickBot="1" x14ac:dyDescent="0.25">
      <c r="A35" s="823"/>
      <c r="B35" s="169" t="str">
        <f>+B20</f>
        <v>Nocturna</v>
      </c>
      <c r="C35" s="171">
        <v>28</v>
      </c>
      <c r="D35" s="613"/>
      <c r="E35" s="613"/>
      <c r="F35" s="613"/>
      <c r="G35" s="613"/>
      <c r="H35" s="230">
        <f t="shared" si="9"/>
        <v>28</v>
      </c>
    </row>
    <row r="36" spans="1:9" ht="19.5" customHeight="1" thickBot="1" x14ac:dyDescent="0.25">
      <c r="A36" s="824"/>
      <c r="B36" s="170" t="str">
        <f>+B21</f>
        <v>Media Jornada</v>
      </c>
      <c r="C36" s="167"/>
      <c r="D36" s="97"/>
      <c r="E36" s="97"/>
      <c r="F36" s="97"/>
      <c r="G36" s="97"/>
      <c r="H36" s="231">
        <f t="shared" ref="H36" si="10">SUM(C36:G36)</f>
        <v>0</v>
      </c>
      <c r="I36" s="423">
        <f>H36+H34</f>
        <v>45</v>
      </c>
    </row>
  </sheetData>
  <mergeCells count="26"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  <pageSetUpPr fitToPage="1"/>
  </sheetPr>
  <dimension ref="A1:P274"/>
  <sheetViews>
    <sheetView showGridLines="0" topLeftCell="A184" zoomScale="80" zoomScaleNormal="80" workbookViewId="0">
      <selection activeCell="E194" sqref="E194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20" customWidth="1"/>
    <col min="7" max="7" width="14.28515625" style="4" customWidth="1"/>
    <col min="8" max="8" width="23" style="4" customWidth="1"/>
    <col min="9" max="9" width="9.5703125" style="2" customWidth="1"/>
    <col min="10" max="10" width="13.5703125" style="2" customWidth="1"/>
    <col min="11" max="11" width="11.42578125" style="2"/>
    <col min="12" max="12" width="46.7109375" style="2" customWidth="1"/>
    <col min="13" max="13" width="12" style="2" bestFit="1" customWidth="1"/>
    <col min="14" max="14" width="12.28515625" style="2" customWidth="1"/>
    <col min="15" max="15" width="14.28515625" style="2" customWidth="1"/>
    <col min="16" max="16" width="14.140625" style="2" customWidth="1"/>
    <col min="17" max="16384" width="11.42578125" style="2"/>
  </cols>
  <sheetData>
    <row r="1" spans="1:10" x14ac:dyDescent="0.2">
      <c r="C1" s="33"/>
      <c r="D1" s="33" t="s">
        <v>206</v>
      </c>
      <c r="E1" s="33"/>
      <c r="F1" s="33"/>
      <c r="G1" s="33"/>
      <c r="H1" s="33"/>
    </row>
    <row r="2" spans="1:10" x14ac:dyDescent="0.2">
      <c r="C2" s="33"/>
      <c r="D2" s="33" t="s">
        <v>217</v>
      </c>
      <c r="E2" s="33"/>
      <c r="F2" s="33"/>
      <c r="G2" s="33"/>
      <c r="H2" s="33"/>
      <c r="I2" s="33"/>
    </row>
    <row r="3" spans="1:10" x14ac:dyDescent="0.2">
      <c r="C3" s="33"/>
      <c r="E3" s="33"/>
      <c r="F3" s="33"/>
      <c r="G3" s="33"/>
      <c r="H3" s="33"/>
      <c r="I3" s="33"/>
    </row>
    <row r="4" spans="1:10" ht="19.5" customHeight="1" x14ac:dyDescent="0.2">
      <c r="C4" s="6" t="s">
        <v>0</v>
      </c>
      <c r="D4" s="885" t="s">
        <v>153</v>
      </c>
      <c r="E4" s="886"/>
      <c r="F4" s="33"/>
      <c r="G4" s="33"/>
      <c r="H4" s="33"/>
      <c r="I4" s="33"/>
    </row>
    <row r="5" spans="1:10" x14ac:dyDescent="0.2">
      <c r="B5" s="33"/>
      <c r="C5" s="33"/>
      <c r="D5" s="33"/>
      <c r="E5" s="33"/>
      <c r="F5" s="33"/>
      <c r="G5" s="33"/>
      <c r="H5" s="33"/>
      <c r="I5" s="33"/>
    </row>
    <row r="6" spans="1:10" x14ac:dyDescent="0.2">
      <c r="B6" s="33"/>
      <c r="C6" s="33"/>
      <c r="D6" s="33"/>
      <c r="E6" s="33"/>
      <c r="F6" s="33"/>
      <c r="G6" s="33"/>
      <c r="H6" s="33"/>
      <c r="I6" s="33"/>
    </row>
    <row r="7" spans="1:10" x14ac:dyDescent="0.2">
      <c r="C7" s="4"/>
      <c r="I7" s="33"/>
    </row>
    <row r="8" spans="1:10" ht="15.75" x14ac:dyDescent="0.2">
      <c r="A8" s="833" t="s">
        <v>154</v>
      </c>
      <c r="B8" s="833"/>
      <c r="C8" s="833"/>
      <c r="D8" s="33"/>
      <c r="G8" s="2"/>
      <c r="I8"/>
    </row>
    <row r="9" spans="1:10" ht="13.5" thickBot="1" x14ac:dyDescent="0.25">
      <c r="I9" s="33"/>
    </row>
    <row r="10" spans="1:10" ht="12.75" customHeight="1" x14ac:dyDescent="0.2">
      <c r="A10" s="880" t="s">
        <v>114</v>
      </c>
      <c r="B10" s="882" t="s">
        <v>75</v>
      </c>
      <c r="C10" s="873" t="s">
        <v>76</v>
      </c>
      <c r="D10" s="875" t="s">
        <v>77</v>
      </c>
      <c r="E10" s="877" t="s">
        <v>78</v>
      </c>
      <c r="F10" s="877"/>
      <c r="G10" s="877"/>
      <c r="H10" s="896" t="s">
        <v>266</v>
      </c>
      <c r="I10" s="884"/>
      <c r="J10" s="884"/>
    </row>
    <row r="11" spans="1:10" ht="57" customHeight="1" thickBot="1" x14ac:dyDescent="0.25">
      <c r="A11" s="881"/>
      <c r="B11" s="883"/>
      <c r="C11" s="874"/>
      <c r="D11" s="876"/>
      <c r="E11" s="311" t="s">
        <v>67</v>
      </c>
      <c r="F11" s="312" t="s">
        <v>68</v>
      </c>
      <c r="G11" s="313" t="s">
        <v>6</v>
      </c>
      <c r="H11" s="897"/>
      <c r="I11" s="884"/>
      <c r="J11" s="884"/>
    </row>
    <row r="12" spans="1:10" ht="12.75" customHeight="1" x14ac:dyDescent="0.2">
      <c r="A12" s="870" t="str">
        <f>'B) Reajuste Tarifas y Ocupación'!A12:A13</f>
        <v>Jardín Infantil Tortuguita Marina</v>
      </c>
      <c r="B12" s="247"/>
      <c r="C12" s="248" t="s">
        <v>11</v>
      </c>
      <c r="D12" s="249">
        <f>SUM(D13,D18)</f>
        <v>14772439</v>
      </c>
      <c r="E12" s="273"/>
      <c r="F12" s="273"/>
      <c r="G12" s="251">
        <f>SUM(G13,G18)</f>
        <v>2388328</v>
      </c>
      <c r="H12" s="252">
        <f>SUM(H13,H18)</f>
        <v>17160767</v>
      </c>
    </row>
    <row r="13" spans="1:10" ht="12.75" customHeight="1" x14ac:dyDescent="0.2">
      <c r="A13" s="871"/>
      <c r="B13" s="196"/>
      <c r="C13" s="274" t="s">
        <v>12</v>
      </c>
      <c r="D13" s="275">
        <f>SUM(D14:D17)</f>
        <v>13521703.6</v>
      </c>
      <c r="E13" s="276"/>
      <c r="F13" s="276"/>
      <c r="G13" s="277">
        <f>SUM(G14:G17)</f>
        <v>0</v>
      </c>
      <c r="H13" s="254">
        <f>SUM(H14:H17)</f>
        <v>13521703.6</v>
      </c>
    </row>
    <row r="14" spans="1:10" ht="12.75" customHeight="1" x14ac:dyDescent="0.2">
      <c r="A14" s="871"/>
      <c r="B14" s="197">
        <v>53103040100000</v>
      </c>
      <c r="C14" s="278" t="s">
        <v>95</v>
      </c>
      <c r="D14" s="279">
        <f>+'F) Remuneraciones'!L11</f>
        <v>13521703.6</v>
      </c>
      <c r="E14" s="280">
        <v>0</v>
      </c>
      <c r="F14" s="281">
        <v>0</v>
      </c>
      <c r="G14" s="282">
        <f>E14*F14</f>
        <v>0</v>
      </c>
      <c r="H14" s="283">
        <f>D14+G14</f>
        <v>13521703.6</v>
      </c>
    </row>
    <row r="15" spans="1:10" ht="12.75" customHeight="1" x14ac:dyDescent="0.2">
      <c r="A15" s="871"/>
      <c r="B15" s="197">
        <v>53103050000000</v>
      </c>
      <c r="C15" s="278" t="s">
        <v>173</v>
      </c>
      <c r="D15" s="284">
        <v>0</v>
      </c>
      <c r="E15" s="285">
        <v>0</v>
      </c>
      <c r="F15" s="286">
        <v>0</v>
      </c>
      <c r="G15" s="282">
        <f>E15*F15</f>
        <v>0</v>
      </c>
      <c r="H15" s="283">
        <f>D15+G15</f>
        <v>0</v>
      </c>
    </row>
    <row r="16" spans="1:10" ht="12.75" customHeight="1" x14ac:dyDescent="0.2">
      <c r="A16" s="871"/>
      <c r="B16" s="198">
        <v>53103040400000</v>
      </c>
      <c r="C16" s="199" t="s">
        <v>174</v>
      </c>
      <c r="D16" s="284">
        <v>0</v>
      </c>
      <c r="E16" s="285">
        <v>0</v>
      </c>
      <c r="F16" s="286">
        <v>0</v>
      </c>
      <c r="G16" s="282">
        <f>E16*F16</f>
        <v>0</v>
      </c>
      <c r="H16" s="283">
        <f>D16+G16</f>
        <v>0</v>
      </c>
    </row>
    <row r="17" spans="1:8" ht="12.75" customHeight="1" x14ac:dyDescent="0.2">
      <c r="A17" s="871"/>
      <c r="B17" s="197">
        <v>53103080010000</v>
      </c>
      <c r="C17" s="278" t="s">
        <v>175</v>
      </c>
      <c r="D17" s="284">
        <v>0</v>
      </c>
      <c r="E17" s="285">
        <v>0</v>
      </c>
      <c r="F17" s="286">
        <v>0</v>
      </c>
      <c r="G17" s="282">
        <f>E17*F17</f>
        <v>0</v>
      </c>
      <c r="H17" s="283">
        <f>D17+G17</f>
        <v>0</v>
      </c>
    </row>
    <row r="18" spans="1:8" ht="12.75" customHeight="1" x14ac:dyDescent="0.2">
      <c r="A18" s="871"/>
      <c r="B18" s="196"/>
      <c r="C18" s="274" t="s">
        <v>16</v>
      </c>
      <c r="D18" s="287">
        <f>SUM(D19:D38)</f>
        <v>1250735.4000000001</v>
      </c>
      <c r="E18" s="288"/>
      <c r="F18" s="288">
        <v>0</v>
      </c>
      <c r="G18" s="275">
        <f>SUM(G19:G38)</f>
        <v>2388328</v>
      </c>
      <c r="H18" s="254">
        <f>SUM(H19:H38)</f>
        <v>3639063.4000000004</v>
      </c>
    </row>
    <row r="19" spans="1:8" ht="12.75" customHeight="1" x14ac:dyDescent="0.2">
      <c r="A19" s="871"/>
      <c r="B19" s="197">
        <v>53201010100000</v>
      </c>
      <c r="C19" s="289" t="s">
        <v>176</v>
      </c>
      <c r="D19" s="290">
        <v>0</v>
      </c>
      <c r="E19" s="285">
        <v>0</v>
      </c>
      <c r="F19" s="286">
        <v>0</v>
      </c>
      <c r="G19" s="282">
        <f t="shared" ref="G19:G38" si="0">E19*F19</f>
        <v>0</v>
      </c>
      <c r="H19" s="283">
        <f t="shared" ref="H19:H38" si="1">D19+G19</f>
        <v>0</v>
      </c>
    </row>
    <row r="20" spans="1:8" ht="12.75" customHeight="1" x14ac:dyDescent="0.2">
      <c r="A20" s="871"/>
      <c r="B20" s="197">
        <v>53201010100000</v>
      </c>
      <c r="C20" s="289" t="s">
        <v>177</v>
      </c>
      <c r="D20" s="290">
        <v>0</v>
      </c>
      <c r="E20" s="285">
        <v>0</v>
      </c>
      <c r="F20" s="286">
        <v>0</v>
      </c>
      <c r="G20" s="282">
        <f t="shared" si="0"/>
        <v>0</v>
      </c>
      <c r="H20" s="283">
        <f t="shared" si="1"/>
        <v>0</v>
      </c>
    </row>
    <row r="21" spans="1:8" ht="12.75" customHeight="1" x14ac:dyDescent="0.2">
      <c r="A21" s="871"/>
      <c r="B21" s="197">
        <v>53201010100000</v>
      </c>
      <c r="C21" s="289" t="s">
        <v>178</v>
      </c>
      <c r="D21" s="290">
        <v>0</v>
      </c>
      <c r="E21" s="285">
        <v>0</v>
      </c>
      <c r="F21" s="291">
        <v>0</v>
      </c>
      <c r="G21" s="282">
        <f t="shared" si="0"/>
        <v>0</v>
      </c>
      <c r="H21" s="283">
        <f t="shared" si="1"/>
        <v>0</v>
      </c>
    </row>
    <row r="22" spans="1:8" ht="12.75" customHeight="1" x14ac:dyDescent="0.2">
      <c r="A22" s="871"/>
      <c r="B22" s="197">
        <v>53202010100000</v>
      </c>
      <c r="C22" s="278" t="s">
        <v>179</v>
      </c>
      <c r="D22" s="292">
        <v>0</v>
      </c>
      <c r="E22" s="292">
        <v>0</v>
      </c>
      <c r="F22" s="293">
        <v>0</v>
      </c>
      <c r="G22" s="282">
        <f t="shared" si="0"/>
        <v>0</v>
      </c>
      <c r="H22" s="283">
        <f t="shared" si="1"/>
        <v>0</v>
      </c>
    </row>
    <row r="23" spans="1:8" ht="12.75" customHeight="1" x14ac:dyDescent="0.2">
      <c r="A23" s="871"/>
      <c r="B23" s="197">
        <v>53203010100000</v>
      </c>
      <c r="C23" s="278" t="s">
        <v>19</v>
      </c>
      <c r="D23" s="294">
        <v>0</v>
      </c>
      <c r="E23" s="294">
        <v>0</v>
      </c>
      <c r="F23" s="295">
        <v>0</v>
      </c>
      <c r="G23" s="282">
        <f t="shared" si="0"/>
        <v>0</v>
      </c>
      <c r="H23" s="283">
        <f t="shared" si="1"/>
        <v>0</v>
      </c>
    </row>
    <row r="24" spans="1:8" ht="12.75" customHeight="1" x14ac:dyDescent="0.2">
      <c r="A24" s="871"/>
      <c r="B24" s="197">
        <v>53203030000000</v>
      </c>
      <c r="C24" s="278" t="s">
        <v>180</v>
      </c>
      <c r="D24" s="294">
        <v>0</v>
      </c>
      <c r="E24" s="294">
        <v>0</v>
      </c>
      <c r="F24" s="295">
        <v>0</v>
      </c>
      <c r="G24" s="282">
        <f t="shared" si="0"/>
        <v>0</v>
      </c>
      <c r="H24" s="283">
        <f t="shared" si="1"/>
        <v>0</v>
      </c>
    </row>
    <row r="25" spans="1:8" ht="12.75" customHeight="1" x14ac:dyDescent="0.2">
      <c r="A25" s="871"/>
      <c r="B25" s="197">
        <v>53204030000000</v>
      </c>
      <c r="C25" s="278" t="s">
        <v>222</v>
      </c>
      <c r="D25" s="294">
        <v>0</v>
      </c>
      <c r="E25" s="294">
        <v>19897</v>
      </c>
      <c r="F25" s="295">
        <v>4</v>
      </c>
      <c r="G25" s="282">
        <f t="shared" si="0"/>
        <v>79588</v>
      </c>
      <c r="H25" s="283">
        <f>D25+G25</f>
        <v>79588</v>
      </c>
    </row>
    <row r="26" spans="1:8" ht="12.75" customHeight="1" x14ac:dyDescent="0.2">
      <c r="A26" s="871"/>
      <c r="B26" s="197">
        <v>53204100100001</v>
      </c>
      <c r="C26" s="278" t="s">
        <v>22</v>
      </c>
      <c r="D26" s="294">
        <v>825575.40000000014</v>
      </c>
      <c r="E26" s="294">
        <v>0</v>
      </c>
      <c r="F26" s="295">
        <v>0</v>
      </c>
      <c r="G26" s="282">
        <f t="shared" si="0"/>
        <v>0</v>
      </c>
      <c r="H26" s="283">
        <f t="shared" si="1"/>
        <v>825575.40000000014</v>
      </c>
    </row>
    <row r="27" spans="1:8" ht="12.75" customHeight="1" x14ac:dyDescent="0.2">
      <c r="A27" s="871"/>
      <c r="B27" s="197">
        <v>53204130100000</v>
      </c>
      <c r="C27" s="278" t="s">
        <v>182</v>
      </c>
      <c r="D27" s="294">
        <v>0</v>
      </c>
      <c r="E27" s="294">
        <v>0</v>
      </c>
      <c r="F27" s="295">
        <v>0</v>
      </c>
      <c r="G27" s="282">
        <f t="shared" si="0"/>
        <v>0</v>
      </c>
      <c r="H27" s="283">
        <f t="shared" si="1"/>
        <v>0</v>
      </c>
    </row>
    <row r="28" spans="1:8" ht="12.75" customHeight="1" x14ac:dyDescent="0.2">
      <c r="A28" s="871"/>
      <c r="B28" s="197">
        <v>53205010100000</v>
      </c>
      <c r="C28" s="278" t="s">
        <v>24</v>
      </c>
      <c r="D28" s="294">
        <f>27750*12*1.05</f>
        <v>349650</v>
      </c>
      <c r="E28" s="294">
        <v>0</v>
      </c>
      <c r="F28" s="295">
        <v>0</v>
      </c>
      <c r="G28" s="282">
        <f t="shared" si="0"/>
        <v>0</v>
      </c>
      <c r="H28" s="283">
        <f t="shared" si="1"/>
        <v>349650</v>
      </c>
    </row>
    <row r="29" spans="1:8" ht="12.75" customHeight="1" x14ac:dyDescent="0.2">
      <c r="A29" s="871"/>
      <c r="B29" s="197">
        <v>53205020100000</v>
      </c>
      <c r="C29" s="278" t="s">
        <v>25</v>
      </c>
      <c r="D29" s="294">
        <v>0</v>
      </c>
      <c r="E29" s="294">
        <v>3230</v>
      </c>
      <c r="F29" s="295">
        <v>84</v>
      </c>
      <c r="G29" s="282">
        <f t="shared" si="0"/>
        <v>271320</v>
      </c>
      <c r="H29" s="283">
        <f t="shared" si="1"/>
        <v>271320</v>
      </c>
    </row>
    <row r="30" spans="1:8" ht="12.75" customHeight="1" x14ac:dyDescent="0.2">
      <c r="A30" s="871"/>
      <c r="B30" s="197">
        <v>53205030100000</v>
      </c>
      <c r="C30" s="278" t="s">
        <v>26</v>
      </c>
      <c r="D30" s="294">
        <v>0</v>
      </c>
      <c r="E30" s="294">
        <f>80850*1.05</f>
        <v>84892.5</v>
      </c>
      <c r="F30" s="295">
        <v>24</v>
      </c>
      <c r="G30" s="282">
        <f t="shared" si="0"/>
        <v>2037420</v>
      </c>
      <c r="H30" s="283">
        <f t="shared" si="1"/>
        <v>2037420</v>
      </c>
    </row>
    <row r="31" spans="1:8" ht="12.75" customHeight="1" x14ac:dyDescent="0.2">
      <c r="A31" s="871"/>
      <c r="B31" s="197">
        <v>53205050100000</v>
      </c>
      <c r="C31" s="278" t="s">
        <v>27</v>
      </c>
      <c r="D31" s="294">
        <v>0</v>
      </c>
      <c r="E31" s="294">
        <v>0</v>
      </c>
      <c r="F31" s="295">
        <v>0</v>
      </c>
      <c r="G31" s="282">
        <f t="shared" si="0"/>
        <v>0</v>
      </c>
      <c r="H31" s="283">
        <f t="shared" si="1"/>
        <v>0</v>
      </c>
    </row>
    <row r="32" spans="1:8" ht="12.75" customHeight="1" x14ac:dyDescent="0.2">
      <c r="A32" s="871"/>
      <c r="B32" s="197">
        <v>53205070100000</v>
      </c>
      <c r="C32" s="278" t="s">
        <v>29</v>
      </c>
      <c r="D32" s="294">
        <v>0</v>
      </c>
      <c r="E32" s="294">
        <v>0</v>
      </c>
      <c r="F32" s="295">
        <v>0</v>
      </c>
      <c r="G32" s="282">
        <f t="shared" si="0"/>
        <v>0</v>
      </c>
      <c r="H32" s="283">
        <f t="shared" si="1"/>
        <v>0</v>
      </c>
    </row>
    <row r="33" spans="1:8" ht="12.75" customHeight="1" x14ac:dyDescent="0.2">
      <c r="A33" s="871"/>
      <c r="B33" s="197">
        <v>53208010100000</v>
      </c>
      <c r="C33" s="278" t="s">
        <v>30</v>
      </c>
      <c r="D33" s="294">
        <v>0</v>
      </c>
      <c r="E33" s="294">
        <v>0</v>
      </c>
      <c r="F33" s="295">
        <v>0</v>
      </c>
      <c r="G33" s="282">
        <f t="shared" si="0"/>
        <v>0</v>
      </c>
      <c r="H33" s="283">
        <f t="shared" si="1"/>
        <v>0</v>
      </c>
    </row>
    <row r="34" spans="1:8" ht="12.75" customHeight="1" x14ac:dyDescent="0.2">
      <c r="A34" s="871"/>
      <c r="B34" s="197">
        <v>53208070100001</v>
      </c>
      <c r="C34" s="278" t="s">
        <v>31</v>
      </c>
      <c r="D34" s="296">
        <v>0</v>
      </c>
      <c r="E34" s="296">
        <v>0</v>
      </c>
      <c r="F34" s="293">
        <v>0</v>
      </c>
      <c r="G34" s="282">
        <f t="shared" si="0"/>
        <v>0</v>
      </c>
      <c r="H34" s="283">
        <f t="shared" si="1"/>
        <v>0</v>
      </c>
    </row>
    <row r="35" spans="1:8" ht="12.75" customHeight="1" x14ac:dyDescent="0.2">
      <c r="A35" s="871"/>
      <c r="B35" s="197">
        <v>53208100100001</v>
      </c>
      <c r="C35" s="278" t="s">
        <v>183</v>
      </c>
      <c r="D35" s="294">
        <v>0</v>
      </c>
      <c r="E35" s="294">
        <v>0</v>
      </c>
      <c r="F35" s="295">
        <v>0</v>
      </c>
      <c r="G35" s="282">
        <f t="shared" si="0"/>
        <v>0</v>
      </c>
      <c r="H35" s="283">
        <f t="shared" si="1"/>
        <v>0</v>
      </c>
    </row>
    <row r="36" spans="1:8" ht="12.75" customHeight="1" x14ac:dyDescent="0.2">
      <c r="A36" s="871"/>
      <c r="B36" s="197">
        <v>53211030000000</v>
      </c>
      <c r="C36" s="278" t="s">
        <v>32</v>
      </c>
      <c r="D36" s="294">
        <v>0</v>
      </c>
      <c r="E36" s="294">
        <v>0</v>
      </c>
      <c r="F36" s="295">
        <v>0</v>
      </c>
      <c r="G36" s="282">
        <f t="shared" si="0"/>
        <v>0</v>
      </c>
      <c r="H36" s="283">
        <f t="shared" si="1"/>
        <v>0</v>
      </c>
    </row>
    <row r="37" spans="1:8" ht="12.75" customHeight="1" x14ac:dyDescent="0.2">
      <c r="A37" s="871"/>
      <c r="B37" s="197">
        <v>53212020100000</v>
      </c>
      <c r="C37" s="278" t="s">
        <v>184</v>
      </c>
      <c r="D37" s="294">
        <v>75510</v>
      </c>
      <c r="E37" s="294">
        <v>0</v>
      </c>
      <c r="F37" s="295">
        <v>0</v>
      </c>
      <c r="G37" s="282">
        <f t="shared" si="0"/>
        <v>0</v>
      </c>
      <c r="H37" s="283">
        <f t="shared" si="1"/>
        <v>75510</v>
      </c>
    </row>
    <row r="38" spans="1:8" ht="12.75" customHeight="1" x14ac:dyDescent="0.2">
      <c r="A38" s="871"/>
      <c r="B38" s="197">
        <v>53214020000000</v>
      </c>
      <c r="C38" s="278" t="s">
        <v>185</v>
      </c>
      <c r="D38" s="296">
        <v>0</v>
      </c>
      <c r="E38" s="296">
        <v>0</v>
      </c>
      <c r="F38" s="293">
        <v>0</v>
      </c>
      <c r="G38" s="282">
        <f t="shared" si="0"/>
        <v>0</v>
      </c>
      <c r="H38" s="283">
        <f t="shared" si="1"/>
        <v>0</v>
      </c>
    </row>
    <row r="39" spans="1:8" ht="12.75" customHeight="1" x14ac:dyDescent="0.2">
      <c r="A39" s="871"/>
      <c r="B39" s="297"/>
      <c r="C39" s="298" t="s">
        <v>34</v>
      </c>
      <c r="D39" s="299">
        <f>+D40+D45+D47+D56+D65+D73</f>
        <v>10297535.800000001</v>
      </c>
      <c r="E39" s="300"/>
      <c r="F39" s="300"/>
      <c r="G39" s="299">
        <f>+G40+G45+G47+G56+G65+G73</f>
        <v>1748128</v>
      </c>
      <c r="H39" s="301">
        <f>+H40+H45+H47+H56+H65+H73</f>
        <v>12045663.800000001</v>
      </c>
    </row>
    <row r="40" spans="1:8" ht="12.75" customHeight="1" x14ac:dyDescent="0.2">
      <c r="A40" s="871"/>
      <c r="B40" s="196"/>
      <c r="C40" s="274" t="s">
        <v>35</v>
      </c>
      <c r="D40" s="287">
        <f>SUM(D41:D44)</f>
        <v>0</v>
      </c>
      <c r="E40" s="302"/>
      <c r="F40" s="302"/>
      <c r="G40" s="303">
        <f>SUM(G41:G44)</f>
        <v>185000</v>
      </c>
      <c r="H40" s="304">
        <f>SUM(H41:H44)</f>
        <v>185000</v>
      </c>
    </row>
    <row r="41" spans="1:8" ht="12.75" customHeight="1" x14ac:dyDescent="0.2">
      <c r="A41" s="871"/>
      <c r="B41" s="197">
        <v>53202020100000</v>
      </c>
      <c r="C41" s="278" t="s">
        <v>186</v>
      </c>
      <c r="D41" s="284">
        <v>0</v>
      </c>
      <c r="E41" s="285">
        <v>50000</v>
      </c>
      <c r="F41" s="291">
        <v>3</v>
      </c>
      <c r="G41" s="282">
        <f>E41*F41</f>
        <v>150000</v>
      </c>
      <c r="H41" s="283">
        <f t="shared" ref="H41:H74" si="2">D41+G41</f>
        <v>150000</v>
      </c>
    </row>
    <row r="42" spans="1:8" ht="12.75" customHeight="1" x14ac:dyDescent="0.2">
      <c r="A42" s="871"/>
      <c r="B42" s="197">
        <v>53202030000000</v>
      </c>
      <c r="C42" s="278" t="s">
        <v>187</v>
      </c>
      <c r="D42" s="284">
        <v>0</v>
      </c>
      <c r="E42" s="285">
        <v>35000</v>
      </c>
      <c r="F42" s="291">
        <v>1</v>
      </c>
      <c r="G42" s="282">
        <f t="shared" ref="G42:G74" si="3">E42*F42</f>
        <v>35000</v>
      </c>
      <c r="H42" s="283">
        <f t="shared" si="2"/>
        <v>35000</v>
      </c>
    </row>
    <row r="43" spans="1:8" ht="12.75" customHeight="1" x14ac:dyDescent="0.2">
      <c r="A43" s="871"/>
      <c r="B43" s="197">
        <v>53211020000000</v>
      </c>
      <c r="C43" s="278" t="s">
        <v>41</v>
      </c>
      <c r="D43" s="294">
        <v>0</v>
      </c>
      <c r="E43" s="294">
        <v>0</v>
      </c>
      <c r="F43" s="295">
        <v>0</v>
      </c>
      <c r="G43" s="282">
        <f t="shared" si="3"/>
        <v>0</v>
      </c>
      <c r="H43" s="283">
        <f t="shared" si="2"/>
        <v>0</v>
      </c>
    </row>
    <row r="44" spans="1:8" ht="12.75" customHeight="1" x14ac:dyDescent="0.2">
      <c r="A44" s="871"/>
      <c r="B44" s="197">
        <v>53101040600000</v>
      </c>
      <c r="C44" s="278" t="s">
        <v>188</v>
      </c>
      <c r="D44" s="294">
        <v>0</v>
      </c>
      <c r="E44" s="294">
        <v>0</v>
      </c>
      <c r="F44" s="295">
        <v>0</v>
      </c>
      <c r="G44" s="282">
        <f t="shared" si="3"/>
        <v>0</v>
      </c>
      <c r="H44" s="283">
        <f t="shared" si="2"/>
        <v>0</v>
      </c>
    </row>
    <row r="45" spans="1:8" ht="12.75" customHeight="1" x14ac:dyDescent="0.2">
      <c r="A45" s="871"/>
      <c r="B45" s="196"/>
      <c r="C45" s="274" t="s">
        <v>42</v>
      </c>
      <c r="D45" s="287">
        <f>SUM(D46)</f>
        <v>0</v>
      </c>
      <c r="E45" s="302"/>
      <c r="F45" s="305"/>
      <c r="G45" s="303">
        <f>SUM(G46:G46)</f>
        <v>0</v>
      </c>
      <c r="H45" s="304">
        <f>SUM(H46:H46)</f>
        <v>0</v>
      </c>
    </row>
    <row r="46" spans="1:8" ht="12.75" customHeight="1" x14ac:dyDescent="0.2">
      <c r="A46" s="871"/>
      <c r="B46" s="200">
        <v>53205990000000</v>
      </c>
      <c r="C46" s="278" t="s">
        <v>44</v>
      </c>
      <c r="D46" s="294">
        <v>0</v>
      </c>
      <c r="E46" s="294">
        <v>0</v>
      </c>
      <c r="F46" s="295">
        <v>0</v>
      </c>
      <c r="G46" s="282">
        <f t="shared" si="3"/>
        <v>0</v>
      </c>
      <c r="H46" s="283">
        <f t="shared" si="2"/>
        <v>0</v>
      </c>
    </row>
    <row r="47" spans="1:8" ht="12.75" customHeight="1" x14ac:dyDescent="0.2">
      <c r="A47" s="871"/>
      <c r="B47" s="196"/>
      <c r="C47" s="274" t="s">
        <v>45</v>
      </c>
      <c r="D47" s="287">
        <f>SUM(D48:D55)</f>
        <v>6575116.8000000007</v>
      </c>
      <c r="E47" s="302"/>
      <c r="F47" s="305"/>
      <c r="G47" s="275">
        <f>SUM(G48:G55)</f>
        <v>0</v>
      </c>
      <c r="H47" s="254">
        <f>SUM(H48:H55)</f>
        <v>6575116.8000000007</v>
      </c>
    </row>
    <row r="48" spans="1:8" ht="12.75" customHeight="1" x14ac:dyDescent="0.2">
      <c r="A48" s="871"/>
      <c r="B48" s="197">
        <v>53204010000000</v>
      </c>
      <c r="C48" s="278" t="s">
        <v>47</v>
      </c>
      <c r="D48" s="294">
        <v>198878.40000000002</v>
      </c>
      <c r="E48" s="294">
        <v>0</v>
      </c>
      <c r="F48" s="295">
        <v>0</v>
      </c>
      <c r="G48" s="282">
        <f t="shared" si="3"/>
        <v>0</v>
      </c>
      <c r="H48" s="283">
        <f t="shared" si="2"/>
        <v>198878.40000000002</v>
      </c>
    </row>
    <row r="49" spans="1:8" ht="12.75" customHeight="1" x14ac:dyDescent="0.2">
      <c r="A49" s="871"/>
      <c r="B49" s="200">
        <v>53204040200000</v>
      </c>
      <c r="C49" s="278" t="s">
        <v>223</v>
      </c>
      <c r="D49" s="294">
        <v>50000</v>
      </c>
      <c r="E49" s="294">
        <v>0</v>
      </c>
      <c r="F49" s="295">
        <v>0</v>
      </c>
      <c r="G49" s="282">
        <f t="shared" si="3"/>
        <v>0</v>
      </c>
      <c r="H49" s="283">
        <f t="shared" si="2"/>
        <v>50000</v>
      </c>
    </row>
    <row r="50" spans="1:8" ht="12.75" customHeight="1" x14ac:dyDescent="0.2">
      <c r="A50" s="871"/>
      <c r="B50" s="197">
        <v>53204060000000</v>
      </c>
      <c r="C50" s="278" t="s">
        <v>49</v>
      </c>
      <c r="D50" s="294">
        <v>0</v>
      </c>
      <c r="E50" s="294">
        <v>0</v>
      </c>
      <c r="F50" s="295">
        <v>0</v>
      </c>
      <c r="G50" s="282">
        <f t="shared" si="3"/>
        <v>0</v>
      </c>
      <c r="H50" s="283">
        <f t="shared" si="2"/>
        <v>0</v>
      </c>
    </row>
    <row r="51" spans="1:8" ht="12.75" customHeight="1" x14ac:dyDescent="0.2">
      <c r="A51" s="871"/>
      <c r="B51" s="197">
        <v>53204070000000</v>
      </c>
      <c r="C51" s="278" t="s">
        <v>50</v>
      </c>
      <c r="D51" s="294">
        <v>1312763.4000000001</v>
      </c>
      <c r="E51" s="294">
        <v>0</v>
      </c>
      <c r="F51" s="295">
        <v>0</v>
      </c>
      <c r="G51" s="282">
        <f t="shared" si="3"/>
        <v>0</v>
      </c>
      <c r="H51" s="283">
        <f t="shared" si="2"/>
        <v>1312763.4000000001</v>
      </c>
    </row>
    <row r="52" spans="1:8" ht="12.75" customHeight="1" x14ac:dyDescent="0.2">
      <c r="A52" s="871"/>
      <c r="B52" s="197">
        <v>53204080000000</v>
      </c>
      <c r="C52" s="278" t="s">
        <v>51</v>
      </c>
      <c r="D52" s="294">
        <v>713475</v>
      </c>
      <c r="E52" s="294">
        <v>0</v>
      </c>
      <c r="F52" s="295">
        <v>0</v>
      </c>
      <c r="G52" s="282">
        <f t="shared" si="3"/>
        <v>0</v>
      </c>
      <c r="H52" s="283">
        <f t="shared" si="2"/>
        <v>713475</v>
      </c>
    </row>
    <row r="53" spans="1:8" ht="12.75" customHeight="1" x14ac:dyDescent="0.2">
      <c r="A53" s="871"/>
      <c r="B53" s="197">
        <v>53214010000000</v>
      </c>
      <c r="C53" s="278" t="s">
        <v>52</v>
      </c>
      <c r="D53" s="296">
        <v>1800000</v>
      </c>
      <c r="E53" s="296">
        <v>0</v>
      </c>
      <c r="F53" s="293">
        <v>0</v>
      </c>
      <c r="G53" s="282">
        <f t="shared" si="3"/>
        <v>0</v>
      </c>
      <c r="H53" s="283">
        <f t="shared" si="2"/>
        <v>1800000</v>
      </c>
    </row>
    <row r="54" spans="1:8" ht="12.75" customHeight="1" x14ac:dyDescent="0.2">
      <c r="A54" s="871"/>
      <c r="B54" s="197">
        <v>53214040000000</v>
      </c>
      <c r="C54" s="278" t="s">
        <v>189</v>
      </c>
      <c r="D54" s="296">
        <v>500000</v>
      </c>
      <c r="E54" s="296">
        <v>0</v>
      </c>
      <c r="F54" s="293">
        <v>0</v>
      </c>
      <c r="G54" s="282">
        <f t="shared" si="3"/>
        <v>0</v>
      </c>
      <c r="H54" s="283">
        <f t="shared" si="2"/>
        <v>500000</v>
      </c>
    </row>
    <row r="55" spans="1:8" ht="12.75" customHeight="1" x14ac:dyDescent="0.2">
      <c r="A55" s="871"/>
      <c r="B55" s="198">
        <v>53204020100000</v>
      </c>
      <c r="C55" s="278" t="s">
        <v>181</v>
      </c>
      <c r="D55" s="294">
        <v>2000000</v>
      </c>
      <c r="E55" s="294">
        <v>0</v>
      </c>
      <c r="F55" s="295">
        <v>0</v>
      </c>
      <c r="G55" s="282">
        <f t="shared" si="3"/>
        <v>0</v>
      </c>
      <c r="H55" s="283">
        <f t="shared" si="2"/>
        <v>2000000</v>
      </c>
    </row>
    <row r="56" spans="1:8" ht="12.75" customHeight="1" x14ac:dyDescent="0.2">
      <c r="A56" s="871"/>
      <c r="B56" s="196"/>
      <c r="C56" s="274" t="s">
        <v>55</v>
      </c>
      <c r="D56" s="287">
        <f>SUM(D57:D64)</f>
        <v>1135879</v>
      </c>
      <c r="E56" s="302"/>
      <c r="F56" s="305"/>
      <c r="G56" s="275">
        <f>SUM(G57:G64)</f>
        <v>1563128</v>
      </c>
      <c r="H56" s="254">
        <f>SUM(H57:H64)</f>
        <v>2699007</v>
      </c>
    </row>
    <row r="57" spans="1:8" ht="12.75" customHeight="1" x14ac:dyDescent="0.2">
      <c r="A57" s="871"/>
      <c r="B57" s="197">
        <v>53207010000000</v>
      </c>
      <c r="C57" s="278" t="s">
        <v>56</v>
      </c>
      <c r="D57" s="294">
        <v>0</v>
      </c>
      <c r="E57" s="294">
        <v>0</v>
      </c>
      <c r="F57" s="295">
        <v>0</v>
      </c>
      <c r="G57" s="282">
        <f t="shared" si="3"/>
        <v>0</v>
      </c>
      <c r="H57" s="283">
        <f t="shared" si="2"/>
        <v>0</v>
      </c>
    </row>
    <row r="58" spans="1:8" ht="12.75" customHeight="1" x14ac:dyDescent="0.2">
      <c r="A58" s="871"/>
      <c r="B58" s="197">
        <v>53207020000000</v>
      </c>
      <c r="C58" s="278" t="s">
        <v>57</v>
      </c>
      <c r="D58" s="294">
        <v>0</v>
      </c>
      <c r="E58" s="294">
        <v>0</v>
      </c>
      <c r="F58" s="295">
        <v>0</v>
      </c>
      <c r="G58" s="282">
        <f t="shared" si="3"/>
        <v>0</v>
      </c>
      <c r="H58" s="283">
        <f t="shared" si="2"/>
        <v>0</v>
      </c>
    </row>
    <row r="59" spans="1:8" ht="12.75" customHeight="1" x14ac:dyDescent="0.2">
      <c r="A59" s="871"/>
      <c r="B59" s="197">
        <v>53208020000000</v>
      </c>
      <c r="C59" s="278" t="s">
        <v>172</v>
      </c>
      <c r="D59" s="294">
        <v>0</v>
      </c>
      <c r="E59" s="294">
        <v>0</v>
      </c>
      <c r="F59" s="295">
        <v>0</v>
      </c>
      <c r="G59" s="282">
        <f t="shared" si="3"/>
        <v>0</v>
      </c>
      <c r="H59" s="283">
        <f t="shared" si="2"/>
        <v>0</v>
      </c>
    </row>
    <row r="60" spans="1:8" ht="12.75" customHeight="1" x14ac:dyDescent="0.2">
      <c r="A60" s="871"/>
      <c r="B60" s="197">
        <v>53208990000000</v>
      </c>
      <c r="C60" s="278" t="s">
        <v>190</v>
      </c>
      <c r="D60" s="294">
        <v>0</v>
      </c>
      <c r="E60" s="294">
        <v>115500</v>
      </c>
      <c r="F60" s="295">
        <v>12</v>
      </c>
      <c r="G60" s="282">
        <f t="shared" si="3"/>
        <v>1386000</v>
      </c>
      <c r="H60" s="283">
        <f t="shared" si="2"/>
        <v>1386000</v>
      </c>
    </row>
    <row r="61" spans="1:8" ht="12.75" customHeight="1" x14ac:dyDescent="0.2">
      <c r="A61" s="871"/>
      <c r="B61" s="198">
        <v>53210020300000</v>
      </c>
      <c r="C61" s="278" t="s">
        <v>192</v>
      </c>
      <c r="D61" s="477">
        <v>0</v>
      </c>
      <c r="E61" s="477">
        <v>6326</v>
      </c>
      <c r="F61" s="478">
        <f>+'B) Reajuste Tarifas y Ocupación'!I28</f>
        <v>28</v>
      </c>
      <c r="G61" s="282">
        <f t="shared" si="3"/>
        <v>177128</v>
      </c>
      <c r="H61" s="283">
        <f t="shared" si="2"/>
        <v>177128</v>
      </c>
    </row>
    <row r="62" spans="1:8" ht="12.75" customHeight="1" x14ac:dyDescent="0.2">
      <c r="A62" s="871"/>
      <c r="B62" s="197">
        <v>53208990000000</v>
      </c>
      <c r="C62" s="278" t="s">
        <v>193</v>
      </c>
      <c r="D62" s="294">
        <v>0</v>
      </c>
      <c r="E62" s="294">
        <v>0</v>
      </c>
      <c r="F62" s="295">
        <v>0</v>
      </c>
      <c r="G62" s="282">
        <f t="shared" si="3"/>
        <v>0</v>
      </c>
      <c r="H62" s="283">
        <f t="shared" si="2"/>
        <v>0</v>
      </c>
    </row>
    <row r="63" spans="1:8" ht="12.75" customHeight="1" x14ac:dyDescent="0.2">
      <c r="A63" s="871"/>
      <c r="B63" s="197">
        <v>53209990000000</v>
      </c>
      <c r="C63" s="278" t="s">
        <v>191</v>
      </c>
      <c r="D63" s="294">
        <v>0</v>
      </c>
      <c r="E63" s="294">
        <v>0</v>
      </c>
      <c r="F63" s="295">
        <v>0</v>
      </c>
      <c r="G63" s="282">
        <f t="shared" si="3"/>
        <v>0</v>
      </c>
      <c r="H63" s="283">
        <f t="shared" si="2"/>
        <v>0</v>
      </c>
    </row>
    <row r="64" spans="1:8" ht="12.75" customHeight="1" x14ac:dyDescent="0.2">
      <c r="A64" s="871"/>
      <c r="B64" s="197">
        <v>53210020100000</v>
      </c>
      <c r="C64" s="278" t="s">
        <v>64</v>
      </c>
      <c r="D64" s="616">
        <v>1135879</v>
      </c>
      <c r="E64" s="294">
        <v>0</v>
      </c>
      <c r="F64" s="295">
        <v>0</v>
      </c>
      <c r="G64" s="282">
        <f t="shared" si="3"/>
        <v>0</v>
      </c>
      <c r="H64" s="283">
        <f t="shared" si="2"/>
        <v>1135879</v>
      </c>
    </row>
    <row r="65" spans="1:16" ht="12.75" customHeight="1" x14ac:dyDescent="0.2">
      <c r="A65" s="871"/>
      <c r="B65" s="196"/>
      <c r="C65" s="274" t="s">
        <v>65</v>
      </c>
      <c r="D65" s="287">
        <f>SUM(D66:D72)</f>
        <v>2586540</v>
      </c>
      <c r="E65" s="302"/>
      <c r="F65" s="305"/>
      <c r="G65" s="275">
        <f>SUM(G66:G72)</f>
        <v>0</v>
      </c>
      <c r="H65" s="254">
        <f>SUM(H66:H72)</f>
        <v>2586540</v>
      </c>
    </row>
    <row r="66" spans="1:16" ht="12.75" customHeight="1" x14ac:dyDescent="0.2">
      <c r="A66" s="871"/>
      <c r="B66" s="197">
        <v>53206030000000</v>
      </c>
      <c r="C66" s="278" t="s">
        <v>99</v>
      </c>
      <c r="D66" s="294">
        <v>0</v>
      </c>
      <c r="E66" s="294">
        <v>0</v>
      </c>
      <c r="F66" s="295">
        <v>0</v>
      </c>
      <c r="G66" s="282">
        <f t="shared" si="3"/>
        <v>0</v>
      </c>
      <c r="H66" s="283">
        <f t="shared" si="2"/>
        <v>0</v>
      </c>
    </row>
    <row r="67" spans="1:16" ht="12.75" customHeight="1" x14ac:dyDescent="0.2">
      <c r="A67" s="871"/>
      <c r="B67" s="197">
        <v>53206040000000</v>
      </c>
      <c r="C67" s="278" t="s">
        <v>100</v>
      </c>
      <c r="D67" s="294">
        <v>0</v>
      </c>
      <c r="E67" s="294">
        <v>0</v>
      </c>
      <c r="F67" s="295">
        <v>0</v>
      </c>
      <c r="G67" s="282">
        <f t="shared" si="3"/>
        <v>0</v>
      </c>
      <c r="H67" s="283">
        <f t="shared" si="2"/>
        <v>0</v>
      </c>
    </row>
    <row r="68" spans="1:16" ht="12.75" customHeight="1" x14ac:dyDescent="0.2">
      <c r="A68" s="871"/>
      <c r="B68" s="197">
        <v>53206060000000</v>
      </c>
      <c r="C68" s="278" t="s">
        <v>194</v>
      </c>
      <c r="D68" s="294">
        <f>265300+303200</f>
        <v>568500</v>
      </c>
      <c r="E68" s="294">
        <v>0</v>
      </c>
      <c r="F68" s="295">
        <v>0</v>
      </c>
      <c r="G68" s="282">
        <f t="shared" si="3"/>
        <v>0</v>
      </c>
      <c r="H68" s="283">
        <f t="shared" si="2"/>
        <v>568500</v>
      </c>
    </row>
    <row r="69" spans="1:16" ht="12.75" customHeight="1" x14ac:dyDescent="0.2">
      <c r="A69" s="871"/>
      <c r="B69" s="197">
        <v>53206070000000</v>
      </c>
      <c r="C69" s="278" t="s">
        <v>102</v>
      </c>
      <c r="D69" s="294">
        <v>0</v>
      </c>
      <c r="E69" s="294">
        <v>0</v>
      </c>
      <c r="F69" s="295">
        <v>0</v>
      </c>
      <c r="G69" s="282">
        <f t="shared" si="3"/>
        <v>0</v>
      </c>
      <c r="H69" s="283">
        <f t="shared" si="2"/>
        <v>0</v>
      </c>
    </row>
    <row r="70" spans="1:16" ht="12.75" customHeight="1" x14ac:dyDescent="0.2">
      <c r="A70" s="871"/>
      <c r="B70" s="197">
        <v>53206990000000</v>
      </c>
      <c r="C70" s="278" t="s">
        <v>195</v>
      </c>
      <c r="D70" s="294">
        <v>515440</v>
      </c>
      <c r="E70" s="294">
        <v>0</v>
      </c>
      <c r="F70" s="295">
        <v>0</v>
      </c>
      <c r="G70" s="282">
        <f t="shared" si="3"/>
        <v>0</v>
      </c>
      <c r="H70" s="283">
        <f t="shared" si="2"/>
        <v>515440</v>
      </c>
    </row>
    <row r="71" spans="1:16" ht="12.75" customHeight="1" x14ac:dyDescent="0.2">
      <c r="A71" s="871"/>
      <c r="B71" s="197">
        <v>53208030000000</v>
      </c>
      <c r="C71" s="278" t="s">
        <v>104</v>
      </c>
      <c r="D71" s="294">
        <v>0</v>
      </c>
      <c r="E71" s="294">
        <v>0</v>
      </c>
      <c r="F71" s="295">
        <v>0</v>
      </c>
      <c r="G71" s="282">
        <f t="shared" si="3"/>
        <v>0</v>
      </c>
      <c r="H71" s="283">
        <f t="shared" si="2"/>
        <v>0</v>
      </c>
    </row>
    <row r="72" spans="1:16" ht="12.75" customHeight="1" x14ac:dyDescent="0.2">
      <c r="A72" s="871"/>
      <c r="B72" s="197">
        <v>53206990000000</v>
      </c>
      <c r="C72" s="278" t="s">
        <v>224</v>
      </c>
      <c r="D72" s="294">
        <f>2665128-265300-303200-78588-515440</f>
        <v>1502600</v>
      </c>
      <c r="E72" s="294">
        <v>0</v>
      </c>
      <c r="F72" s="295">
        <v>0</v>
      </c>
      <c r="G72" s="282">
        <f t="shared" si="3"/>
        <v>0</v>
      </c>
      <c r="H72" s="283">
        <f t="shared" si="2"/>
        <v>1502600</v>
      </c>
    </row>
    <row r="73" spans="1:16" ht="12.75" customHeight="1" x14ac:dyDescent="0.2">
      <c r="A73" s="871"/>
      <c r="B73" s="196"/>
      <c r="C73" s="274" t="s">
        <v>66</v>
      </c>
      <c r="D73" s="287">
        <f>SUM(D74)</f>
        <v>0</v>
      </c>
      <c r="E73" s="302"/>
      <c r="F73" s="302"/>
      <c r="G73" s="275">
        <f>SUM(G74:G74)</f>
        <v>0</v>
      </c>
      <c r="H73" s="254">
        <f>SUM(H74:H74)</f>
        <v>0</v>
      </c>
    </row>
    <row r="74" spans="1:16" ht="12.75" customHeight="1" x14ac:dyDescent="0.2">
      <c r="A74" s="871"/>
      <c r="B74" s="201"/>
      <c r="C74" s="306" t="s">
        <v>225</v>
      </c>
      <c r="D74" s="284">
        <v>0</v>
      </c>
      <c r="E74" s="284">
        <v>0</v>
      </c>
      <c r="F74" s="286">
        <v>0</v>
      </c>
      <c r="G74" s="282">
        <f t="shared" si="3"/>
        <v>0</v>
      </c>
      <c r="H74" s="307">
        <f t="shared" si="2"/>
        <v>0</v>
      </c>
      <c r="I74" s="271" t="s">
        <v>228</v>
      </c>
      <c r="J74" s="395">
        <f>+H72+H71+H70+H69+H68+H67+H66+H64+H63+H62+H61+H60+H59+H58+H57+H55+H52+H51+H50+H49+H48+H46+H44+H43+H37+H36+H35+H33+H32+H31+H30+H29+H28+H27+H26+H25+H24+H23</f>
        <v>13199727.200000001</v>
      </c>
    </row>
    <row r="75" spans="1:16" ht="12.75" customHeight="1" thickBot="1" x14ac:dyDescent="0.25">
      <c r="A75" s="891"/>
      <c r="B75" s="308"/>
      <c r="C75" s="309" t="s">
        <v>105</v>
      </c>
      <c r="D75" s="268">
        <f>SUM(D12,D39)</f>
        <v>25069974.800000001</v>
      </c>
      <c r="E75" s="269"/>
      <c r="F75" s="269"/>
      <c r="G75" s="268">
        <f>SUM(G12,G39)</f>
        <v>4136456</v>
      </c>
      <c r="H75" s="310">
        <f>SUM(H12,H39)</f>
        <v>29206430.800000001</v>
      </c>
      <c r="I75" s="272" t="s">
        <v>229</v>
      </c>
      <c r="J75" s="392">
        <f>+H75-J74</f>
        <v>16006703.6</v>
      </c>
    </row>
    <row r="76" spans="1:16" x14ac:dyDescent="0.2">
      <c r="A76" s="880" t="s">
        <v>81</v>
      </c>
      <c r="B76" s="882" t="s">
        <v>75</v>
      </c>
      <c r="C76" s="873" t="s">
        <v>76</v>
      </c>
      <c r="D76" s="875" t="s">
        <v>77</v>
      </c>
      <c r="E76" s="877" t="s">
        <v>78</v>
      </c>
      <c r="F76" s="877"/>
      <c r="G76" s="877"/>
      <c r="H76" s="878" t="s">
        <v>266</v>
      </c>
    </row>
    <row r="77" spans="1:16" ht="40.5" customHeight="1" thickBot="1" x14ac:dyDescent="0.25">
      <c r="A77" s="881"/>
      <c r="B77" s="883"/>
      <c r="C77" s="874"/>
      <c r="D77" s="876"/>
      <c r="E77" s="311" t="s">
        <v>67</v>
      </c>
      <c r="F77" s="312" t="s">
        <v>68</v>
      </c>
      <c r="G77" s="313" t="s">
        <v>6</v>
      </c>
      <c r="H77" s="879"/>
    </row>
    <row r="78" spans="1:16" ht="18" customHeight="1" x14ac:dyDescent="0.2">
      <c r="A78" s="870" t="str">
        <f>'B) Reajuste Tarifas y Ocupación'!A14</f>
        <v>Jardín Infantil Burbujitas de Mar</v>
      </c>
      <c r="B78" s="247"/>
      <c r="C78" s="248" t="s">
        <v>11</v>
      </c>
      <c r="D78" s="249">
        <f>+D79+D84</f>
        <v>3437041.806113095</v>
      </c>
      <c r="E78" s="250"/>
      <c r="F78" s="250"/>
      <c r="G78" s="251">
        <f>SUM(G79,G84)</f>
        <v>3696675</v>
      </c>
      <c r="H78" s="252">
        <f>SUM(H79,H84)</f>
        <v>7133716.806113095</v>
      </c>
      <c r="L78" s="894" t="s">
        <v>227</v>
      </c>
      <c r="M78" s="887" t="s">
        <v>196</v>
      </c>
      <c r="N78" s="892" t="s">
        <v>231</v>
      </c>
      <c r="O78" s="892" t="s">
        <v>221</v>
      </c>
      <c r="P78" s="892" t="s">
        <v>230</v>
      </c>
    </row>
    <row r="79" spans="1:16" x14ac:dyDescent="0.2">
      <c r="A79" s="871"/>
      <c r="B79" s="196"/>
      <c r="C79" s="235" t="s">
        <v>12</v>
      </c>
      <c r="D79" s="236">
        <f>SUM(D80:D83)</f>
        <v>0</v>
      </c>
      <c r="E79" s="253"/>
      <c r="F79" s="253"/>
      <c r="G79" s="237">
        <f>SUM(G80:G83)</f>
        <v>0</v>
      </c>
      <c r="H79" s="254">
        <f>SUM(H80:H83)</f>
        <v>0</v>
      </c>
      <c r="L79" s="895"/>
      <c r="M79" s="888"/>
      <c r="N79" s="893"/>
      <c r="O79" s="893"/>
      <c r="P79" s="893"/>
    </row>
    <row r="80" spans="1:16" x14ac:dyDescent="0.2">
      <c r="A80" s="871"/>
      <c r="B80" s="197">
        <v>53103040100000</v>
      </c>
      <c r="C80" s="238" t="s">
        <v>95</v>
      </c>
      <c r="D80" s="239">
        <f>+'F) Remuneraciones'!L19</f>
        <v>0</v>
      </c>
      <c r="E80" s="240">
        <v>0</v>
      </c>
      <c r="F80" s="255">
        <v>0</v>
      </c>
      <c r="G80" s="240">
        <f>E80*F80</f>
        <v>0</v>
      </c>
      <c r="H80" s="256">
        <f>D80+G80</f>
        <v>0</v>
      </c>
      <c r="L80" s="202" t="s">
        <v>11</v>
      </c>
      <c r="M80" s="203"/>
      <c r="N80" s="203"/>
      <c r="O80" s="203"/>
      <c r="P80" s="204"/>
    </row>
    <row r="81" spans="1:16" x14ac:dyDescent="0.2">
      <c r="A81" s="871"/>
      <c r="B81" s="197">
        <v>53103050000000</v>
      </c>
      <c r="C81" s="238" t="s">
        <v>173</v>
      </c>
      <c r="D81" s="241">
        <v>0</v>
      </c>
      <c r="E81" s="242">
        <v>0</v>
      </c>
      <c r="F81" s="243">
        <v>0</v>
      </c>
      <c r="G81" s="240">
        <f>E81*F81</f>
        <v>0</v>
      </c>
      <c r="H81" s="256">
        <f>D81+G81</f>
        <v>0</v>
      </c>
      <c r="L81" s="212" t="s">
        <v>16</v>
      </c>
      <c r="M81" s="205"/>
      <c r="N81" s="206"/>
      <c r="O81" s="206"/>
      <c r="P81" s="207"/>
    </row>
    <row r="82" spans="1:16" x14ac:dyDescent="0.2">
      <c r="A82" s="871"/>
      <c r="B82" s="198">
        <v>53103040400000</v>
      </c>
      <c r="C82" s="199" t="s">
        <v>174</v>
      </c>
      <c r="D82" s="241">
        <v>0</v>
      </c>
      <c r="E82" s="242">
        <v>0</v>
      </c>
      <c r="F82" s="243">
        <v>0</v>
      </c>
      <c r="G82" s="240">
        <f>E82*F82</f>
        <v>0</v>
      </c>
      <c r="H82" s="256">
        <f>D82+G82</f>
        <v>0</v>
      </c>
      <c r="L82" s="214" t="s">
        <v>179</v>
      </c>
      <c r="M82" s="208">
        <v>0</v>
      </c>
      <c r="N82" s="209">
        <f>+M82*0.6</f>
        <v>0</v>
      </c>
      <c r="O82" s="209">
        <f>+M82*0.2</f>
        <v>0</v>
      </c>
      <c r="P82" s="210">
        <f>+M82*0.2</f>
        <v>0</v>
      </c>
    </row>
    <row r="83" spans="1:16" x14ac:dyDescent="0.2">
      <c r="A83" s="871"/>
      <c r="B83" s="197">
        <v>53103080010000</v>
      </c>
      <c r="C83" s="238" t="s">
        <v>175</v>
      </c>
      <c r="D83" s="241">
        <v>0</v>
      </c>
      <c r="E83" s="242">
        <v>0</v>
      </c>
      <c r="F83" s="243">
        <v>0</v>
      </c>
      <c r="G83" s="240">
        <f>E83*F83</f>
        <v>0</v>
      </c>
      <c r="H83" s="256">
        <f>D83+G83</f>
        <v>0</v>
      </c>
      <c r="L83" s="214" t="s">
        <v>19</v>
      </c>
      <c r="M83" s="211">
        <v>1577678.4000000001</v>
      </c>
      <c r="N83" s="209">
        <f t="shared" ref="N83:N98" si="4">+M83*0.6</f>
        <v>946607.04</v>
      </c>
      <c r="O83" s="209">
        <f t="shared" ref="O83:O98" si="5">+M83*0.2</f>
        <v>315535.68000000005</v>
      </c>
      <c r="P83" s="210">
        <f t="shared" ref="P83:P98" si="6">+M83*0.2</f>
        <v>315535.68000000005</v>
      </c>
    </row>
    <row r="84" spans="1:16" x14ac:dyDescent="0.2">
      <c r="A84" s="871"/>
      <c r="B84" s="196"/>
      <c r="C84" s="235" t="s">
        <v>16</v>
      </c>
      <c r="D84" s="236">
        <f>SUM(D85:D104)</f>
        <v>3437041.806113095</v>
      </c>
      <c r="E84" s="253"/>
      <c r="F84" s="253"/>
      <c r="G84" s="236">
        <f>SUM(G85:G104)</f>
        <v>3696675</v>
      </c>
      <c r="H84" s="254">
        <f>SUM(H85:H104)</f>
        <v>7133716.806113095</v>
      </c>
      <c r="L84" s="214" t="s">
        <v>180</v>
      </c>
      <c r="M84" s="211">
        <v>0</v>
      </c>
      <c r="N84" s="209">
        <f t="shared" si="4"/>
        <v>0</v>
      </c>
      <c r="O84" s="209">
        <f t="shared" si="5"/>
        <v>0</v>
      </c>
      <c r="P84" s="210">
        <f t="shared" si="6"/>
        <v>0</v>
      </c>
    </row>
    <row r="85" spans="1:16" x14ac:dyDescent="0.2">
      <c r="A85" s="871"/>
      <c r="B85" s="197">
        <v>53201010100000</v>
      </c>
      <c r="C85" s="244" t="s">
        <v>176</v>
      </c>
      <c r="D85" s="241">
        <v>0</v>
      </c>
      <c r="E85" s="242">
        <v>0</v>
      </c>
      <c r="F85" s="243">
        <v>0</v>
      </c>
      <c r="G85" s="240">
        <f t="shared" ref="G85:G104" si="7">E85*F85</f>
        <v>0</v>
      </c>
      <c r="H85" s="256">
        <f t="shared" ref="H85:H90" si="8">D85+G85</f>
        <v>0</v>
      </c>
      <c r="L85" s="214" t="s">
        <v>222</v>
      </c>
      <c r="M85" s="211">
        <v>400000</v>
      </c>
      <c r="N85" s="209">
        <f t="shared" si="4"/>
        <v>240000</v>
      </c>
      <c r="O85" s="209">
        <f t="shared" si="5"/>
        <v>80000</v>
      </c>
      <c r="P85" s="210">
        <f t="shared" si="6"/>
        <v>80000</v>
      </c>
    </row>
    <row r="86" spans="1:16" x14ac:dyDescent="0.2">
      <c r="A86" s="871"/>
      <c r="B86" s="197">
        <v>53201010100000</v>
      </c>
      <c r="C86" s="244" t="s">
        <v>177</v>
      </c>
      <c r="D86" s="241">
        <v>0</v>
      </c>
      <c r="E86" s="242">
        <v>214.3</v>
      </c>
      <c r="F86" s="243">
        <v>17250</v>
      </c>
      <c r="G86" s="240">
        <f t="shared" si="7"/>
        <v>3696675</v>
      </c>
      <c r="H86" s="256">
        <f t="shared" si="8"/>
        <v>3696675</v>
      </c>
      <c r="L86" s="214" t="s">
        <v>22</v>
      </c>
      <c r="M86" s="211">
        <v>1970640</v>
      </c>
      <c r="N86" s="209">
        <f t="shared" si="4"/>
        <v>1182384</v>
      </c>
      <c r="O86" s="209">
        <f t="shared" si="5"/>
        <v>394128</v>
      </c>
      <c r="P86" s="210">
        <f t="shared" si="6"/>
        <v>394128</v>
      </c>
    </row>
    <row r="87" spans="1:16" x14ac:dyDescent="0.2">
      <c r="A87" s="871"/>
      <c r="B87" s="197">
        <v>53201010100000</v>
      </c>
      <c r="C87" s="244" t="s">
        <v>178</v>
      </c>
      <c r="D87" s="241">
        <v>0</v>
      </c>
      <c r="E87" s="242">
        <v>0</v>
      </c>
      <c r="F87" s="243">
        <v>0</v>
      </c>
      <c r="G87" s="240">
        <f t="shared" si="7"/>
        <v>0</v>
      </c>
      <c r="H87" s="256">
        <f t="shared" si="8"/>
        <v>0</v>
      </c>
      <c r="L87" s="214" t="s">
        <v>182</v>
      </c>
      <c r="M87" s="211">
        <v>0</v>
      </c>
      <c r="N87" s="209">
        <f t="shared" si="4"/>
        <v>0</v>
      </c>
      <c r="O87" s="209">
        <f t="shared" si="5"/>
        <v>0</v>
      </c>
      <c r="P87" s="210">
        <f t="shared" si="6"/>
        <v>0</v>
      </c>
    </row>
    <row r="88" spans="1:16" x14ac:dyDescent="0.2">
      <c r="A88" s="871"/>
      <c r="B88" s="197">
        <v>53202010100000</v>
      </c>
      <c r="C88" s="238" t="s">
        <v>179</v>
      </c>
      <c r="D88" s="240">
        <f>+P82</f>
        <v>0</v>
      </c>
      <c r="E88" s="240">
        <v>0</v>
      </c>
      <c r="F88" s="257">
        <v>0</v>
      </c>
      <c r="G88" s="240">
        <f t="shared" si="7"/>
        <v>0</v>
      </c>
      <c r="H88" s="256">
        <f t="shared" si="8"/>
        <v>0</v>
      </c>
      <c r="L88" s="214" t="s">
        <v>24</v>
      </c>
      <c r="M88" s="211">
        <v>4801745</v>
      </c>
      <c r="N88" s="209">
        <f t="shared" si="4"/>
        <v>2881047</v>
      </c>
      <c r="O88" s="209">
        <f t="shared" si="5"/>
        <v>960349</v>
      </c>
      <c r="P88" s="210">
        <f t="shared" si="6"/>
        <v>960349</v>
      </c>
    </row>
    <row r="89" spans="1:16" x14ac:dyDescent="0.2">
      <c r="A89" s="871"/>
      <c r="B89" s="197">
        <v>53203010100000</v>
      </c>
      <c r="C89" s="238" t="s">
        <v>19</v>
      </c>
      <c r="D89" s="240">
        <f t="shared" ref="D89:D104" si="9">+P83</f>
        <v>315535.68000000005</v>
      </c>
      <c r="E89" s="240">
        <v>0</v>
      </c>
      <c r="F89" s="257">
        <v>0</v>
      </c>
      <c r="G89" s="240">
        <f t="shared" si="7"/>
        <v>0</v>
      </c>
      <c r="H89" s="256">
        <f t="shared" si="8"/>
        <v>315535.68000000005</v>
      </c>
      <c r="L89" s="214" t="s">
        <v>25</v>
      </c>
      <c r="M89" s="211">
        <v>772326</v>
      </c>
      <c r="N89" s="209">
        <f t="shared" si="4"/>
        <v>463395.6</v>
      </c>
      <c r="O89" s="209">
        <f t="shared" si="5"/>
        <v>154465.20000000001</v>
      </c>
      <c r="P89" s="210">
        <f t="shared" si="6"/>
        <v>154465.20000000001</v>
      </c>
    </row>
    <row r="90" spans="1:16" x14ac:dyDescent="0.2">
      <c r="A90" s="871"/>
      <c r="B90" s="197">
        <v>53203030000000</v>
      </c>
      <c r="C90" s="238" t="s">
        <v>180</v>
      </c>
      <c r="D90" s="240">
        <f t="shared" si="9"/>
        <v>0</v>
      </c>
      <c r="E90" s="240">
        <v>0</v>
      </c>
      <c r="F90" s="257">
        <v>0</v>
      </c>
      <c r="G90" s="240">
        <f t="shared" si="7"/>
        <v>0</v>
      </c>
      <c r="H90" s="256">
        <f t="shared" si="8"/>
        <v>0</v>
      </c>
      <c r="L90" s="214" t="s">
        <v>26</v>
      </c>
      <c r="M90" s="211">
        <v>5486236.4877083339</v>
      </c>
      <c r="N90" s="209">
        <f t="shared" si="4"/>
        <v>3291741.8926250003</v>
      </c>
      <c r="O90" s="209">
        <f t="shared" si="5"/>
        <v>1097247.2975416668</v>
      </c>
      <c r="P90" s="210">
        <f t="shared" si="6"/>
        <v>1097247.2975416668</v>
      </c>
    </row>
    <row r="91" spans="1:16" x14ac:dyDescent="0.2">
      <c r="A91" s="871"/>
      <c r="B91" s="197">
        <v>53204030000000</v>
      </c>
      <c r="C91" s="238" t="s">
        <v>222</v>
      </c>
      <c r="D91" s="240">
        <f t="shared" si="9"/>
        <v>80000</v>
      </c>
      <c r="E91" s="240">
        <v>0</v>
      </c>
      <c r="F91" s="257">
        <v>0</v>
      </c>
      <c r="G91" s="240">
        <f t="shared" si="7"/>
        <v>0</v>
      </c>
      <c r="H91" s="256">
        <f>D91+G91</f>
        <v>80000</v>
      </c>
      <c r="L91" s="214" t="s">
        <v>27</v>
      </c>
      <c r="M91" s="211">
        <v>0</v>
      </c>
      <c r="N91" s="209">
        <f t="shared" si="4"/>
        <v>0</v>
      </c>
      <c r="O91" s="209">
        <f t="shared" si="5"/>
        <v>0</v>
      </c>
      <c r="P91" s="210">
        <f t="shared" si="6"/>
        <v>0</v>
      </c>
    </row>
    <row r="92" spans="1:16" x14ac:dyDescent="0.2">
      <c r="A92" s="871"/>
      <c r="B92" s="197">
        <v>53204100100001</v>
      </c>
      <c r="C92" s="238" t="s">
        <v>22</v>
      </c>
      <c r="D92" s="240">
        <f t="shared" si="9"/>
        <v>394128</v>
      </c>
      <c r="E92" s="240">
        <v>0</v>
      </c>
      <c r="F92" s="257">
        <v>0</v>
      </c>
      <c r="G92" s="240">
        <f t="shared" si="7"/>
        <v>0</v>
      </c>
      <c r="H92" s="256">
        <f t="shared" ref="H92:H104" si="10">D92+G92</f>
        <v>394128</v>
      </c>
      <c r="L92" s="214" t="s">
        <v>29</v>
      </c>
      <c r="M92" s="211">
        <v>540000</v>
      </c>
      <c r="N92" s="209">
        <f t="shared" si="4"/>
        <v>324000</v>
      </c>
      <c r="O92" s="209">
        <f t="shared" si="5"/>
        <v>108000</v>
      </c>
      <c r="P92" s="210">
        <f t="shared" si="6"/>
        <v>108000</v>
      </c>
    </row>
    <row r="93" spans="1:16" x14ac:dyDescent="0.2">
      <c r="A93" s="871"/>
      <c r="B93" s="197">
        <v>53204130100000</v>
      </c>
      <c r="C93" s="238" t="s">
        <v>182</v>
      </c>
      <c r="D93" s="240">
        <f t="shared" si="9"/>
        <v>0</v>
      </c>
      <c r="E93" s="240">
        <v>0</v>
      </c>
      <c r="F93" s="257">
        <v>0</v>
      </c>
      <c r="G93" s="240">
        <f t="shared" si="7"/>
        <v>0</v>
      </c>
      <c r="H93" s="256">
        <f t="shared" si="10"/>
        <v>0</v>
      </c>
      <c r="L93" s="214" t="s">
        <v>30</v>
      </c>
      <c r="M93" s="211">
        <v>1017600</v>
      </c>
      <c r="N93" s="209">
        <f t="shared" si="4"/>
        <v>610560</v>
      </c>
      <c r="O93" s="209">
        <f t="shared" si="5"/>
        <v>203520</v>
      </c>
      <c r="P93" s="210">
        <f t="shared" si="6"/>
        <v>203520</v>
      </c>
    </row>
    <row r="94" spans="1:16" x14ac:dyDescent="0.2">
      <c r="A94" s="871"/>
      <c r="B94" s="197">
        <v>53205010100000</v>
      </c>
      <c r="C94" s="238" t="s">
        <v>24</v>
      </c>
      <c r="D94" s="240">
        <f t="shared" si="9"/>
        <v>960349</v>
      </c>
      <c r="E94" s="240">
        <v>0</v>
      </c>
      <c r="F94" s="257">
        <v>0</v>
      </c>
      <c r="G94" s="240">
        <f t="shared" si="7"/>
        <v>0</v>
      </c>
      <c r="H94" s="256">
        <f t="shared" si="10"/>
        <v>960349</v>
      </c>
      <c r="L94" s="214" t="s">
        <v>31</v>
      </c>
      <c r="M94" s="208">
        <v>0</v>
      </c>
      <c r="N94" s="209">
        <f t="shared" si="4"/>
        <v>0</v>
      </c>
      <c r="O94" s="209">
        <f t="shared" si="5"/>
        <v>0</v>
      </c>
      <c r="P94" s="210">
        <f t="shared" si="6"/>
        <v>0</v>
      </c>
    </row>
    <row r="95" spans="1:16" x14ac:dyDescent="0.2">
      <c r="A95" s="871"/>
      <c r="B95" s="197">
        <v>53205020100000</v>
      </c>
      <c r="C95" s="238" t="s">
        <v>25</v>
      </c>
      <c r="D95" s="240">
        <f t="shared" si="9"/>
        <v>154465.20000000001</v>
      </c>
      <c r="E95" s="240">
        <v>0</v>
      </c>
      <c r="F95" s="257">
        <v>0</v>
      </c>
      <c r="G95" s="240">
        <f t="shared" si="7"/>
        <v>0</v>
      </c>
      <c r="H95" s="256">
        <f t="shared" si="10"/>
        <v>154465.20000000001</v>
      </c>
      <c r="L95" s="214" t="s">
        <v>183</v>
      </c>
      <c r="M95" s="211">
        <v>0</v>
      </c>
      <c r="N95" s="209">
        <f t="shared" si="4"/>
        <v>0</v>
      </c>
      <c r="O95" s="209">
        <f t="shared" si="5"/>
        <v>0</v>
      </c>
      <c r="P95" s="210">
        <f t="shared" si="6"/>
        <v>0</v>
      </c>
    </row>
    <row r="96" spans="1:16" x14ac:dyDescent="0.2">
      <c r="A96" s="871"/>
      <c r="B96" s="197">
        <v>53205030100000</v>
      </c>
      <c r="C96" s="238" t="s">
        <v>26</v>
      </c>
      <c r="D96" s="240">
        <f t="shared" si="9"/>
        <v>1097247.2975416668</v>
      </c>
      <c r="E96" s="240">
        <v>0</v>
      </c>
      <c r="F96" s="257">
        <v>0</v>
      </c>
      <c r="G96" s="240">
        <f t="shared" si="7"/>
        <v>0</v>
      </c>
      <c r="H96" s="256">
        <f t="shared" si="10"/>
        <v>1097247.2975416668</v>
      </c>
      <c r="L96" s="214" t="s">
        <v>32</v>
      </c>
      <c r="M96" s="211">
        <v>0</v>
      </c>
      <c r="N96" s="209">
        <f t="shared" si="4"/>
        <v>0</v>
      </c>
      <c r="O96" s="209">
        <f t="shared" si="5"/>
        <v>0</v>
      </c>
      <c r="P96" s="210">
        <f t="shared" si="6"/>
        <v>0</v>
      </c>
    </row>
    <row r="97" spans="1:16" x14ac:dyDescent="0.2">
      <c r="A97" s="871"/>
      <c r="B97" s="197">
        <v>53205050100000</v>
      </c>
      <c r="C97" s="238" t="s">
        <v>27</v>
      </c>
      <c r="D97" s="240">
        <f t="shared" si="9"/>
        <v>0</v>
      </c>
      <c r="E97" s="240">
        <v>0</v>
      </c>
      <c r="F97" s="257">
        <v>0</v>
      </c>
      <c r="G97" s="240">
        <f t="shared" si="7"/>
        <v>0</v>
      </c>
      <c r="H97" s="256">
        <f t="shared" si="10"/>
        <v>0</v>
      </c>
      <c r="L97" s="214" t="s">
        <v>184</v>
      </c>
      <c r="M97" s="211">
        <v>618983.14285714284</v>
      </c>
      <c r="N97" s="209">
        <f t="shared" si="4"/>
        <v>371389.88571428572</v>
      </c>
      <c r="O97" s="209">
        <f t="shared" si="5"/>
        <v>123796.62857142858</v>
      </c>
      <c r="P97" s="210">
        <f t="shared" si="6"/>
        <v>123796.62857142858</v>
      </c>
    </row>
    <row r="98" spans="1:16" x14ac:dyDescent="0.2">
      <c r="A98" s="871"/>
      <c r="B98" s="197">
        <v>53205070100000</v>
      </c>
      <c r="C98" s="238" t="s">
        <v>29</v>
      </c>
      <c r="D98" s="240">
        <f t="shared" si="9"/>
        <v>108000</v>
      </c>
      <c r="E98" s="240">
        <v>0</v>
      </c>
      <c r="F98" s="257">
        <v>0</v>
      </c>
      <c r="G98" s="240">
        <f t="shared" si="7"/>
        <v>0</v>
      </c>
      <c r="H98" s="256">
        <f t="shared" si="10"/>
        <v>108000</v>
      </c>
      <c r="L98" s="214" t="s">
        <v>185</v>
      </c>
      <c r="M98" s="208">
        <v>0</v>
      </c>
      <c r="N98" s="209">
        <f t="shared" si="4"/>
        <v>0</v>
      </c>
      <c r="O98" s="209">
        <f t="shared" si="5"/>
        <v>0</v>
      </c>
      <c r="P98" s="210">
        <f t="shared" si="6"/>
        <v>0</v>
      </c>
    </row>
    <row r="99" spans="1:16" x14ac:dyDescent="0.2">
      <c r="A99" s="871"/>
      <c r="B99" s="197">
        <v>53208010100000</v>
      </c>
      <c r="C99" s="238" t="s">
        <v>30</v>
      </c>
      <c r="D99" s="240">
        <f t="shared" si="9"/>
        <v>203520</v>
      </c>
      <c r="E99" s="240">
        <v>0</v>
      </c>
      <c r="F99" s="257">
        <v>0</v>
      </c>
      <c r="G99" s="240">
        <f t="shared" si="7"/>
        <v>0</v>
      </c>
      <c r="H99" s="256">
        <f t="shared" si="10"/>
        <v>203520</v>
      </c>
      <c r="L99" s="202" t="s">
        <v>34</v>
      </c>
      <c r="M99" s="865"/>
      <c r="N99" s="865"/>
      <c r="O99" s="865"/>
      <c r="P99" s="866"/>
    </row>
    <row r="100" spans="1:16" x14ac:dyDescent="0.2">
      <c r="A100" s="871"/>
      <c r="B100" s="197">
        <v>53208070100001</v>
      </c>
      <c r="C100" s="238" t="s">
        <v>31</v>
      </c>
      <c r="D100" s="240">
        <f t="shared" si="9"/>
        <v>0</v>
      </c>
      <c r="E100" s="240">
        <v>0</v>
      </c>
      <c r="F100" s="257">
        <v>0</v>
      </c>
      <c r="G100" s="240">
        <f t="shared" si="7"/>
        <v>0</v>
      </c>
      <c r="H100" s="256">
        <f t="shared" si="10"/>
        <v>0</v>
      </c>
      <c r="L100" s="212" t="s">
        <v>35</v>
      </c>
      <c r="M100" s="867"/>
      <c r="N100" s="868"/>
      <c r="O100" s="868"/>
      <c r="P100" s="869"/>
    </row>
    <row r="101" spans="1:16" x14ac:dyDescent="0.2">
      <c r="A101" s="871"/>
      <c r="B101" s="197">
        <v>53208100100001</v>
      </c>
      <c r="C101" s="238" t="s">
        <v>183</v>
      </c>
      <c r="D101" s="240">
        <f t="shared" si="9"/>
        <v>0</v>
      </c>
      <c r="E101" s="240">
        <v>0</v>
      </c>
      <c r="F101" s="257">
        <v>0</v>
      </c>
      <c r="G101" s="240">
        <f t="shared" si="7"/>
        <v>0</v>
      </c>
      <c r="H101" s="256">
        <f t="shared" si="10"/>
        <v>0</v>
      </c>
      <c r="L101" s="214" t="s">
        <v>41</v>
      </c>
      <c r="M101" s="211">
        <v>0</v>
      </c>
      <c r="N101" s="209">
        <f>+M101*0.6</f>
        <v>0</v>
      </c>
      <c r="O101" s="209">
        <f>+M101*0.2</f>
        <v>0</v>
      </c>
      <c r="P101" s="210">
        <f>+M101*0.2</f>
        <v>0</v>
      </c>
    </row>
    <row r="102" spans="1:16" x14ac:dyDescent="0.2">
      <c r="A102" s="871"/>
      <c r="B102" s="197">
        <v>53211030000000</v>
      </c>
      <c r="C102" s="238" t="s">
        <v>32</v>
      </c>
      <c r="D102" s="240">
        <f t="shared" si="9"/>
        <v>0</v>
      </c>
      <c r="E102" s="240">
        <v>0</v>
      </c>
      <c r="F102" s="257">
        <v>0</v>
      </c>
      <c r="G102" s="240">
        <f t="shared" si="7"/>
        <v>0</v>
      </c>
      <c r="H102" s="256">
        <f t="shared" si="10"/>
        <v>0</v>
      </c>
      <c r="L102" s="214" t="s">
        <v>188</v>
      </c>
      <c r="M102" s="211">
        <v>350000</v>
      </c>
      <c r="N102" s="209">
        <f>+M102*0.6</f>
        <v>210000</v>
      </c>
      <c r="O102" s="209">
        <f>+M102*0.2</f>
        <v>70000</v>
      </c>
      <c r="P102" s="210">
        <f>+M102*0.2</f>
        <v>70000</v>
      </c>
    </row>
    <row r="103" spans="1:16" x14ac:dyDescent="0.2">
      <c r="A103" s="871"/>
      <c r="B103" s="197">
        <v>53212020100000</v>
      </c>
      <c r="C103" s="238" t="s">
        <v>184</v>
      </c>
      <c r="D103" s="240">
        <f t="shared" si="9"/>
        <v>123796.62857142858</v>
      </c>
      <c r="E103" s="240">
        <v>0</v>
      </c>
      <c r="F103" s="257">
        <v>0</v>
      </c>
      <c r="G103" s="240">
        <f t="shared" si="7"/>
        <v>0</v>
      </c>
      <c r="H103" s="256">
        <f t="shared" si="10"/>
        <v>123796.62857142858</v>
      </c>
      <c r="L103" s="212" t="s">
        <v>42</v>
      </c>
      <c r="M103" s="867"/>
      <c r="N103" s="868"/>
      <c r="O103" s="868"/>
      <c r="P103" s="869"/>
    </row>
    <row r="104" spans="1:16" x14ac:dyDescent="0.2">
      <c r="A104" s="871"/>
      <c r="B104" s="197">
        <v>53214020000000</v>
      </c>
      <c r="C104" s="238" t="s">
        <v>185</v>
      </c>
      <c r="D104" s="240">
        <f t="shared" si="9"/>
        <v>0</v>
      </c>
      <c r="E104" s="240">
        <v>0</v>
      </c>
      <c r="F104" s="257">
        <v>0</v>
      </c>
      <c r="G104" s="240">
        <f t="shared" si="7"/>
        <v>0</v>
      </c>
      <c r="H104" s="256">
        <f t="shared" si="10"/>
        <v>0</v>
      </c>
      <c r="L104" s="214" t="s">
        <v>44</v>
      </c>
      <c r="M104" s="211">
        <v>0</v>
      </c>
      <c r="N104" s="209">
        <f>+M104*0.6</f>
        <v>0</v>
      </c>
      <c r="O104" s="209">
        <f>+M104*0.2</f>
        <v>0</v>
      </c>
      <c r="P104" s="210">
        <f>+M104*0.2</f>
        <v>0</v>
      </c>
    </row>
    <row r="105" spans="1:16" x14ac:dyDescent="0.2">
      <c r="A105" s="871"/>
      <c r="B105" s="232"/>
      <c r="C105" s="233" t="s">
        <v>34</v>
      </c>
      <c r="D105" s="234">
        <f>SUM(D106,D111,D113,D122,D131,D139)</f>
        <v>5826384.2700000005</v>
      </c>
      <c r="E105" s="258"/>
      <c r="F105" s="258"/>
      <c r="G105" s="234">
        <f>SUM(G106,G111,G113,G122,G131,G139)</f>
        <v>338150</v>
      </c>
      <c r="H105" s="259">
        <f>SUM(H106,H111,H113,H122,H131,H139)</f>
        <v>6164534.2700000005</v>
      </c>
      <c r="L105" s="212" t="s">
        <v>45</v>
      </c>
      <c r="M105" s="867" t="s">
        <v>226</v>
      </c>
      <c r="N105" s="868"/>
      <c r="O105" s="868"/>
      <c r="P105" s="869"/>
    </row>
    <row r="106" spans="1:16" x14ac:dyDescent="0.2">
      <c r="A106" s="871"/>
      <c r="B106" s="196"/>
      <c r="C106" s="235" t="s">
        <v>35</v>
      </c>
      <c r="D106" s="236">
        <f>SUM(D107:D110)</f>
        <v>70000</v>
      </c>
      <c r="E106" s="253"/>
      <c r="F106" s="253"/>
      <c r="G106" s="236">
        <f>SUM(G107:G110)</f>
        <v>180000</v>
      </c>
      <c r="H106" s="260">
        <f>SUM(H107:H110)</f>
        <v>250000</v>
      </c>
      <c r="L106" s="214" t="s">
        <v>47</v>
      </c>
      <c r="M106" s="211">
        <f>486040+170449</f>
        <v>656489</v>
      </c>
      <c r="N106" s="209">
        <f>+M106*0.6</f>
        <v>393893.39999999997</v>
      </c>
      <c r="O106" s="209">
        <f>+M106*0.2</f>
        <v>131297.80000000002</v>
      </c>
      <c r="P106" s="210">
        <f>+M106*0.2</f>
        <v>131297.80000000002</v>
      </c>
    </row>
    <row r="107" spans="1:16" x14ac:dyDescent="0.2">
      <c r="A107" s="871"/>
      <c r="B107" s="197">
        <v>53202020100000</v>
      </c>
      <c r="C107" s="238" t="s">
        <v>186</v>
      </c>
      <c r="D107" s="241">
        <v>0</v>
      </c>
      <c r="E107" s="242">
        <v>50000</v>
      </c>
      <c r="F107" s="261">
        <v>3</v>
      </c>
      <c r="G107" s="240">
        <f>E107*F107</f>
        <v>150000</v>
      </c>
      <c r="H107" s="256">
        <f t="shared" ref="H107:H110" si="11">D107+G107</f>
        <v>150000</v>
      </c>
      <c r="L107" s="214" t="s">
        <v>223</v>
      </c>
      <c r="M107" s="211">
        <v>600000</v>
      </c>
      <c r="N107" s="209">
        <f t="shared" ref="N107:N113" si="12">+M107*0.6</f>
        <v>360000</v>
      </c>
      <c r="O107" s="209">
        <f t="shared" ref="O107:O113" si="13">+M107*0.2</f>
        <v>120000</v>
      </c>
      <c r="P107" s="210">
        <f t="shared" ref="P107:P113" si="14">+M107*0.2</f>
        <v>120000</v>
      </c>
    </row>
    <row r="108" spans="1:16" x14ac:dyDescent="0.2">
      <c r="A108" s="871"/>
      <c r="B108" s="197">
        <v>53202030000000</v>
      </c>
      <c r="C108" s="238" t="s">
        <v>187</v>
      </c>
      <c r="D108" s="241">
        <v>0</v>
      </c>
      <c r="E108" s="242">
        <v>30000</v>
      </c>
      <c r="F108" s="261">
        <v>1</v>
      </c>
      <c r="G108" s="240">
        <f t="shared" ref="G108:G110" si="15">E108*F108</f>
        <v>30000</v>
      </c>
      <c r="H108" s="256">
        <f t="shared" si="11"/>
        <v>30000</v>
      </c>
      <c r="L108" s="214" t="s">
        <v>49</v>
      </c>
      <c r="M108" s="211">
        <v>0</v>
      </c>
      <c r="N108" s="209">
        <f t="shared" si="12"/>
        <v>0</v>
      </c>
      <c r="O108" s="209">
        <f t="shared" si="13"/>
        <v>0</v>
      </c>
      <c r="P108" s="210">
        <f t="shared" si="14"/>
        <v>0</v>
      </c>
    </row>
    <row r="109" spans="1:16" x14ac:dyDescent="0.2">
      <c r="A109" s="871"/>
      <c r="B109" s="197">
        <v>53211020000000</v>
      </c>
      <c r="C109" s="238" t="s">
        <v>41</v>
      </c>
      <c r="D109" s="262">
        <f>+P101</f>
        <v>0</v>
      </c>
      <c r="E109" s="262">
        <v>0</v>
      </c>
      <c r="F109" s="263">
        <v>0</v>
      </c>
      <c r="G109" s="240">
        <f t="shared" si="15"/>
        <v>0</v>
      </c>
      <c r="H109" s="256">
        <f t="shared" si="11"/>
        <v>0</v>
      </c>
      <c r="L109" s="214" t="s">
        <v>50</v>
      </c>
      <c r="M109" s="211">
        <v>1611567</v>
      </c>
      <c r="N109" s="209">
        <f t="shared" si="12"/>
        <v>966940.2</v>
      </c>
      <c r="O109" s="209">
        <f t="shared" si="13"/>
        <v>322313.40000000002</v>
      </c>
      <c r="P109" s="210">
        <f t="shared" si="14"/>
        <v>322313.40000000002</v>
      </c>
    </row>
    <row r="110" spans="1:16" x14ac:dyDescent="0.2">
      <c r="A110" s="871"/>
      <c r="B110" s="197">
        <v>53101040600000</v>
      </c>
      <c r="C110" s="238" t="s">
        <v>188</v>
      </c>
      <c r="D110" s="262">
        <f>+P102</f>
        <v>70000</v>
      </c>
      <c r="E110" s="262">
        <v>0</v>
      </c>
      <c r="F110" s="263">
        <v>0</v>
      </c>
      <c r="G110" s="240">
        <f t="shared" si="15"/>
        <v>0</v>
      </c>
      <c r="H110" s="256">
        <f t="shared" si="11"/>
        <v>70000</v>
      </c>
      <c r="L110" s="214" t="s">
        <v>51</v>
      </c>
      <c r="M110" s="211">
        <v>5000000</v>
      </c>
      <c r="N110" s="209">
        <f t="shared" si="12"/>
        <v>3000000</v>
      </c>
      <c r="O110" s="209">
        <f t="shared" si="13"/>
        <v>1000000</v>
      </c>
      <c r="P110" s="210">
        <f t="shared" si="14"/>
        <v>1000000</v>
      </c>
    </row>
    <row r="111" spans="1:16" x14ac:dyDescent="0.2">
      <c r="A111" s="871"/>
      <c r="B111" s="196"/>
      <c r="C111" s="235" t="s">
        <v>42</v>
      </c>
      <c r="D111" s="236">
        <f>SUM(D112)</f>
        <v>0</v>
      </c>
      <c r="E111" s="253"/>
      <c r="F111" s="253"/>
      <c r="G111" s="245">
        <f>SUM(G112:G112)</f>
        <v>0</v>
      </c>
      <c r="H111" s="260">
        <f>SUM(H112:H112)</f>
        <v>0</v>
      </c>
      <c r="L111" s="214" t="s">
        <v>52</v>
      </c>
      <c r="M111" s="208">
        <f>8000000+1000000</f>
        <v>9000000</v>
      </c>
      <c r="N111" s="209">
        <f t="shared" si="12"/>
        <v>5400000</v>
      </c>
      <c r="O111" s="209">
        <f t="shared" si="13"/>
        <v>1800000</v>
      </c>
      <c r="P111" s="210">
        <f t="shared" si="14"/>
        <v>1800000</v>
      </c>
    </row>
    <row r="112" spans="1:16" ht="25.5" x14ac:dyDescent="0.2">
      <c r="A112" s="871"/>
      <c r="B112" s="200">
        <v>53205990000000</v>
      </c>
      <c r="C112" s="474" t="s">
        <v>44</v>
      </c>
      <c r="D112" s="262">
        <f>+P104</f>
        <v>0</v>
      </c>
      <c r="E112" s="262">
        <v>0</v>
      </c>
      <c r="F112" s="475">
        <v>0</v>
      </c>
      <c r="G112" s="240">
        <f t="shared" ref="G112" si="16">E112*F112</f>
        <v>0</v>
      </c>
      <c r="H112" s="256">
        <f t="shared" ref="H112" si="17">D112+G112</f>
        <v>0</v>
      </c>
      <c r="L112" s="213" t="s">
        <v>189</v>
      </c>
      <c r="M112" s="208">
        <f>1200000+500000</f>
        <v>1700000</v>
      </c>
      <c r="N112" s="209">
        <f t="shared" si="12"/>
        <v>1020000</v>
      </c>
      <c r="O112" s="209">
        <f t="shared" si="13"/>
        <v>340000</v>
      </c>
      <c r="P112" s="210">
        <f t="shared" si="14"/>
        <v>340000</v>
      </c>
    </row>
    <row r="113" spans="1:16" x14ac:dyDescent="0.2">
      <c r="A113" s="871"/>
      <c r="B113" s="196"/>
      <c r="C113" s="235" t="s">
        <v>45</v>
      </c>
      <c r="D113" s="236">
        <f>SUM(D114:D121)</f>
        <v>3953611.2</v>
      </c>
      <c r="E113" s="253"/>
      <c r="F113" s="253"/>
      <c r="G113" s="236">
        <f>SUM(G114:G121)</f>
        <v>0</v>
      </c>
      <c r="H113" s="260">
        <f>SUM(H114:H121)</f>
        <v>3953611.2</v>
      </c>
      <c r="L113" s="214" t="s">
        <v>181</v>
      </c>
      <c r="M113" s="211">
        <v>1200000</v>
      </c>
      <c r="N113" s="209">
        <f t="shared" si="12"/>
        <v>720000</v>
      </c>
      <c r="O113" s="209">
        <f t="shared" si="13"/>
        <v>240000</v>
      </c>
      <c r="P113" s="210">
        <f t="shared" si="14"/>
        <v>240000</v>
      </c>
    </row>
    <row r="114" spans="1:16" x14ac:dyDescent="0.2">
      <c r="A114" s="871"/>
      <c r="B114" s="197">
        <v>53204010000000</v>
      </c>
      <c r="C114" s="238" t="s">
        <v>47</v>
      </c>
      <c r="D114" s="262">
        <f>+P106</f>
        <v>131297.80000000002</v>
      </c>
      <c r="E114" s="262">
        <v>0</v>
      </c>
      <c r="F114" s="263">
        <v>0</v>
      </c>
      <c r="G114" s="262">
        <f t="shared" ref="G114:G121" si="18">E114*F114</f>
        <v>0</v>
      </c>
      <c r="H114" s="256">
        <f t="shared" ref="H114:H121" si="19">D114+G114</f>
        <v>131297.80000000002</v>
      </c>
      <c r="L114" s="212" t="s">
        <v>55</v>
      </c>
      <c r="M114" s="867"/>
      <c r="N114" s="868"/>
      <c r="O114" s="868"/>
      <c r="P114" s="869"/>
    </row>
    <row r="115" spans="1:16" x14ac:dyDescent="0.2">
      <c r="A115" s="871"/>
      <c r="B115" s="200">
        <v>53204040200000</v>
      </c>
      <c r="C115" s="238" t="s">
        <v>223</v>
      </c>
      <c r="D115" s="262">
        <f t="shared" ref="D115:D121" si="20">+P107</f>
        <v>120000</v>
      </c>
      <c r="E115" s="262">
        <v>0</v>
      </c>
      <c r="F115" s="263">
        <v>0</v>
      </c>
      <c r="G115" s="262">
        <f t="shared" si="18"/>
        <v>0</v>
      </c>
      <c r="H115" s="256">
        <f t="shared" si="19"/>
        <v>120000</v>
      </c>
      <c r="L115" s="214" t="s">
        <v>56</v>
      </c>
      <c r="M115" s="211">
        <v>0</v>
      </c>
      <c r="N115" s="209">
        <f>+M115*0.6</f>
        <v>0</v>
      </c>
      <c r="O115" s="209">
        <f>+M115*0.2</f>
        <v>0</v>
      </c>
      <c r="P115" s="210">
        <f>+M115*0.2</f>
        <v>0</v>
      </c>
    </row>
    <row r="116" spans="1:16" x14ac:dyDescent="0.2">
      <c r="A116" s="871"/>
      <c r="B116" s="197">
        <v>53204060000000</v>
      </c>
      <c r="C116" s="238" t="s">
        <v>49</v>
      </c>
      <c r="D116" s="262">
        <f t="shared" si="20"/>
        <v>0</v>
      </c>
      <c r="E116" s="262">
        <v>0</v>
      </c>
      <c r="F116" s="263">
        <v>0</v>
      </c>
      <c r="G116" s="262">
        <f t="shared" si="18"/>
        <v>0</v>
      </c>
      <c r="H116" s="256">
        <f t="shared" si="19"/>
        <v>0</v>
      </c>
      <c r="L116" s="214" t="s">
        <v>57</v>
      </c>
      <c r="M116" s="211">
        <v>0</v>
      </c>
      <c r="N116" s="209">
        <f t="shared" ref="N116:N121" si="21">+M116*0.6</f>
        <v>0</v>
      </c>
      <c r="O116" s="209">
        <f t="shared" ref="O116:O121" si="22">+M116*0.2</f>
        <v>0</v>
      </c>
      <c r="P116" s="210">
        <f t="shared" ref="P116:P121" si="23">+M116*0.2</f>
        <v>0</v>
      </c>
    </row>
    <row r="117" spans="1:16" ht="12.75" customHeight="1" x14ac:dyDescent="0.2">
      <c r="A117" s="871"/>
      <c r="B117" s="197">
        <v>53204070000000</v>
      </c>
      <c r="C117" s="238" t="s">
        <v>50</v>
      </c>
      <c r="D117" s="262">
        <f t="shared" si="20"/>
        <v>322313.40000000002</v>
      </c>
      <c r="E117" s="262">
        <v>0</v>
      </c>
      <c r="F117" s="263">
        <v>0</v>
      </c>
      <c r="G117" s="262">
        <f t="shared" si="18"/>
        <v>0</v>
      </c>
      <c r="H117" s="256">
        <f t="shared" si="19"/>
        <v>322313.40000000002</v>
      </c>
      <c r="L117" s="214" t="s">
        <v>172</v>
      </c>
      <c r="M117" s="211">
        <v>0</v>
      </c>
      <c r="N117" s="209">
        <f t="shared" si="21"/>
        <v>0</v>
      </c>
      <c r="O117" s="209">
        <f t="shared" si="22"/>
        <v>0</v>
      </c>
      <c r="P117" s="210">
        <f t="shared" si="23"/>
        <v>0</v>
      </c>
    </row>
    <row r="118" spans="1:16" x14ac:dyDescent="0.2">
      <c r="A118" s="871"/>
      <c r="B118" s="197">
        <v>53204080000000</v>
      </c>
      <c r="C118" s="238" t="s">
        <v>51</v>
      </c>
      <c r="D118" s="262">
        <f t="shared" si="20"/>
        <v>1000000</v>
      </c>
      <c r="E118" s="262">
        <v>0</v>
      </c>
      <c r="F118" s="263">
        <v>0</v>
      </c>
      <c r="G118" s="262">
        <f t="shared" si="18"/>
        <v>0</v>
      </c>
      <c r="H118" s="256">
        <f t="shared" si="19"/>
        <v>1000000</v>
      </c>
      <c r="L118" s="214" t="s">
        <v>190</v>
      </c>
      <c r="M118" s="211">
        <f>91560*1.05*12</f>
        <v>1153656</v>
      </c>
      <c r="N118" s="209">
        <f t="shared" si="21"/>
        <v>692193.6</v>
      </c>
      <c r="O118" s="209">
        <f t="shared" si="22"/>
        <v>230731.2</v>
      </c>
      <c r="P118" s="210">
        <f t="shared" si="23"/>
        <v>230731.2</v>
      </c>
    </row>
    <row r="119" spans="1:16" x14ac:dyDescent="0.2">
      <c r="A119" s="871"/>
      <c r="B119" s="197">
        <v>53214010000000</v>
      </c>
      <c r="C119" s="238" t="s">
        <v>52</v>
      </c>
      <c r="D119" s="262">
        <f t="shared" si="20"/>
        <v>1800000</v>
      </c>
      <c r="E119" s="264">
        <v>0</v>
      </c>
      <c r="F119" s="263">
        <v>0</v>
      </c>
      <c r="G119" s="262">
        <f t="shared" si="18"/>
        <v>0</v>
      </c>
      <c r="H119" s="256">
        <f t="shared" si="19"/>
        <v>1800000</v>
      </c>
      <c r="L119" s="214" t="s">
        <v>193</v>
      </c>
      <c r="M119" s="211">
        <v>0</v>
      </c>
      <c r="N119" s="209">
        <f t="shared" si="21"/>
        <v>0</v>
      </c>
      <c r="O119" s="209">
        <f t="shared" si="22"/>
        <v>0</v>
      </c>
      <c r="P119" s="210">
        <f t="shared" si="23"/>
        <v>0</v>
      </c>
    </row>
    <row r="120" spans="1:16" x14ac:dyDescent="0.2">
      <c r="A120" s="871"/>
      <c r="B120" s="197">
        <v>53214040000000</v>
      </c>
      <c r="C120" s="238" t="s">
        <v>189</v>
      </c>
      <c r="D120" s="262">
        <f t="shared" si="20"/>
        <v>340000</v>
      </c>
      <c r="E120" s="264">
        <v>0</v>
      </c>
      <c r="F120" s="263">
        <v>0</v>
      </c>
      <c r="G120" s="262">
        <f t="shared" si="18"/>
        <v>0</v>
      </c>
      <c r="H120" s="256">
        <f t="shared" si="19"/>
        <v>340000</v>
      </c>
      <c r="L120" s="214" t="s">
        <v>191</v>
      </c>
      <c r="M120" s="211">
        <v>0</v>
      </c>
      <c r="N120" s="209">
        <f t="shared" si="21"/>
        <v>0</v>
      </c>
      <c r="O120" s="209">
        <f t="shared" si="22"/>
        <v>0</v>
      </c>
      <c r="P120" s="210">
        <f t="shared" si="23"/>
        <v>0</v>
      </c>
    </row>
    <row r="121" spans="1:16" ht="14.25" customHeight="1" x14ac:dyDescent="0.2">
      <c r="A121" s="871"/>
      <c r="B121" s="198">
        <v>53204020100000</v>
      </c>
      <c r="C121" s="238" t="s">
        <v>181</v>
      </c>
      <c r="D121" s="262">
        <f t="shared" si="20"/>
        <v>240000</v>
      </c>
      <c r="E121" s="262">
        <v>0</v>
      </c>
      <c r="F121" s="263">
        <v>0</v>
      </c>
      <c r="G121" s="262">
        <f t="shared" si="18"/>
        <v>0</v>
      </c>
      <c r="H121" s="256">
        <f t="shared" si="19"/>
        <v>240000</v>
      </c>
      <c r="L121" s="214" t="s">
        <v>64</v>
      </c>
      <c r="M121" s="211">
        <v>2023999</v>
      </c>
      <c r="N121" s="209">
        <f t="shared" si="21"/>
        <v>1214399.3999999999</v>
      </c>
      <c r="O121" s="209">
        <f t="shared" si="22"/>
        <v>404799.80000000005</v>
      </c>
      <c r="P121" s="210">
        <f t="shared" si="23"/>
        <v>404799.80000000005</v>
      </c>
    </row>
    <row r="122" spans="1:16" x14ac:dyDescent="0.2">
      <c r="A122" s="871"/>
      <c r="B122" s="196"/>
      <c r="C122" s="235" t="s">
        <v>55</v>
      </c>
      <c r="D122" s="236">
        <f>SUM(D123:D130)</f>
        <v>635531</v>
      </c>
      <c r="E122" s="253"/>
      <c r="F122" s="253"/>
      <c r="G122" s="236">
        <f>SUM(G123:G130)</f>
        <v>158150</v>
      </c>
      <c r="H122" s="254">
        <f>SUM(H123:H130)</f>
        <v>793681</v>
      </c>
      <c r="L122" s="212" t="s">
        <v>65</v>
      </c>
      <c r="M122" s="867">
        <v>0</v>
      </c>
      <c r="N122" s="868"/>
      <c r="O122" s="868"/>
      <c r="P122" s="869"/>
    </row>
    <row r="123" spans="1:16" x14ac:dyDescent="0.2">
      <c r="A123" s="871"/>
      <c r="B123" s="197">
        <v>53207010000000</v>
      </c>
      <c r="C123" s="238" t="s">
        <v>56</v>
      </c>
      <c r="D123" s="262">
        <f>P115</f>
        <v>0</v>
      </c>
      <c r="E123" s="262">
        <v>0</v>
      </c>
      <c r="F123" s="263">
        <v>0</v>
      </c>
      <c r="G123" s="262">
        <f t="shared" ref="G123:G130" si="24">E123*F123</f>
        <v>0</v>
      </c>
      <c r="H123" s="256">
        <f t="shared" ref="H123:H130" si="25">D123+G123</f>
        <v>0</v>
      </c>
      <c r="L123" s="214" t="s">
        <v>99</v>
      </c>
      <c r="M123" s="211">
        <v>0</v>
      </c>
      <c r="N123" s="209">
        <f>+M123*0.6</f>
        <v>0</v>
      </c>
      <c r="O123" s="209">
        <f>+M123*0.2</f>
        <v>0</v>
      </c>
      <c r="P123" s="210">
        <f>+M123*0.2</f>
        <v>0</v>
      </c>
    </row>
    <row r="124" spans="1:16" x14ac:dyDescent="0.2">
      <c r="A124" s="871"/>
      <c r="B124" s="197">
        <v>53207020000000</v>
      </c>
      <c r="C124" s="238" t="s">
        <v>57</v>
      </c>
      <c r="D124" s="262">
        <f t="shared" ref="D124:D126" si="26">P116</f>
        <v>0</v>
      </c>
      <c r="E124" s="262">
        <v>0</v>
      </c>
      <c r="F124" s="263">
        <v>0</v>
      </c>
      <c r="G124" s="262">
        <f t="shared" si="24"/>
        <v>0</v>
      </c>
      <c r="H124" s="256">
        <f t="shared" si="25"/>
        <v>0</v>
      </c>
      <c r="L124" s="214" t="s">
        <v>100</v>
      </c>
      <c r="M124" s="211">
        <v>0</v>
      </c>
      <c r="N124" s="209">
        <f t="shared" ref="N124:N129" si="27">+M124*0.6</f>
        <v>0</v>
      </c>
      <c r="O124" s="209">
        <f t="shared" ref="O124:O129" si="28">+M124*0.2</f>
        <v>0</v>
      </c>
      <c r="P124" s="210">
        <f t="shared" ref="P124:P129" si="29">+M124*0.2</f>
        <v>0</v>
      </c>
    </row>
    <row r="125" spans="1:16" x14ac:dyDescent="0.2">
      <c r="A125" s="871"/>
      <c r="B125" s="197">
        <v>53208020000000</v>
      </c>
      <c r="C125" s="238" t="s">
        <v>172</v>
      </c>
      <c r="D125" s="262">
        <f t="shared" si="26"/>
        <v>0</v>
      </c>
      <c r="E125" s="262">
        <v>0</v>
      </c>
      <c r="F125" s="263">
        <v>0</v>
      </c>
      <c r="G125" s="262">
        <f t="shared" si="24"/>
        <v>0</v>
      </c>
      <c r="H125" s="256">
        <f t="shared" si="25"/>
        <v>0</v>
      </c>
      <c r="L125" s="214" t="s">
        <v>194</v>
      </c>
      <c r="M125" s="211">
        <v>0</v>
      </c>
      <c r="N125" s="209">
        <f t="shared" si="27"/>
        <v>0</v>
      </c>
      <c r="O125" s="209">
        <f t="shared" si="28"/>
        <v>0</v>
      </c>
      <c r="P125" s="210">
        <f t="shared" si="29"/>
        <v>0</v>
      </c>
    </row>
    <row r="126" spans="1:16" x14ac:dyDescent="0.2">
      <c r="A126" s="871"/>
      <c r="B126" s="197">
        <v>53208990000000</v>
      </c>
      <c r="C126" s="238" t="s">
        <v>190</v>
      </c>
      <c r="D126" s="262">
        <f t="shared" si="26"/>
        <v>230731.2</v>
      </c>
      <c r="E126" s="262">
        <v>0</v>
      </c>
      <c r="F126" s="263">
        <v>0</v>
      </c>
      <c r="G126" s="262">
        <f t="shared" si="24"/>
        <v>0</v>
      </c>
      <c r="H126" s="256">
        <f t="shared" si="25"/>
        <v>230731.2</v>
      </c>
      <c r="L126" s="214" t="s">
        <v>102</v>
      </c>
      <c r="M126" s="211">
        <v>0</v>
      </c>
      <c r="N126" s="209">
        <f t="shared" si="27"/>
        <v>0</v>
      </c>
      <c r="O126" s="209">
        <f t="shared" si="28"/>
        <v>0</v>
      </c>
      <c r="P126" s="210">
        <f t="shared" si="29"/>
        <v>0</v>
      </c>
    </row>
    <row r="127" spans="1:16" x14ac:dyDescent="0.2">
      <c r="A127" s="871"/>
      <c r="B127" s="198">
        <v>53210020300000</v>
      </c>
      <c r="C127" s="238" t="s">
        <v>192</v>
      </c>
      <c r="D127" s="476">
        <v>0</v>
      </c>
      <c r="E127" s="614">
        <v>6326</v>
      </c>
      <c r="F127" s="257">
        <f>+'B) Reajuste Tarifas y Ocupación'!I30</f>
        <v>25</v>
      </c>
      <c r="G127" s="240">
        <f t="shared" si="24"/>
        <v>158150</v>
      </c>
      <c r="H127" s="256">
        <f t="shared" si="25"/>
        <v>158150</v>
      </c>
      <c r="L127" s="214" t="s">
        <v>195</v>
      </c>
      <c r="M127" s="211">
        <v>0</v>
      </c>
      <c r="N127" s="209">
        <f t="shared" si="27"/>
        <v>0</v>
      </c>
      <c r="O127" s="209">
        <f t="shared" si="28"/>
        <v>0</v>
      </c>
      <c r="P127" s="210">
        <f t="shared" si="29"/>
        <v>0</v>
      </c>
    </row>
    <row r="128" spans="1:16" x14ac:dyDescent="0.2">
      <c r="A128" s="871"/>
      <c r="B128" s="197">
        <v>53208990000000</v>
      </c>
      <c r="C128" s="238" t="s">
        <v>193</v>
      </c>
      <c r="D128" s="240">
        <f>P119</f>
        <v>0</v>
      </c>
      <c r="E128" s="240">
        <v>0</v>
      </c>
      <c r="F128" s="257">
        <v>0</v>
      </c>
      <c r="G128" s="240">
        <f t="shared" si="24"/>
        <v>0</v>
      </c>
      <c r="H128" s="256">
        <f t="shared" si="25"/>
        <v>0</v>
      </c>
      <c r="L128" s="214" t="s">
        <v>104</v>
      </c>
      <c r="M128" s="211">
        <v>600000</v>
      </c>
      <c r="N128" s="209">
        <f t="shared" si="27"/>
        <v>360000</v>
      </c>
      <c r="O128" s="209">
        <f t="shared" si="28"/>
        <v>120000</v>
      </c>
      <c r="P128" s="210">
        <f t="shared" si="29"/>
        <v>120000</v>
      </c>
    </row>
    <row r="129" spans="1:16" x14ac:dyDescent="0.2">
      <c r="A129" s="871"/>
      <c r="B129" s="197">
        <v>53209990000000</v>
      </c>
      <c r="C129" s="238" t="s">
        <v>191</v>
      </c>
      <c r="D129" s="240">
        <f t="shared" ref="D129:D130" si="30">P120</f>
        <v>0</v>
      </c>
      <c r="E129" s="240">
        <v>0</v>
      </c>
      <c r="F129" s="257">
        <v>0</v>
      </c>
      <c r="G129" s="240">
        <f t="shared" si="24"/>
        <v>0</v>
      </c>
      <c r="H129" s="256">
        <f t="shared" si="25"/>
        <v>0</v>
      </c>
      <c r="L129" s="214" t="s">
        <v>224</v>
      </c>
      <c r="M129" s="211">
        <f>4986867*1.05</f>
        <v>5236210.3500000006</v>
      </c>
      <c r="N129" s="209">
        <f t="shared" si="27"/>
        <v>3141726.2100000004</v>
      </c>
      <c r="O129" s="209">
        <f t="shared" si="28"/>
        <v>1047242.0700000002</v>
      </c>
      <c r="P129" s="210">
        <f t="shared" si="29"/>
        <v>1047242.0700000002</v>
      </c>
    </row>
    <row r="130" spans="1:16" x14ac:dyDescent="0.2">
      <c r="A130" s="871"/>
      <c r="B130" s="197">
        <v>53210020100000</v>
      </c>
      <c r="C130" s="238" t="s">
        <v>64</v>
      </c>
      <c r="D130" s="240">
        <f t="shared" si="30"/>
        <v>404799.80000000005</v>
      </c>
      <c r="E130" s="240">
        <v>0</v>
      </c>
      <c r="F130" s="257">
        <v>0</v>
      </c>
      <c r="G130" s="240">
        <f t="shared" si="24"/>
        <v>0</v>
      </c>
      <c r="H130" s="256">
        <f t="shared" si="25"/>
        <v>404799.80000000005</v>
      </c>
    </row>
    <row r="131" spans="1:16" x14ac:dyDescent="0.2">
      <c r="A131" s="871"/>
      <c r="B131" s="196"/>
      <c r="C131" s="235" t="s">
        <v>65</v>
      </c>
      <c r="D131" s="236">
        <f>SUM(D132:D138)</f>
        <v>1167242.0700000003</v>
      </c>
      <c r="E131" s="253"/>
      <c r="F131" s="253"/>
      <c r="G131" s="236">
        <f>SUM(G132:G138)</f>
        <v>0</v>
      </c>
      <c r="H131" s="254">
        <f>SUM(H132:H138)</f>
        <v>1167242.0700000003</v>
      </c>
    </row>
    <row r="132" spans="1:16" x14ac:dyDescent="0.2">
      <c r="A132" s="871"/>
      <c r="B132" s="197">
        <v>53206030000000</v>
      </c>
      <c r="C132" s="238" t="s">
        <v>99</v>
      </c>
      <c r="D132" s="262">
        <f>P123</f>
        <v>0</v>
      </c>
      <c r="E132" s="262">
        <v>0</v>
      </c>
      <c r="F132" s="263">
        <v>0</v>
      </c>
      <c r="G132" s="240">
        <f t="shared" ref="G132:G138" si="31">E132*F132</f>
        <v>0</v>
      </c>
      <c r="H132" s="256">
        <f t="shared" ref="H132:H138" si="32">D132+G132</f>
        <v>0</v>
      </c>
    </row>
    <row r="133" spans="1:16" x14ac:dyDescent="0.2">
      <c r="A133" s="871"/>
      <c r="B133" s="197">
        <v>53206040000000</v>
      </c>
      <c r="C133" s="238" t="s">
        <v>100</v>
      </c>
      <c r="D133" s="262">
        <f t="shared" ref="D133:D138" si="33">P124</f>
        <v>0</v>
      </c>
      <c r="E133" s="262">
        <v>0</v>
      </c>
      <c r="F133" s="263">
        <v>0</v>
      </c>
      <c r="G133" s="240">
        <f t="shared" si="31"/>
        <v>0</v>
      </c>
      <c r="H133" s="256">
        <f t="shared" si="32"/>
        <v>0</v>
      </c>
    </row>
    <row r="134" spans="1:16" x14ac:dyDescent="0.2">
      <c r="A134" s="871"/>
      <c r="B134" s="197">
        <v>53206060000000</v>
      </c>
      <c r="C134" s="238" t="s">
        <v>194</v>
      </c>
      <c r="D134" s="262">
        <f t="shared" si="33"/>
        <v>0</v>
      </c>
      <c r="E134" s="262">
        <v>0</v>
      </c>
      <c r="F134" s="263">
        <v>0</v>
      </c>
      <c r="G134" s="240">
        <f t="shared" si="31"/>
        <v>0</v>
      </c>
      <c r="H134" s="256">
        <f t="shared" si="32"/>
        <v>0</v>
      </c>
    </row>
    <row r="135" spans="1:16" x14ac:dyDescent="0.2">
      <c r="A135" s="871"/>
      <c r="B135" s="197">
        <v>53206070000000</v>
      </c>
      <c r="C135" s="238" t="s">
        <v>102</v>
      </c>
      <c r="D135" s="262">
        <f t="shared" si="33"/>
        <v>0</v>
      </c>
      <c r="E135" s="262">
        <v>0</v>
      </c>
      <c r="F135" s="263">
        <v>0</v>
      </c>
      <c r="G135" s="240">
        <f t="shared" si="31"/>
        <v>0</v>
      </c>
      <c r="H135" s="256">
        <f t="shared" si="32"/>
        <v>0</v>
      </c>
    </row>
    <row r="136" spans="1:16" ht="15.75" customHeight="1" x14ac:dyDescent="0.2">
      <c r="A136" s="871"/>
      <c r="B136" s="197">
        <v>53206990000000</v>
      </c>
      <c r="C136" s="238" t="s">
        <v>195</v>
      </c>
      <c r="D136" s="262">
        <f t="shared" si="33"/>
        <v>0</v>
      </c>
      <c r="E136" s="262">
        <v>0</v>
      </c>
      <c r="F136" s="263">
        <v>0</v>
      </c>
      <c r="G136" s="240">
        <f t="shared" si="31"/>
        <v>0</v>
      </c>
      <c r="H136" s="256">
        <f t="shared" si="32"/>
        <v>0</v>
      </c>
    </row>
    <row r="137" spans="1:16" x14ac:dyDescent="0.2">
      <c r="A137" s="871"/>
      <c r="B137" s="197">
        <v>53208030000000</v>
      </c>
      <c r="C137" s="238" t="s">
        <v>104</v>
      </c>
      <c r="D137" s="262">
        <f t="shared" si="33"/>
        <v>120000</v>
      </c>
      <c r="E137" s="262">
        <v>0</v>
      </c>
      <c r="F137" s="263">
        <v>0</v>
      </c>
      <c r="G137" s="240">
        <f t="shared" si="31"/>
        <v>0</v>
      </c>
      <c r="H137" s="256">
        <f t="shared" si="32"/>
        <v>120000</v>
      </c>
    </row>
    <row r="138" spans="1:16" x14ac:dyDescent="0.2">
      <c r="A138" s="871"/>
      <c r="B138" s="197">
        <v>53206990000000</v>
      </c>
      <c r="C138" s="238" t="s">
        <v>224</v>
      </c>
      <c r="D138" s="262">
        <f t="shared" si="33"/>
        <v>1047242.0700000002</v>
      </c>
      <c r="E138" s="262">
        <v>0</v>
      </c>
      <c r="F138" s="263">
        <v>0</v>
      </c>
      <c r="G138" s="240">
        <f t="shared" si="31"/>
        <v>0</v>
      </c>
      <c r="H138" s="256">
        <f t="shared" si="32"/>
        <v>1047242.0700000002</v>
      </c>
    </row>
    <row r="139" spans="1:16" x14ac:dyDescent="0.2">
      <c r="A139" s="871"/>
      <c r="B139" s="196"/>
      <c r="C139" s="235" t="s">
        <v>66</v>
      </c>
      <c r="D139" s="236">
        <f>SUM(D140:D140)</f>
        <v>0</v>
      </c>
      <c r="E139" s="253"/>
      <c r="F139" s="253"/>
      <c r="G139" s="236">
        <f>SUM(G140:G140)</f>
        <v>0</v>
      </c>
      <c r="H139" s="254">
        <f>SUM(H140:H140)</f>
        <v>0</v>
      </c>
    </row>
    <row r="140" spans="1:16" x14ac:dyDescent="0.2">
      <c r="A140" s="871"/>
      <c r="B140" s="201"/>
      <c r="C140" s="246" t="s">
        <v>225</v>
      </c>
      <c r="D140" s="241">
        <v>0</v>
      </c>
      <c r="E140" s="241">
        <v>0</v>
      </c>
      <c r="F140" s="261">
        <v>0</v>
      </c>
      <c r="G140" s="240">
        <f t="shared" ref="G140" si="34">E140*F140</f>
        <v>0</v>
      </c>
      <c r="H140" s="265">
        <f t="shared" ref="H140" si="35">D140+G140</f>
        <v>0</v>
      </c>
      <c r="I140" s="271" t="s">
        <v>228</v>
      </c>
      <c r="J140" s="395">
        <f>+H138+H137+H136+H135+H134+H133+H132+H130+H129+H128+H127+H126+H125+H124+H123+H121+H118+H117+H116+H115+H114+H112+H110+H109+H103+H102+H101+H99+H98+H97+H96+H95+H94+H93+H92+H91+H90+H89</f>
        <v>7281576.0761130946</v>
      </c>
    </row>
    <row r="141" spans="1:16" ht="15" customHeight="1" thickBot="1" x14ac:dyDescent="0.25">
      <c r="A141" s="891"/>
      <c r="B141" s="266"/>
      <c r="C141" s="267" t="s">
        <v>105</v>
      </c>
      <c r="D141" s="268">
        <f>SUM(D78,D105)</f>
        <v>9263426.0761130955</v>
      </c>
      <c r="E141" s="269"/>
      <c r="F141" s="269"/>
      <c r="G141" s="268">
        <f>SUM(G78,G105)</f>
        <v>4034825</v>
      </c>
      <c r="H141" s="270">
        <f>SUM(H78,H105)</f>
        <v>13298251.076113096</v>
      </c>
      <c r="I141" s="272" t="s">
        <v>229</v>
      </c>
      <c r="J141" s="392">
        <f>+H141-J140</f>
        <v>6016675.0000000009</v>
      </c>
    </row>
    <row r="142" spans="1:16" x14ac:dyDescent="0.2">
      <c r="A142" s="880" t="s">
        <v>81</v>
      </c>
      <c r="B142" s="882" t="s">
        <v>75</v>
      </c>
      <c r="C142" s="873" t="s">
        <v>76</v>
      </c>
      <c r="D142" s="875" t="s">
        <v>77</v>
      </c>
      <c r="E142" s="877" t="s">
        <v>78</v>
      </c>
      <c r="F142" s="877"/>
      <c r="G142" s="877"/>
      <c r="H142" s="878" t="s">
        <v>266</v>
      </c>
    </row>
    <row r="143" spans="1:16" ht="40.5" customHeight="1" thickBot="1" x14ac:dyDescent="0.25">
      <c r="A143" s="881"/>
      <c r="B143" s="883"/>
      <c r="C143" s="874"/>
      <c r="D143" s="876"/>
      <c r="E143" s="311" t="s">
        <v>67</v>
      </c>
      <c r="F143" s="312" t="s">
        <v>68</v>
      </c>
      <c r="G143" s="313" t="s">
        <v>6</v>
      </c>
      <c r="H143" s="879"/>
    </row>
    <row r="144" spans="1:16" x14ac:dyDescent="0.2">
      <c r="A144" s="870" t="s">
        <v>215</v>
      </c>
      <c r="B144" s="247"/>
      <c r="C144" s="248" t="s">
        <v>11</v>
      </c>
      <c r="D144" s="249">
        <f>+D145+D150</f>
        <v>115809374.31833929</v>
      </c>
      <c r="E144" s="250"/>
      <c r="F144" s="250"/>
      <c r="G144" s="251">
        <f>SUM(G145,G150)</f>
        <v>11800980</v>
      </c>
      <c r="H144" s="252">
        <f>SUM(H145,H150)</f>
        <v>127610354.31833929</v>
      </c>
    </row>
    <row r="145" spans="1:8" x14ac:dyDescent="0.2">
      <c r="A145" s="871"/>
      <c r="B145" s="196"/>
      <c r="C145" s="314" t="s">
        <v>12</v>
      </c>
      <c r="D145" s="315">
        <f>SUM(D146:D149)</f>
        <v>105498248.90000001</v>
      </c>
      <c r="E145" s="316"/>
      <c r="F145" s="316"/>
      <c r="G145" s="317">
        <f>SUM(G146:G149)</f>
        <v>0</v>
      </c>
      <c r="H145" s="254">
        <f>SUM(H146:H149)</f>
        <v>105498248.90000001</v>
      </c>
    </row>
    <row r="146" spans="1:8" x14ac:dyDescent="0.2">
      <c r="A146" s="871"/>
      <c r="B146" s="197">
        <v>53103040100000</v>
      </c>
      <c r="C146" s="318" t="s">
        <v>95</v>
      </c>
      <c r="D146" s="319">
        <f>+'F) Remuneraciones'!L29</f>
        <v>105498248.90000001</v>
      </c>
      <c r="E146" s="320">
        <v>0</v>
      </c>
      <c r="F146" s="321">
        <v>0</v>
      </c>
      <c r="G146" s="320">
        <f>E146*F146</f>
        <v>0</v>
      </c>
      <c r="H146" s="322">
        <f>D146+G146</f>
        <v>105498248.90000001</v>
      </c>
    </row>
    <row r="147" spans="1:8" x14ac:dyDescent="0.2">
      <c r="A147" s="871"/>
      <c r="B147" s="197">
        <v>53103050000000</v>
      </c>
      <c r="C147" s="318" t="s">
        <v>173</v>
      </c>
      <c r="D147" s="323">
        <v>0</v>
      </c>
      <c r="E147" s="324">
        <v>0</v>
      </c>
      <c r="F147" s="325">
        <v>0</v>
      </c>
      <c r="G147" s="320">
        <f>E147*F147</f>
        <v>0</v>
      </c>
      <c r="H147" s="322">
        <f>D147+G147</f>
        <v>0</v>
      </c>
    </row>
    <row r="148" spans="1:8" x14ac:dyDescent="0.2">
      <c r="A148" s="871"/>
      <c r="B148" s="198">
        <v>53103040400000</v>
      </c>
      <c r="C148" s="199" t="s">
        <v>174</v>
      </c>
      <c r="D148" s="323">
        <v>0</v>
      </c>
      <c r="E148" s="324">
        <v>0</v>
      </c>
      <c r="F148" s="325">
        <v>0</v>
      </c>
      <c r="G148" s="320">
        <f>E148*F148</f>
        <v>0</v>
      </c>
      <c r="H148" s="322">
        <f>D148+G148</f>
        <v>0</v>
      </c>
    </row>
    <row r="149" spans="1:8" x14ac:dyDescent="0.2">
      <c r="A149" s="871"/>
      <c r="B149" s="197">
        <v>53103080010000</v>
      </c>
      <c r="C149" s="318" t="s">
        <v>175</v>
      </c>
      <c r="D149" s="323">
        <v>0</v>
      </c>
      <c r="E149" s="324">
        <v>0</v>
      </c>
      <c r="F149" s="325">
        <v>0</v>
      </c>
      <c r="G149" s="320">
        <f>E149*F149</f>
        <v>0</v>
      </c>
      <c r="H149" s="322">
        <f>D149+G149</f>
        <v>0</v>
      </c>
    </row>
    <row r="150" spans="1:8" x14ac:dyDescent="0.2">
      <c r="A150" s="871"/>
      <c r="B150" s="196"/>
      <c r="C150" s="314" t="s">
        <v>16</v>
      </c>
      <c r="D150" s="315">
        <f>SUM(D151:D170)</f>
        <v>10311125.418339286</v>
      </c>
      <c r="E150" s="316"/>
      <c r="F150" s="316"/>
      <c r="G150" s="315">
        <f>SUM(G151:G170)</f>
        <v>11800980</v>
      </c>
      <c r="H150" s="254">
        <f>SUM(H151:H170)</f>
        <v>22112105.418339286</v>
      </c>
    </row>
    <row r="151" spans="1:8" ht="14.25" customHeight="1" x14ac:dyDescent="0.2">
      <c r="A151" s="871"/>
      <c r="B151" s="197">
        <v>53201010100000</v>
      </c>
      <c r="C151" s="326" t="s">
        <v>176</v>
      </c>
      <c r="D151" s="323">
        <v>0</v>
      </c>
      <c r="E151" s="324">
        <v>2100</v>
      </c>
      <c r="F151" s="325">
        <v>660</v>
      </c>
      <c r="G151" s="320">
        <f t="shared" ref="G151:G170" si="36">E151*F151</f>
        <v>1386000</v>
      </c>
      <c r="H151" s="322">
        <f t="shared" ref="H151:H156" si="37">D151+G151</f>
        <v>1386000</v>
      </c>
    </row>
    <row r="152" spans="1:8" x14ac:dyDescent="0.2">
      <c r="A152" s="871"/>
      <c r="B152" s="197">
        <v>53201010100000</v>
      </c>
      <c r="C152" s="326" t="s">
        <v>177</v>
      </c>
      <c r="D152" s="323">
        <v>0</v>
      </c>
      <c r="E152" s="324">
        <v>214.3</v>
      </c>
      <c r="F152" s="325">
        <v>48600</v>
      </c>
      <c r="G152" s="320">
        <f t="shared" si="36"/>
        <v>10414980</v>
      </c>
      <c r="H152" s="322">
        <f t="shared" si="37"/>
        <v>10414980</v>
      </c>
    </row>
    <row r="153" spans="1:8" x14ac:dyDescent="0.2">
      <c r="A153" s="871"/>
      <c r="B153" s="197">
        <v>53201010100000</v>
      </c>
      <c r="C153" s="326" t="s">
        <v>178</v>
      </c>
      <c r="D153" s="323">
        <v>0</v>
      </c>
      <c r="E153" s="324">
        <v>0</v>
      </c>
      <c r="F153" s="325">
        <v>0</v>
      </c>
      <c r="G153" s="320">
        <f t="shared" si="36"/>
        <v>0</v>
      </c>
      <c r="H153" s="322">
        <f t="shared" si="37"/>
        <v>0</v>
      </c>
    </row>
    <row r="154" spans="1:8" x14ac:dyDescent="0.2">
      <c r="A154" s="871"/>
      <c r="B154" s="197">
        <v>53202010100000</v>
      </c>
      <c r="C154" s="318" t="s">
        <v>179</v>
      </c>
      <c r="D154" s="320">
        <f>+N82</f>
        <v>0</v>
      </c>
      <c r="E154" s="320">
        <v>0</v>
      </c>
      <c r="F154" s="336">
        <v>0</v>
      </c>
      <c r="G154" s="320">
        <f t="shared" si="36"/>
        <v>0</v>
      </c>
      <c r="H154" s="322">
        <f t="shared" si="37"/>
        <v>0</v>
      </c>
    </row>
    <row r="155" spans="1:8" x14ac:dyDescent="0.2">
      <c r="A155" s="871"/>
      <c r="B155" s="197">
        <v>53203010100000</v>
      </c>
      <c r="C155" s="318" t="s">
        <v>19</v>
      </c>
      <c r="D155" s="320">
        <f t="shared" ref="D155:D170" si="38">+N83</f>
        <v>946607.04</v>
      </c>
      <c r="E155" s="320">
        <v>0</v>
      </c>
      <c r="F155" s="336">
        <v>0</v>
      </c>
      <c r="G155" s="320">
        <f t="shared" si="36"/>
        <v>0</v>
      </c>
      <c r="H155" s="322">
        <f t="shared" si="37"/>
        <v>946607.04</v>
      </c>
    </row>
    <row r="156" spans="1:8" x14ac:dyDescent="0.2">
      <c r="A156" s="871"/>
      <c r="B156" s="197">
        <v>53203030000000</v>
      </c>
      <c r="C156" s="318" t="s">
        <v>180</v>
      </c>
      <c r="D156" s="320">
        <f t="shared" si="38"/>
        <v>0</v>
      </c>
      <c r="E156" s="320">
        <v>0</v>
      </c>
      <c r="F156" s="336">
        <v>0</v>
      </c>
      <c r="G156" s="320">
        <f t="shared" si="36"/>
        <v>0</v>
      </c>
      <c r="H156" s="322">
        <f t="shared" si="37"/>
        <v>0</v>
      </c>
    </row>
    <row r="157" spans="1:8" x14ac:dyDescent="0.2">
      <c r="A157" s="871"/>
      <c r="B157" s="197">
        <v>53204030000000</v>
      </c>
      <c r="C157" s="318" t="s">
        <v>222</v>
      </c>
      <c r="D157" s="320">
        <f t="shared" si="38"/>
        <v>240000</v>
      </c>
      <c r="E157" s="320">
        <v>0</v>
      </c>
      <c r="F157" s="336">
        <v>0</v>
      </c>
      <c r="G157" s="320">
        <f t="shared" si="36"/>
        <v>0</v>
      </c>
      <c r="H157" s="322">
        <f>D157+G157</f>
        <v>240000</v>
      </c>
    </row>
    <row r="158" spans="1:8" x14ac:dyDescent="0.2">
      <c r="A158" s="871"/>
      <c r="B158" s="197">
        <v>53204100100001</v>
      </c>
      <c r="C158" s="318" t="s">
        <v>22</v>
      </c>
      <c r="D158" s="320">
        <f t="shared" si="38"/>
        <v>1182384</v>
      </c>
      <c r="E158" s="320">
        <v>0</v>
      </c>
      <c r="F158" s="336">
        <v>0</v>
      </c>
      <c r="G158" s="320">
        <f t="shared" si="36"/>
        <v>0</v>
      </c>
      <c r="H158" s="322">
        <f t="shared" ref="H158:H170" si="39">D158+G158</f>
        <v>1182384</v>
      </c>
    </row>
    <row r="159" spans="1:8" x14ac:dyDescent="0.2">
      <c r="A159" s="871"/>
      <c r="B159" s="197">
        <v>53204130100000</v>
      </c>
      <c r="C159" s="318" t="s">
        <v>182</v>
      </c>
      <c r="D159" s="320">
        <f t="shared" si="38"/>
        <v>0</v>
      </c>
      <c r="E159" s="320">
        <v>0</v>
      </c>
      <c r="F159" s="336">
        <v>0</v>
      </c>
      <c r="G159" s="320">
        <f t="shared" si="36"/>
        <v>0</v>
      </c>
      <c r="H159" s="322">
        <f t="shared" si="39"/>
        <v>0</v>
      </c>
    </row>
    <row r="160" spans="1:8" x14ac:dyDescent="0.2">
      <c r="A160" s="871"/>
      <c r="B160" s="197">
        <v>53205010100000</v>
      </c>
      <c r="C160" s="318" t="s">
        <v>24</v>
      </c>
      <c r="D160" s="320">
        <f t="shared" si="38"/>
        <v>2881047</v>
      </c>
      <c r="E160" s="320">
        <v>0</v>
      </c>
      <c r="F160" s="336">
        <v>0</v>
      </c>
      <c r="G160" s="320">
        <f t="shared" si="36"/>
        <v>0</v>
      </c>
      <c r="H160" s="322">
        <f t="shared" si="39"/>
        <v>2881047</v>
      </c>
    </row>
    <row r="161" spans="1:12" x14ac:dyDescent="0.2">
      <c r="A161" s="871"/>
      <c r="B161" s="197">
        <v>53205020100000</v>
      </c>
      <c r="C161" s="318" t="s">
        <v>25</v>
      </c>
      <c r="D161" s="320">
        <f t="shared" si="38"/>
        <v>463395.6</v>
      </c>
      <c r="E161" s="320">
        <v>0</v>
      </c>
      <c r="F161" s="336">
        <v>0</v>
      </c>
      <c r="G161" s="320">
        <f t="shared" si="36"/>
        <v>0</v>
      </c>
      <c r="H161" s="322">
        <f t="shared" si="39"/>
        <v>463395.6</v>
      </c>
    </row>
    <row r="162" spans="1:12" x14ac:dyDescent="0.2">
      <c r="A162" s="871"/>
      <c r="B162" s="197">
        <v>53205030100000</v>
      </c>
      <c r="C162" s="318" t="s">
        <v>26</v>
      </c>
      <c r="D162" s="320">
        <f t="shared" si="38"/>
        <v>3291741.8926250003</v>
      </c>
      <c r="E162" s="320">
        <v>0</v>
      </c>
      <c r="F162" s="336">
        <v>0</v>
      </c>
      <c r="G162" s="320">
        <f t="shared" si="36"/>
        <v>0</v>
      </c>
      <c r="H162" s="322">
        <f t="shared" si="39"/>
        <v>3291741.8926250003</v>
      </c>
    </row>
    <row r="163" spans="1:12" x14ac:dyDescent="0.2">
      <c r="A163" s="871"/>
      <c r="B163" s="197">
        <v>53205050100000</v>
      </c>
      <c r="C163" s="318" t="s">
        <v>27</v>
      </c>
      <c r="D163" s="320">
        <f t="shared" si="38"/>
        <v>0</v>
      </c>
      <c r="E163" s="320">
        <v>0</v>
      </c>
      <c r="F163" s="336">
        <v>0</v>
      </c>
      <c r="G163" s="320">
        <f t="shared" si="36"/>
        <v>0</v>
      </c>
      <c r="H163" s="322">
        <f t="shared" si="39"/>
        <v>0</v>
      </c>
    </row>
    <row r="164" spans="1:12" x14ac:dyDescent="0.2">
      <c r="A164" s="871"/>
      <c r="B164" s="197">
        <v>53205070100000</v>
      </c>
      <c r="C164" s="318" t="s">
        <v>29</v>
      </c>
      <c r="D164" s="320">
        <f t="shared" si="38"/>
        <v>324000</v>
      </c>
      <c r="E164" s="320">
        <v>0</v>
      </c>
      <c r="F164" s="336">
        <v>0</v>
      </c>
      <c r="G164" s="320">
        <f t="shared" si="36"/>
        <v>0</v>
      </c>
      <c r="H164" s="322">
        <f t="shared" si="39"/>
        <v>324000</v>
      </c>
    </row>
    <row r="165" spans="1:12" x14ac:dyDescent="0.2">
      <c r="A165" s="871"/>
      <c r="B165" s="197">
        <v>53208010100000</v>
      </c>
      <c r="C165" s="318" t="s">
        <v>30</v>
      </c>
      <c r="D165" s="320">
        <f t="shared" si="38"/>
        <v>610560</v>
      </c>
      <c r="E165" s="320">
        <v>0</v>
      </c>
      <c r="F165" s="336">
        <v>0</v>
      </c>
      <c r="G165" s="320">
        <f t="shared" si="36"/>
        <v>0</v>
      </c>
      <c r="H165" s="322">
        <f t="shared" si="39"/>
        <v>610560</v>
      </c>
    </row>
    <row r="166" spans="1:12" ht="12" customHeight="1" x14ac:dyDescent="0.2">
      <c r="A166" s="871"/>
      <c r="B166" s="197">
        <v>53208070100001</v>
      </c>
      <c r="C166" s="318" t="s">
        <v>31</v>
      </c>
      <c r="D166" s="320">
        <f t="shared" si="38"/>
        <v>0</v>
      </c>
      <c r="E166" s="320">
        <v>0</v>
      </c>
      <c r="F166" s="336">
        <v>0</v>
      </c>
      <c r="G166" s="320">
        <f t="shared" si="36"/>
        <v>0</v>
      </c>
      <c r="H166" s="322">
        <f t="shared" si="39"/>
        <v>0</v>
      </c>
    </row>
    <row r="167" spans="1:12" x14ac:dyDescent="0.2">
      <c r="A167" s="871"/>
      <c r="B167" s="197">
        <v>53208100100001</v>
      </c>
      <c r="C167" s="318" t="s">
        <v>183</v>
      </c>
      <c r="D167" s="320">
        <f t="shared" si="38"/>
        <v>0</v>
      </c>
      <c r="E167" s="320">
        <v>0</v>
      </c>
      <c r="F167" s="336">
        <v>0</v>
      </c>
      <c r="G167" s="320">
        <f t="shared" si="36"/>
        <v>0</v>
      </c>
      <c r="H167" s="322">
        <f t="shared" si="39"/>
        <v>0</v>
      </c>
    </row>
    <row r="168" spans="1:12" x14ac:dyDescent="0.2">
      <c r="A168" s="871"/>
      <c r="B168" s="197">
        <v>53211030000000</v>
      </c>
      <c r="C168" s="318" t="s">
        <v>32</v>
      </c>
      <c r="D168" s="320">
        <f t="shared" si="38"/>
        <v>0</v>
      </c>
      <c r="E168" s="320">
        <v>0</v>
      </c>
      <c r="F168" s="336">
        <v>0</v>
      </c>
      <c r="G168" s="320">
        <f t="shared" si="36"/>
        <v>0</v>
      </c>
      <c r="H168" s="322">
        <f t="shared" si="39"/>
        <v>0</v>
      </c>
      <c r="L168" s="2" t="s">
        <v>226</v>
      </c>
    </row>
    <row r="169" spans="1:12" x14ac:dyDescent="0.2">
      <c r="A169" s="871"/>
      <c r="B169" s="197">
        <v>53212020100000</v>
      </c>
      <c r="C169" s="318" t="s">
        <v>184</v>
      </c>
      <c r="D169" s="320">
        <f t="shared" si="38"/>
        <v>371389.88571428572</v>
      </c>
      <c r="E169" s="320">
        <v>0</v>
      </c>
      <c r="F169" s="336">
        <v>0</v>
      </c>
      <c r="G169" s="320">
        <f t="shared" si="36"/>
        <v>0</v>
      </c>
      <c r="H169" s="322">
        <f t="shared" si="39"/>
        <v>371389.88571428572</v>
      </c>
    </row>
    <row r="170" spans="1:12" x14ac:dyDescent="0.2">
      <c r="A170" s="871"/>
      <c r="B170" s="197">
        <v>53214020000000</v>
      </c>
      <c r="C170" s="318" t="s">
        <v>185</v>
      </c>
      <c r="D170" s="320">
        <f t="shared" si="38"/>
        <v>0</v>
      </c>
      <c r="E170" s="320">
        <v>0</v>
      </c>
      <c r="F170" s="336">
        <v>0</v>
      </c>
      <c r="G170" s="320">
        <f t="shared" si="36"/>
        <v>0</v>
      </c>
      <c r="H170" s="322">
        <f t="shared" si="39"/>
        <v>0</v>
      </c>
    </row>
    <row r="171" spans="1:12" x14ac:dyDescent="0.2">
      <c r="A171" s="871"/>
      <c r="B171" s="327"/>
      <c r="C171" s="328" t="s">
        <v>34</v>
      </c>
      <c r="D171" s="342">
        <f>SUM(D172,D177,D179,D188,D197,D205)</f>
        <v>17479152.809999999</v>
      </c>
      <c r="E171" s="329"/>
      <c r="F171" s="329"/>
      <c r="G171" s="342">
        <f>SUM(G172,G177,G179,G188,G197,G205)</f>
        <v>1044670</v>
      </c>
      <c r="H171" s="259">
        <f>SUM(H172,H177,H179,H188,H197,H205)</f>
        <v>18523822.809999999</v>
      </c>
    </row>
    <row r="172" spans="1:12" x14ac:dyDescent="0.2">
      <c r="A172" s="871"/>
      <c r="B172" s="196"/>
      <c r="C172" s="314" t="s">
        <v>35</v>
      </c>
      <c r="D172" s="315">
        <f>SUM(D173:D176)</f>
        <v>210000</v>
      </c>
      <c r="E172" s="316"/>
      <c r="F172" s="316"/>
      <c r="G172" s="315">
        <f>SUM(G173:G176)</f>
        <v>760000</v>
      </c>
      <c r="H172" s="330">
        <f>SUM(H173:H176)</f>
        <v>970000</v>
      </c>
    </row>
    <row r="173" spans="1:12" x14ac:dyDescent="0.2">
      <c r="A173" s="871"/>
      <c r="B173" s="197">
        <v>53202020100000</v>
      </c>
      <c r="C173" s="318" t="s">
        <v>186</v>
      </c>
      <c r="D173" s="323">
        <v>0</v>
      </c>
      <c r="E173" s="324">
        <v>50000</v>
      </c>
      <c r="F173" s="331">
        <v>14</v>
      </c>
      <c r="G173" s="320">
        <f>E173*F173</f>
        <v>700000</v>
      </c>
      <c r="H173" s="322">
        <f t="shared" ref="H173:H176" si="40">D173+G173</f>
        <v>700000</v>
      </c>
    </row>
    <row r="174" spans="1:12" x14ac:dyDescent="0.2">
      <c r="A174" s="871"/>
      <c r="B174" s="197">
        <v>53202030000000</v>
      </c>
      <c r="C174" s="318" t="s">
        <v>187</v>
      </c>
      <c r="D174" s="323">
        <v>0</v>
      </c>
      <c r="E174" s="324">
        <v>30000</v>
      </c>
      <c r="F174" s="331">
        <v>2</v>
      </c>
      <c r="G174" s="320">
        <f t="shared" ref="G174:G176" si="41">E174*F174</f>
        <v>60000</v>
      </c>
      <c r="H174" s="322">
        <f t="shared" si="40"/>
        <v>60000</v>
      </c>
    </row>
    <row r="175" spans="1:12" x14ac:dyDescent="0.2">
      <c r="A175" s="871"/>
      <c r="B175" s="197">
        <v>53211020000000</v>
      </c>
      <c r="C175" s="318" t="s">
        <v>41</v>
      </c>
      <c r="D175" s="332">
        <f>+N101</f>
        <v>0</v>
      </c>
      <c r="E175" s="332">
        <v>0</v>
      </c>
      <c r="F175" s="333">
        <v>0</v>
      </c>
      <c r="G175" s="320">
        <f t="shared" si="41"/>
        <v>0</v>
      </c>
      <c r="H175" s="322">
        <f t="shared" si="40"/>
        <v>0</v>
      </c>
    </row>
    <row r="176" spans="1:12" x14ac:dyDescent="0.2">
      <c r="A176" s="871"/>
      <c r="B176" s="197">
        <v>53101040600000</v>
      </c>
      <c r="C176" s="318" t="s">
        <v>188</v>
      </c>
      <c r="D176" s="332">
        <f>+N102</f>
        <v>210000</v>
      </c>
      <c r="E176" s="332">
        <v>0</v>
      </c>
      <c r="F176" s="333">
        <v>0</v>
      </c>
      <c r="G176" s="320">
        <f t="shared" si="41"/>
        <v>0</v>
      </c>
      <c r="H176" s="322">
        <f t="shared" si="40"/>
        <v>210000</v>
      </c>
    </row>
    <row r="177" spans="1:8" x14ac:dyDescent="0.2">
      <c r="A177" s="871"/>
      <c r="B177" s="196"/>
      <c r="C177" s="314" t="s">
        <v>42</v>
      </c>
      <c r="D177" s="315">
        <f>SUM(D178)</f>
        <v>0</v>
      </c>
      <c r="E177" s="316"/>
      <c r="F177" s="316"/>
      <c r="G177" s="334">
        <f>SUM(G178:G178)</f>
        <v>0</v>
      </c>
      <c r="H177" s="330">
        <f>SUM(H178:H178)</f>
        <v>0</v>
      </c>
    </row>
    <row r="178" spans="1:8" x14ac:dyDescent="0.2">
      <c r="A178" s="871"/>
      <c r="B178" s="200">
        <v>53205990000000</v>
      </c>
      <c r="C178" s="318" t="s">
        <v>44</v>
      </c>
      <c r="D178" s="332">
        <f>+N104</f>
        <v>0</v>
      </c>
      <c r="E178" s="332">
        <v>0</v>
      </c>
      <c r="F178" s="333">
        <v>0</v>
      </c>
      <c r="G178" s="320">
        <f t="shared" ref="G178" si="42">E178*F178</f>
        <v>0</v>
      </c>
      <c r="H178" s="322">
        <f t="shared" ref="H178" si="43">D178+G178</f>
        <v>0</v>
      </c>
    </row>
    <row r="179" spans="1:8" x14ac:dyDescent="0.2">
      <c r="A179" s="871"/>
      <c r="B179" s="196"/>
      <c r="C179" s="314" t="s">
        <v>45</v>
      </c>
      <c r="D179" s="315">
        <f>SUM(D180:D187)</f>
        <v>11860833.6</v>
      </c>
      <c r="E179" s="316"/>
      <c r="F179" s="316"/>
      <c r="G179" s="315">
        <f>SUM(G180:G187)</f>
        <v>0</v>
      </c>
      <c r="H179" s="330">
        <f>SUM(H180:H187)</f>
        <v>11860833.6</v>
      </c>
    </row>
    <row r="180" spans="1:8" x14ac:dyDescent="0.2">
      <c r="A180" s="871"/>
      <c r="B180" s="197">
        <v>53204010000000</v>
      </c>
      <c r="C180" s="318" t="s">
        <v>47</v>
      </c>
      <c r="D180" s="332">
        <f>+N106</f>
        <v>393893.39999999997</v>
      </c>
      <c r="E180" s="332">
        <v>0</v>
      </c>
      <c r="F180" s="333">
        <v>0</v>
      </c>
      <c r="G180" s="332">
        <f t="shared" ref="G180:G187" si="44">E180*F180</f>
        <v>0</v>
      </c>
      <c r="H180" s="322">
        <f t="shared" ref="H180:H187" si="45">D180+G180</f>
        <v>393893.39999999997</v>
      </c>
    </row>
    <row r="181" spans="1:8" x14ac:dyDescent="0.2">
      <c r="A181" s="871"/>
      <c r="B181" s="200">
        <v>53204040200000</v>
      </c>
      <c r="C181" s="318" t="s">
        <v>223</v>
      </c>
      <c r="D181" s="332">
        <f t="shared" ref="D181:D187" si="46">+N107</f>
        <v>360000</v>
      </c>
      <c r="E181" s="332">
        <v>0</v>
      </c>
      <c r="F181" s="333">
        <v>0</v>
      </c>
      <c r="G181" s="332">
        <f t="shared" si="44"/>
        <v>0</v>
      </c>
      <c r="H181" s="322">
        <f t="shared" si="45"/>
        <v>360000</v>
      </c>
    </row>
    <row r="182" spans="1:8" x14ac:dyDescent="0.2">
      <c r="A182" s="871"/>
      <c r="B182" s="197">
        <v>53204060000000</v>
      </c>
      <c r="C182" s="318" t="s">
        <v>49</v>
      </c>
      <c r="D182" s="332">
        <f t="shared" si="46"/>
        <v>0</v>
      </c>
      <c r="E182" s="332">
        <v>0</v>
      </c>
      <c r="F182" s="333">
        <v>0</v>
      </c>
      <c r="G182" s="332">
        <f t="shared" si="44"/>
        <v>0</v>
      </c>
      <c r="H182" s="322">
        <f t="shared" si="45"/>
        <v>0</v>
      </c>
    </row>
    <row r="183" spans="1:8" x14ac:dyDescent="0.2">
      <c r="A183" s="871"/>
      <c r="B183" s="197">
        <v>53204070000000</v>
      </c>
      <c r="C183" s="318" t="s">
        <v>50</v>
      </c>
      <c r="D183" s="332">
        <f t="shared" si="46"/>
        <v>966940.2</v>
      </c>
      <c r="E183" s="332">
        <v>0</v>
      </c>
      <c r="F183" s="333">
        <v>0</v>
      </c>
      <c r="G183" s="332">
        <f t="shared" si="44"/>
        <v>0</v>
      </c>
      <c r="H183" s="322">
        <f t="shared" si="45"/>
        <v>966940.2</v>
      </c>
    </row>
    <row r="184" spans="1:8" x14ac:dyDescent="0.2">
      <c r="A184" s="871"/>
      <c r="B184" s="197">
        <v>53204080000000</v>
      </c>
      <c r="C184" s="318" t="s">
        <v>51</v>
      </c>
      <c r="D184" s="332">
        <f t="shared" si="46"/>
        <v>3000000</v>
      </c>
      <c r="E184" s="332">
        <v>0</v>
      </c>
      <c r="F184" s="333">
        <v>0</v>
      </c>
      <c r="G184" s="332">
        <f t="shared" si="44"/>
        <v>0</v>
      </c>
      <c r="H184" s="322">
        <f t="shared" si="45"/>
        <v>3000000</v>
      </c>
    </row>
    <row r="185" spans="1:8" x14ac:dyDescent="0.2">
      <c r="A185" s="871"/>
      <c r="B185" s="197">
        <v>53214010000000</v>
      </c>
      <c r="C185" s="318" t="s">
        <v>52</v>
      </c>
      <c r="D185" s="332">
        <f t="shared" si="46"/>
        <v>5400000</v>
      </c>
      <c r="E185" s="335">
        <v>0</v>
      </c>
      <c r="F185" s="333">
        <v>0</v>
      </c>
      <c r="G185" s="332">
        <f t="shared" si="44"/>
        <v>0</v>
      </c>
      <c r="H185" s="322">
        <f t="shared" si="45"/>
        <v>5400000</v>
      </c>
    </row>
    <row r="186" spans="1:8" x14ac:dyDescent="0.2">
      <c r="A186" s="871"/>
      <c r="B186" s="197">
        <v>53214040000000</v>
      </c>
      <c r="C186" s="318" t="s">
        <v>189</v>
      </c>
      <c r="D186" s="332">
        <f t="shared" si="46"/>
        <v>1020000</v>
      </c>
      <c r="E186" s="335">
        <v>0</v>
      </c>
      <c r="F186" s="333">
        <v>0</v>
      </c>
      <c r="G186" s="332">
        <f t="shared" si="44"/>
        <v>0</v>
      </c>
      <c r="H186" s="322">
        <f t="shared" si="45"/>
        <v>1020000</v>
      </c>
    </row>
    <row r="187" spans="1:8" x14ac:dyDescent="0.2">
      <c r="A187" s="871"/>
      <c r="B187" s="198">
        <v>53204020100000</v>
      </c>
      <c r="C187" s="318" t="s">
        <v>181</v>
      </c>
      <c r="D187" s="332">
        <f t="shared" si="46"/>
        <v>720000</v>
      </c>
      <c r="E187" s="332">
        <v>0</v>
      </c>
      <c r="F187" s="333">
        <v>0</v>
      </c>
      <c r="G187" s="332">
        <f t="shared" si="44"/>
        <v>0</v>
      </c>
      <c r="H187" s="322">
        <f t="shared" si="45"/>
        <v>720000</v>
      </c>
    </row>
    <row r="188" spans="1:8" x14ac:dyDescent="0.2">
      <c r="A188" s="871"/>
      <c r="B188" s="196"/>
      <c r="C188" s="314" t="s">
        <v>55</v>
      </c>
      <c r="D188" s="315">
        <f>SUM(D189:D196)</f>
        <v>1906593</v>
      </c>
      <c r="E188" s="316"/>
      <c r="F188" s="316"/>
      <c r="G188" s="315">
        <f>SUM(G189:G196)</f>
        <v>284670</v>
      </c>
      <c r="H188" s="254">
        <f>SUM(H189:H196)</f>
        <v>2191263</v>
      </c>
    </row>
    <row r="189" spans="1:8" x14ac:dyDescent="0.2">
      <c r="A189" s="871"/>
      <c r="B189" s="197">
        <v>53207010000000</v>
      </c>
      <c r="C189" s="318" t="s">
        <v>56</v>
      </c>
      <c r="D189" s="332">
        <f>+N115</f>
        <v>0</v>
      </c>
      <c r="E189" s="332">
        <v>0</v>
      </c>
      <c r="F189" s="333">
        <v>0</v>
      </c>
      <c r="G189" s="332">
        <f t="shared" ref="G189:G196" si="47">E189*F189</f>
        <v>0</v>
      </c>
      <c r="H189" s="322">
        <f t="shared" ref="H189:H196" si="48">D189+G189</f>
        <v>0</v>
      </c>
    </row>
    <row r="190" spans="1:8" x14ac:dyDescent="0.2">
      <c r="A190" s="871"/>
      <c r="B190" s="197">
        <v>53207020000000</v>
      </c>
      <c r="C190" s="318" t="s">
        <v>57</v>
      </c>
      <c r="D190" s="332">
        <f t="shared" ref="D190:D192" si="49">+N116</f>
        <v>0</v>
      </c>
      <c r="E190" s="332">
        <v>0</v>
      </c>
      <c r="F190" s="333">
        <v>0</v>
      </c>
      <c r="G190" s="332">
        <f t="shared" si="47"/>
        <v>0</v>
      </c>
      <c r="H190" s="322">
        <f t="shared" si="48"/>
        <v>0</v>
      </c>
    </row>
    <row r="191" spans="1:8" x14ac:dyDescent="0.2">
      <c r="A191" s="871"/>
      <c r="B191" s="197">
        <v>53208020000000</v>
      </c>
      <c r="C191" s="318" t="s">
        <v>172</v>
      </c>
      <c r="D191" s="332">
        <f t="shared" si="49"/>
        <v>0</v>
      </c>
      <c r="E191" s="332">
        <v>0</v>
      </c>
      <c r="F191" s="333">
        <v>0</v>
      </c>
      <c r="G191" s="332">
        <f t="shared" si="47"/>
        <v>0</v>
      </c>
      <c r="H191" s="322">
        <f t="shared" si="48"/>
        <v>0</v>
      </c>
    </row>
    <row r="192" spans="1:8" x14ac:dyDescent="0.2">
      <c r="A192" s="871"/>
      <c r="B192" s="197">
        <v>53208990000000</v>
      </c>
      <c r="C192" s="318" t="s">
        <v>190</v>
      </c>
      <c r="D192" s="332">
        <f t="shared" si="49"/>
        <v>692193.6</v>
      </c>
      <c r="E192" s="332">
        <v>0</v>
      </c>
      <c r="F192" s="333">
        <v>0</v>
      </c>
      <c r="G192" s="332">
        <f t="shared" si="47"/>
        <v>0</v>
      </c>
      <c r="H192" s="322">
        <f t="shared" si="48"/>
        <v>692193.6</v>
      </c>
    </row>
    <row r="193" spans="1:10" x14ac:dyDescent="0.2">
      <c r="A193" s="871"/>
      <c r="B193" s="198">
        <v>53210020300000</v>
      </c>
      <c r="C193" s="318" t="s">
        <v>192</v>
      </c>
      <c r="D193" s="479">
        <v>0</v>
      </c>
      <c r="E193" s="615">
        <v>6326</v>
      </c>
      <c r="F193" s="336">
        <f>+'B) Reajuste Tarifas y Ocupación'!I36</f>
        <v>45</v>
      </c>
      <c r="G193" s="320">
        <f t="shared" si="47"/>
        <v>284670</v>
      </c>
      <c r="H193" s="322">
        <f>D193+G193</f>
        <v>284670</v>
      </c>
    </row>
    <row r="194" spans="1:10" x14ac:dyDescent="0.2">
      <c r="A194" s="871"/>
      <c r="B194" s="197">
        <v>53208990000000</v>
      </c>
      <c r="C194" s="318" t="s">
        <v>193</v>
      </c>
      <c r="D194" s="320">
        <f>+N119</f>
        <v>0</v>
      </c>
      <c r="E194" s="320">
        <v>0</v>
      </c>
      <c r="F194" s="336">
        <v>0</v>
      </c>
      <c r="G194" s="320">
        <f t="shared" si="47"/>
        <v>0</v>
      </c>
      <c r="H194" s="322">
        <f>D194+G194</f>
        <v>0</v>
      </c>
    </row>
    <row r="195" spans="1:10" x14ac:dyDescent="0.2">
      <c r="A195" s="871"/>
      <c r="B195" s="197">
        <v>53209990000000</v>
      </c>
      <c r="C195" s="318" t="s">
        <v>191</v>
      </c>
      <c r="D195" s="320">
        <f t="shared" ref="D195:D196" si="50">+N120</f>
        <v>0</v>
      </c>
      <c r="E195" s="320">
        <v>0</v>
      </c>
      <c r="F195" s="336">
        <v>0</v>
      </c>
      <c r="G195" s="320">
        <f t="shared" si="47"/>
        <v>0</v>
      </c>
      <c r="H195" s="322">
        <f t="shared" si="48"/>
        <v>0</v>
      </c>
    </row>
    <row r="196" spans="1:10" x14ac:dyDescent="0.2">
      <c r="A196" s="871"/>
      <c r="B196" s="197">
        <v>53210020100000</v>
      </c>
      <c r="C196" s="318" t="s">
        <v>64</v>
      </c>
      <c r="D196" s="320">
        <f t="shared" si="50"/>
        <v>1214399.3999999999</v>
      </c>
      <c r="E196" s="320">
        <v>0</v>
      </c>
      <c r="F196" s="336">
        <v>0</v>
      </c>
      <c r="G196" s="320">
        <f t="shared" si="47"/>
        <v>0</v>
      </c>
      <c r="H196" s="322">
        <f t="shared" si="48"/>
        <v>1214399.3999999999</v>
      </c>
    </row>
    <row r="197" spans="1:10" x14ac:dyDescent="0.2">
      <c r="A197" s="871"/>
      <c r="B197" s="196"/>
      <c r="C197" s="314" t="s">
        <v>65</v>
      </c>
      <c r="D197" s="315">
        <f>SUM(D198:D204)</f>
        <v>3501726.2100000004</v>
      </c>
      <c r="E197" s="316"/>
      <c r="F197" s="316"/>
      <c r="G197" s="315">
        <f>SUM(G198:G204)</f>
        <v>0</v>
      </c>
      <c r="H197" s="254">
        <f>SUM(H198:H204)</f>
        <v>3501726.2100000004</v>
      </c>
    </row>
    <row r="198" spans="1:10" x14ac:dyDescent="0.2">
      <c r="A198" s="871"/>
      <c r="B198" s="197">
        <v>53206030000000</v>
      </c>
      <c r="C198" s="318" t="s">
        <v>99</v>
      </c>
      <c r="D198" s="332">
        <f>+N123</f>
        <v>0</v>
      </c>
      <c r="E198" s="332">
        <v>0</v>
      </c>
      <c r="F198" s="333">
        <v>0</v>
      </c>
      <c r="G198" s="320">
        <f t="shared" ref="G198:G204" si="51">E198*F198</f>
        <v>0</v>
      </c>
      <c r="H198" s="322">
        <f t="shared" ref="H198:H204" si="52">D198+G198</f>
        <v>0</v>
      </c>
    </row>
    <row r="199" spans="1:10" x14ac:dyDescent="0.2">
      <c r="A199" s="871"/>
      <c r="B199" s="197">
        <v>53206040000000</v>
      </c>
      <c r="C199" s="318" t="s">
        <v>100</v>
      </c>
      <c r="D199" s="332">
        <f t="shared" ref="D199:D204" si="53">+N124</f>
        <v>0</v>
      </c>
      <c r="E199" s="332">
        <v>0</v>
      </c>
      <c r="F199" s="333">
        <v>0</v>
      </c>
      <c r="G199" s="320">
        <f t="shared" si="51"/>
        <v>0</v>
      </c>
      <c r="H199" s="322">
        <f t="shared" si="52"/>
        <v>0</v>
      </c>
    </row>
    <row r="200" spans="1:10" x14ac:dyDescent="0.2">
      <c r="A200" s="871"/>
      <c r="B200" s="197">
        <v>53206060000000</v>
      </c>
      <c r="C200" s="318" t="s">
        <v>194</v>
      </c>
      <c r="D200" s="332">
        <f t="shared" si="53"/>
        <v>0</v>
      </c>
      <c r="E200" s="332">
        <v>0</v>
      </c>
      <c r="F200" s="333">
        <v>0</v>
      </c>
      <c r="G200" s="320">
        <f t="shared" si="51"/>
        <v>0</v>
      </c>
      <c r="H200" s="322">
        <f t="shared" si="52"/>
        <v>0</v>
      </c>
    </row>
    <row r="201" spans="1:10" x14ac:dyDescent="0.2">
      <c r="A201" s="871"/>
      <c r="B201" s="197">
        <v>53206070000000</v>
      </c>
      <c r="C201" s="318" t="s">
        <v>102</v>
      </c>
      <c r="D201" s="332">
        <f t="shared" si="53"/>
        <v>0</v>
      </c>
      <c r="E201" s="332">
        <v>0</v>
      </c>
      <c r="F201" s="333">
        <v>0</v>
      </c>
      <c r="G201" s="320">
        <f t="shared" si="51"/>
        <v>0</v>
      </c>
      <c r="H201" s="322">
        <f t="shared" si="52"/>
        <v>0</v>
      </c>
    </row>
    <row r="202" spans="1:10" x14ac:dyDescent="0.2">
      <c r="A202" s="871"/>
      <c r="B202" s="197">
        <v>53206990000000</v>
      </c>
      <c r="C202" s="318" t="s">
        <v>195</v>
      </c>
      <c r="D202" s="332">
        <f t="shared" si="53"/>
        <v>0</v>
      </c>
      <c r="E202" s="332">
        <v>0</v>
      </c>
      <c r="F202" s="333">
        <v>0</v>
      </c>
      <c r="G202" s="320">
        <f t="shared" si="51"/>
        <v>0</v>
      </c>
      <c r="H202" s="322">
        <f t="shared" si="52"/>
        <v>0</v>
      </c>
    </row>
    <row r="203" spans="1:10" x14ac:dyDescent="0.2">
      <c r="A203" s="871"/>
      <c r="B203" s="197">
        <v>53208030000000</v>
      </c>
      <c r="C203" s="318" t="s">
        <v>104</v>
      </c>
      <c r="D203" s="332">
        <f t="shared" si="53"/>
        <v>360000</v>
      </c>
      <c r="E203" s="332">
        <v>0</v>
      </c>
      <c r="F203" s="333">
        <v>0</v>
      </c>
      <c r="G203" s="320">
        <f t="shared" si="51"/>
        <v>0</v>
      </c>
      <c r="H203" s="322">
        <f t="shared" si="52"/>
        <v>360000</v>
      </c>
    </row>
    <row r="204" spans="1:10" x14ac:dyDescent="0.2">
      <c r="A204" s="871"/>
      <c r="B204" s="197">
        <v>53206990000000</v>
      </c>
      <c r="C204" s="318" t="s">
        <v>224</v>
      </c>
      <c r="D204" s="332">
        <f t="shared" si="53"/>
        <v>3141726.2100000004</v>
      </c>
      <c r="E204" s="332">
        <v>0</v>
      </c>
      <c r="F204" s="333">
        <v>0</v>
      </c>
      <c r="G204" s="320">
        <f t="shared" si="51"/>
        <v>0</v>
      </c>
      <c r="H204" s="322">
        <f t="shared" si="52"/>
        <v>3141726.2100000004</v>
      </c>
    </row>
    <row r="205" spans="1:10" x14ac:dyDescent="0.2">
      <c r="A205" s="871"/>
      <c r="B205" s="196"/>
      <c r="C205" s="314" t="s">
        <v>66</v>
      </c>
      <c r="D205" s="315">
        <f>SUM(D206:D206)</f>
        <v>0</v>
      </c>
      <c r="E205" s="316"/>
      <c r="F205" s="316"/>
      <c r="G205" s="315">
        <f>SUM(G206:G206)</f>
        <v>0</v>
      </c>
      <c r="H205" s="254">
        <f>SUM(H206:H206)</f>
        <v>0</v>
      </c>
    </row>
    <row r="206" spans="1:10" x14ac:dyDescent="0.2">
      <c r="A206" s="871"/>
      <c r="B206" s="201"/>
      <c r="C206" s="337" t="s">
        <v>225</v>
      </c>
      <c r="D206" s="323">
        <v>0</v>
      </c>
      <c r="E206" s="323">
        <v>0</v>
      </c>
      <c r="F206" s="331">
        <v>0</v>
      </c>
      <c r="G206" s="320">
        <f t="shared" ref="G206" si="54">E206*F206</f>
        <v>0</v>
      </c>
      <c r="H206" s="338">
        <f t="shared" ref="H206" si="55">D206+G206</f>
        <v>0</v>
      </c>
      <c r="I206" s="343" t="s">
        <v>228</v>
      </c>
      <c r="J206" s="394">
        <f>+H204+H203+H202+H201+H200+H199+H198+H196+H195+H194+H193+H192+H191+H190+H189+H187+H184+H183+H182+H181+H180+H178+H176+H175+H169+H168+H167+H165+H164+H163+H162+H161+H160+H159+H158+H157+H156+H155</f>
        <v>21654948.228339285</v>
      </c>
    </row>
    <row r="207" spans="1:10" ht="13.5" thickBot="1" x14ac:dyDescent="0.25">
      <c r="A207" s="872"/>
      <c r="B207" s="339"/>
      <c r="C207" s="340" t="s">
        <v>105</v>
      </c>
      <c r="D207" s="268">
        <f>SUM(D144,D171)</f>
        <v>133288527.12833929</v>
      </c>
      <c r="E207" s="269"/>
      <c r="F207" s="269"/>
      <c r="G207" s="268">
        <f>SUM(G144,G171)</f>
        <v>12845650</v>
      </c>
      <c r="H207" s="341">
        <f>SUM(H144,H171)</f>
        <v>146134177.12833929</v>
      </c>
      <c r="I207" s="344" t="s">
        <v>229</v>
      </c>
      <c r="J207" s="393">
        <f>+H207-J206</f>
        <v>124479228.90000001</v>
      </c>
    </row>
    <row r="208" spans="1:10" x14ac:dyDescent="0.2">
      <c r="A208" s="880" t="s">
        <v>81</v>
      </c>
      <c r="B208" s="882" t="s">
        <v>75</v>
      </c>
      <c r="C208" s="873" t="s">
        <v>76</v>
      </c>
      <c r="D208" s="875" t="s">
        <v>77</v>
      </c>
      <c r="E208" s="877" t="s">
        <v>78</v>
      </c>
      <c r="F208" s="877"/>
      <c r="G208" s="877"/>
      <c r="H208" s="878" t="s">
        <v>266</v>
      </c>
    </row>
    <row r="209" spans="1:8" ht="26.25" thickBot="1" x14ac:dyDescent="0.25">
      <c r="A209" s="881"/>
      <c r="B209" s="883"/>
      <c r="C209" s="874"/>
      <c r="D209" s="876"/>
      <c r="E209" s="311" t="s">
        <v>67</v>
      </c>
      <c r="F209" s="312" t="s">
        <v>68</v>
      </c>
      <c r="G209" s="313" t="s">
        <v>6</v>
      </c>
      <c r="H209" s="879"/>
    </row>
    <row r="210" spans="1:8" x14ac:dyDescent="0.2">
      <c r="A210" s="870" t="s">
        <v>216</v>
      </c>
      <c r="B210" s="247"/>
      <c r="C210" s="248" t="s">
        <v>11</v>
      </c>
      <c r="D210" s="249">
        <f>+D211+D216</f>
        <v>54570655.606113091</v>
      </c>
      <c r="E210" s="250"/>
      <c r="F210" s="250"/>
      <c r="G210" s="251">
        <f>SUM(G211,G216)</f>
        <v>3546144</v>
      </c>
      <c r="H210" s="252">
        <f>SUM(H211,H216)</f>
        <v>58116799.606113091</v>
      </c>
    </row>
    <row r="211" spans="1:8" x14ac:dyDescent="0.2">
      <c r="A211" s="871"/>
      <c r="B211" s="196"/>
      <c r="C211" s="314" t="s">
        <v>12</v>
      </c>
      <c r="D211" s="315">
        <f>SUM(D212:D215)</f>
        <v>51133613.799999997</v>
      </c>
      <c r="E211" s="316"/>
      <c r="F211" s="316"/>
      <c r="G211" s="317">
        <f>SUM(G212:G215)</f>
        <v>0</v>
      </c>
      <c r="H211" s="254">
        <f>SUM(H212:H215)</f>
        <v>51133613.799999997</v>
      </c>
    </row>
    <row r="212" spans="1:8" x14ac:dyDescent="0.2">
      <c r="A212" s="871"/>
      <c r="B212" s="197">
        <v>53103040100000</v>
      </c>
      <c r="C212" s="318" t="s">
        <v>95</v>
      </c>
      <c r="D212" s="319">
        <f>+'F) Remuneraciones'!L44</f>
        <v>51133613.799999997</v>
      </c>
      <c r="E212" s="320">
        <v>0</v>
      </c>
      <c r="F212" s="321">
        <v>0</v>
      </c>
      <c r="G212" s="320">
        <f>E212*F212</f>
        <v>0</v>
      </c>
      <c r="H212" s="322">
        <f>D212+G212</f>
        <v>51133613.799999997</v>
      </c>
    </row>
    <row r="213" spans="1:8" x14ac:dyDescent="0.2">
      <c r="A213" s="871"/>
      <c r="B213" s="197">
        <v>53103050000000</v>
      </c>
      <c r="C213" s="318" t="s">
        <v>173</v>
      </c>
      <c r="D213" s="323">
        <v>0</v>
      </c>
      <c r="E213" s="324">
        <v>0</v>
      </c>
      <c r="F213" s="325">
        <v>0</v>
      </c>
      <c r="G213" s="320">
        <f>E213*F213</f>
        <v>0</v>
      </c>
      <c r="H213" s="322">
        <f>D213+G213</f>
        <v>0</v>
      </c>
    </row>
    <row r="214" spans="1:8" x14ac:dyDescent="0.2">
      <c r="A214" s="871"/>
      <c r="B214" s="198">
        <v>53103040400000</v>
      </c>
      <c r="C214" s="199" t="s">
        <v>174</v>
      </c>
      <c r="D214" s="323">
        <v>0</v>
      </c>
      <c r="E214" s="324">
        <v>0</v>
      </c>
      <c r="F214" s="325">
        <v>0</v>
      </c>
      <c r="G214" s="320">
        <f>E214*F214</f>
        <v>0</v>
      </c>
      <c r="H214" s="322">
        <f>D214+G214</f>
        <v>0</v>
      </c>
    </row>
    <row r="215" spans="1:8" x14ac:dyDescent="0.2">
      <c r="A215" s="871"/>
      <c r="B215" s="197">
        <v>53103080010000</v>
      </c>
      <c r="C215" s="318" t="s">
        <v>175</v>
      </c>
      <c r="D215" s="323">
        <v>0</v>
      </c>
      <c r="E215" s="324">
        <v>0</v>
      </c>
      <c r="F215" s="325">
        <v>0</v>
      </c>
      <c r="G215" s="320">
        <f>E215*F215</f>
        <v>0</v>
      </c>
      <c r="H215" s="322">
        <f>D215+G215</f>
        <v>0</v>
      </c>
    </row>
    <row r="216" spans="1:8" x14ac:dyDescent="0.2">
      <c r="A216" s="871"/>
      <c r="B216" s="196"/>
      <c r="C216" s="314" t="s">
        <v>16</v>
      </c>
      <c r="D216" s="315">
        <f>SUM(D217:D236)</f>
        <v>3437041.806113095</v>
      </c>
      <c r="E216" s="316"/>
      <c r="F216" s="316"/>
      <c r="G216" s="315">
        <f>SUM(G217:G236)</f>
        <v>3546144</v>
      </c>
      <c r="H216" s="254">
        <f>SUM(H217:H236)</f>
        <v>6983185.806113095</v>
      </c>
    </row>
    <row r="217" spans="1:8" x14ac:dyDescent="0.2">
      <c r="A217" s="871"/>
      <c r="B217" s="197">
        <v>53201010100000</v>
      </c>
      <c r="C217" s="326" t="s">
        <v>176</v>
      </c>
      <c r="D217" s="323">
        <v>0</v>
      </c>
      <c r="E217" s="324">
        <v>2100</v>
      </c>
      <c r="F217" s="325">
        <v>660</v>
      </c>
      <c r="G217" s="320">
        <f t="shared" ref="G217:G236" si="56">E217*F217</f>
        <v>1386000</v>
      </c>
      <c r="H217" s="322">
        <f t="shared" ref="H217:H222" si="57">D217+G217</f>
        <v>1386000</v>
      </c>
    </row>
    <row r="218" spans="1:8" x14ac:dyDescent="0.2">
      <c r="A218" s="871"/>
      <c r="B218" s="197">
        <v>53201010100000</v>
      </c>
      <c r="C218" s="326" t="s">
        <v>177</v>
      </c>
      <c r="D218" s="323">
        <v>0</v>
      </c>
      <c r="E218" s="324">
        <v>214.3</v>
      </c>
      <c r="F218" s="325">
        <v>10080</v>
      </c>
      <c r="G218" s="320">
        <f t="shared" si="56"/>
        <v>2160144</v>
      </c>
      <c r="H218" s="322">
        <f t="shared" si="57"/>
        <v>2160144</v>
      </c>
    </row>
    <row r="219" spans="1:8" x14ac:dyDescent="0.2">
      <c r="A219" s="871"/>
      <c r="B219" s="197">
        <v>53201010100000</v>
      </c>
      <c r="C219" s="326" t="s">
        <v>178</v>
      </c>
      <c r="D219" s="323">
        <v>0</v>
      </c>
      <c r="E219" s="324">
        <v>0</v>
      </c>
      <c r="F219" s="325">
        <v>0</v>
      </c>
      <c r="G219" s="320">
        <f t="shared" si="56"/>
        <v>0</v>
      </c>
      <c r="H219" s="322">
        <f t="shared" si="57"/>
        <v>0</v>
      </c>
    </row>
    <row r="220" spans="1:8" x14ac:dyDescent="0.2">
      <c r="A220" s="871"/>
      <c r="B220" s="197">
        <v>53202010100000</v>
      </c>
      <c r="C220" s="318" t="s">
        <v>179</v>
      </c>
      <c r="D220" s="320">
        <f>+O82</f>
        <v>0</v>
      </c>
      <c r="E220" s="320">
        <v>0</v>
      </c>
      <c r="F220" s="336">
        <v>0</v>
      </c>
      <c r="G220" s="320">
        <f t="shared" si="56"/>
        <v>0</v>
      </c>
      <c r="H220" s="322">
        <f t="shared" si="57"/>
        <v>0</v>
      </c>
    </row>
    <row r="221" spans="1:8" x14ac:dyDescent="0.2">
      <c r="A221" s="871"/>
      <c r="B221" s="197">
        <v>53203010100000</v>
      </c>
      <c r="C221" s="318" t="s">
        <v>19</v>
      </c>
      <c r="D221" s="320">
        <f t="shared" ref="D221:D236" si="58">+O83</f>
        <v>315535.68000000005</v>
      </c>
      <c r="E221" s="320">
        <v>0</v>
      </c>
      <c r="F221" s="336">
        <v>0</v>
      </c>
      <c r="G221" s="320">
        <f t="shared" si="56"/>
        <v>0</v>
      </c>
      <c r="H221" s="322">
        <f t="shared" si="57"/>
        <v>315535.68000000005</v>
      </c>
    </row>
    <row r="222" spans="1:8" x14ac:dyDescent="0.2">
      <c r="A222" s="871"/>
      <c r="B222" s="197">
        <v>53203030000000</v>
      </c>
      <c r="C222" s="318" t="s">
        <v>180</v>
      </c>
      <c r="D222" s="320">
        <f t="shared" si="58"/>
        <v>0</v>
      </c>
      <c r="E222" s="320">
        <v>0</v>
      </c>
      <c r="F222" s="336">
        <v>0</v>
      </c>
      <c r="G222" s="320">
        <f t="shared" si="56"/>
        <v>0</v>
      </c>
      <c r="H222" s="322">
        <f t="shared" si="57"/>
        <v>0</v>
      </c>
    </row>
    <row r="223" spans="1:8" x14ac:dyDescent="0.2">
      <c r="A223" s="871"/>
      <c r="B223" s="197">
        <v>53204030000000</v>
      </c>
      <c r="C223" s="318" t="s">
        <v>222</v>
      </c>
      <c r="D223" s="320">
        <f t="shared" si="58"/>
        <v>80000</v>
      </c>
      <c r="E223" s="320">
        <v>0</v>
      </c>
      <c r="F223" s="336">
        <v>0</v>
      </c>
      <c r="G223" s="320">
        <f t="shared" si="56"/>
        <v>0</v>
      </c>
      <c r="H223" s="322">
        <f>D223+G223</f>
        <v>80000</v>
      </c>
    </row>
    <row r="224" spans="1:8" x14ac:dyDescent="0.2">
      <c r="A224" s="871"/>
      <c r="B224" s="197">
        <v>53204100100001</v>
      </c>
      <c r="C224" s="318" t="s">
        <v>22</v>
      </c>
      <c r="D224" s="320">
        <f t="shared" si="58"/>
        <v>394128</v>
      </c>
      <c r="E224" s="320">
        <v>0</v>
      </c>
      <c r="F224" s="336">
        <v>0</v>
      </c>
      <c r="G224" s="320">
        <f t="shared" si="56"/>
        <v>0</v>
      </c>
      <c r="H224" s="322">
        <f t="shared" ref="H224:H236" si="59">D224+G224</f>
        <v>394128</v>
      </c>
    </row>
    <row r="225" spans="1:8" x14ac:dyDescent="0.2">
      <c r="A225" s="871"/>
      <c r="B225" s="197">
        <v>53204130100000</v>
      </c>
      <c r="C225" s="318" t="s">
        <v>182</v>
      </c>
      <c r="D225" s="320">
        <f t="shared" si="58"/>
        <v>0</v>
      </c>
      <c r="E225" s="320">
        <v>0</v>
      </c>
      <c r="F225" s="336">
        <v>0</v>
      </c>
      <c r="G225" s="320">
        <f t="shared" si="56"/>
        <v>0</v>
      </c>
      <c r="H225" s="322">
        <f t="shared" si="59"/>
        <v>0</v>
      </c>
    </row>
    <row r="226" spans="1:8" x14ac:dyDescent="0.2">
      <c r="A226" s="871"/>
      <c r="B226" s="197">
        <v>53205010100000</v>
      </c>
      <c r="C226" s="318" t="s">
        <v>24</v>
      </c>
      <c r="D226" s="320">
        <f t="shared" si="58"/>
        <v>960349</v>
      </c>
      <c r="E226" s="320">
        <v>0</v>
      </c>
      <c r="F226" s="336">
        <v>0</v>
      </c>
      <c r="G226" s="320">
        <f t="shared" si="56"/>
        <v>0</v>
      </c>
      <c r="H226" s="322">
        <f t="shared" si="59"/>
        <v>960349</v>
      </c>
    </row>
    <row r="227" spans="1:8" x14ac:dyDescent="0.2">
      <c r="A227" s="871"/>
      <c r="B227" s="197">
        <v>53205020100000</v>
      </c>
      <c r="C227" s="318" t="s">
        <v>25</v>
      </c>
      <c r="D227" s="320">
        <f t="shared" si="58"/>
        <v>154465.20000000001</v>
      </c>
      <c r="E227" s="320">
        <v>0</v>
      </c>
      <c r="F227" s="336">
        <v>0</v>
      </c>
      <c r="G227" s="320">
        <f t="shared" si="56"/>
        <v>0</v>
      </c>
      <c r="H227" s="322">
        <f t="shared" si="59"/>
        <v>154465.20000000001</v>
      </c>
    </row>
    <row r="228" spans="1:8" x14ac:dyDescent="0.2">
      <c r="A228" s="871"/>
      <c r="B228" s="197">
        <v>53205030100000</v>
      </c>
      <c r="C228" s="318" t="s">
        <v>26</v>
      </c>
      <c r="D228" s="320">
        <f t="shared" si="58"/>
        <v>1097247.2975416668</v>
      </c>
      <c r="E228" s="320">
        <v>0</v>
      </c>
      <c r="F228" s="336">
        <v>0</v>
      </c>
      <c r="G228" s="320">
        <f t="shared" si="56"/>
        <v>0</v>
      </c>
      <c r="H228" s="322">
        <f t="shared" si="59"/>
        <v>1097247.2975416668</v>
      </c>
    </row>
    <row r="229" spans="1:8" x14ac:dyDescent="0.2">
      <c r="A229" s="871"/>
      <c r="B229" s="197">
        <v>53205050100000</v>
      </c>
      <c r="C229" s="318" t="s">
        <v>27</v>
      </c>
      <c r="D229" s="320">
        <f t="shared" si="58"/>
        <v>0</v>
      </c>
      <c r="E229" s="320">
        <v>0</v>
      </c>
      <c r="F229" s="336">
        <v>0</v>
      </c>
      <c r="G229" s="320">
        <f t="shared" si="56"/>
        <v>0</v>
      </c>
      <c r="H229" s="322">
        <f t="shared" si="59"/>
        <v>0</v>
      </c>
    </row>
    <row r="230" spans="1:8" x14ac:dyDescent="0.2">
      <c r="A230" s="871"/>
      <c r="B230" s="197">
        <v>53205070100000</v>
      </c>
      <c r="C230" s="318" t="s">
        <v>29</v>
      </c>
      <c r="D230" s="320">
        <f t="shared" si="58"/>
        <v>108000</v>
      </c>
      <c r="E230" s="320">
        <v>0</v>
      </c>
      <c r="F230" s="336">
        <v>0</v>
      </c>
      <c r="G230" s="320">
        <f t="shared" si="56"/>
        <v>0</v>
      </c>
      <c r="H230" s="322">
        <f t="shared" si="59"/>
        <v>108000</v>
      </c>
    </row>
    <row r="231" spans="1:8" x14ac:dyDescent="0.2">
      <c r="A231" s="871"/>
      <c r="B231" s="197">
        <v>53208010100000</v>
      </c>
      <c r="C231" s="318" t="s">
        <v>30</v>
      </c>
      <c r="D231" s="320">
        <f t="shared" si="58"/>
        <v>203520</v>
      </c>
      <c r="E231" s="320">
        <v>0</v>
      </c>
      <c r="F231" s="336">
        <v>0</v>
      </c>
      <c r="G231" s="320">
        <f t="shared" si="56"/>
        <v>0</v>
      </c>
      <c r="H231" s="322">
        <f t="shared" si="59"/>
        <v>203520</v>
      </c>
    </row>
    <row r="232" spans="1:8" x14ac:dyDescent="0.2">
      <c r="A232" s="871"/>
      <c r="B232" s="197">
        <v>53208070100001</v>
      </c>
      <c r="C232" s="318" t="s">
        <v>31</v>
      </c>
      <c r="D232" s="320">
        <f t="shared" si="58"/>
        <v>0</v>
      </c>
      <c r="E232" s="320">
        <v>0</v>
      </c>
      <c r="F232" s="336">
        <v>0</v>
      </c>
      <c r="G232" s="320">
        <f t="shared" si="56"/>
        <v>0</v>
      </c>
      <c r="H232" s="322">
        <f t="shared" si="59"/>
        <v>0</v>
      </c>
    </row>
    <row r="233" spans="1:8" x14ac:dyDescent="0.2">
      <c r="A233" s="871"/>
      <c r="B233" s="197">
        <v>53208100100001</v>
      </c>
      <c r="C233" s="318" t="s">
        <v>183</v>
      </c>
      <c r="D233" s="320">
        <f t="shared" si="58"/>
        <v>0</v>
      </c>
      <c r="E233" s="320">
        <v>0</v>
      </c>
      <c r="F233" s="336">
        <v>0</v>
      </c>
      <c r="G233" s="320">
        <f t="shared" si="56"/>
        <v>0</v>
      </c>
      <c r="H233" s="322">
        <f t="shared" si="59"/>
        <v>0</v>
      </c>
    </row>
    <row r="234" spans="1:8" x14ac:dyDescent="0.2">
      <c r="A234" s="871"/>
      <c r="B234" s="197">
        <v>53211030000000</v>
      </c>
      <c r="C234" s="318" t="s">
        <v>32</v>
      </c>
      <c r="D234" s="320">
        <f t="shared" si="58"/>
        <v>0</v>
      </c>
      <c r="E234" s="320">
        <v>0</v>
      </c>
      <c r="F234" s="336">
        <v>0</v>
      </c>
      <c r="G234" s="320">
        <f t="shared" si="56"/>
        <v>0</v>
      </c>
      <c r="H234" s="322">
        <f t="shared" si="59"/>
        <v>0</v>
      </c>
    </row>
    <row r="235" spans="1:8" x14ac:dyDescent="0.2">
      <c r="A235" s="871"/>
      <c r="B235" s="197">
        <v>53212020100000</v>
      </c>
      <c r="C235" s="318" t="s">
        <v>184</v>
      </c>
      <c r="D235" s="320">
        <f t="shared" si="58"/>
        <v>123796.62857142858</v>
      </c>
      <c r="E235" s="320">
        <v>0</v>
      </c>
      <c r="F235" s="336">
        <v>0</v>
      </c>
      <c r="G235" s="320">
        <f t="shared" si="56"/>
        <v>0</v>
      </c>
      <c r="H235" s="322">
        <f t="shared" si="59"/>
        <v>123796.62857142858</v>
      </c>
    </row>
    <row r="236" spans="1:8" x14ac:dyDescent="0.2">
      <c r="A236" s="871"/>
      <c r="B236" s="197">
        <v>53214020000000</v>
      </c>
      <c r="C236" s="318" t="s">
        <v>185</v>
      </c>
      <c r="D236" s="320">
        <f t="shared" si="58"/>
        <v>0</v>
      </c>
      <c r="E236" s="320">
        <v>0</v>
      </c>
      <c r="F236" s="336">
        <v>0</v>
      </c>
      <c r="G236" s="320">
        <f t="shared" si="56"/>
        <v>0</v>
      </c>
      <c r="H236" s="322">
        <f t="shared" si="59"/>
        <v>0</v>
      </c>
    </row>
    <row r="237" spans="1:8" x14ac:dyDescent="0.2">
      <c r="A237" s="871"/>
      <c r="B237" s="327"/>
      <c r="C237" s="328" t="s">
        <v>34</v>
      </c>
      <c r="D237" s="342">
        <f>SUM(D238,D243,D245,D254,D263,D271)</f>
        <v>5826384.2700000005</v>
      </c>
      <c r="E237" s="329"/>
      <c r="F237" s="329"/>
      <c r="G237" s="342">
        <f>SUM(G238,G243,G245,G254,G263,G271)</f>
        <v>350000</v>
      </c>
      <c r="H237" s="259">
        <f>SUM(H238,H243,H245,H254,H263,H271)</f>
        <v>6176384.2700000005</v>
      </c>
    </row>
    <row r="238" spans="1:8" x14ac:dyDescent="0.2">
      <c r="A238" s="871"/>
      <c r="B238" s="196"/>
      <c r="C238" s="314" t="s">
        <v>35</v>
      </c>
      <c r="D238" s="315">
        <f>SUM(D239:D242)</f>
        <v>70000</v>
      </c>
      <c r="E238" s="316"/>
      <c r="F238" s="316"/>
      <c r="G238" s="315">
        <f>SUM(G239:G242)</f>
        <v>350000</v>
      </c>
      <c r="H238" s="330">
        <f>SUM(H239:H242)</f>
        <v>420000</v>
      </c>
    </row>
    <row r="239" spans="1:8" x14ac:dyDescent="0.2">
      <c r="A239" s="871"/>
      <c r="B239" s="197">
        <v>53202020100000</v>
      </c>
      <c r="C239" s="318" t="s">
        <v>186</v>
      </c>
      <c r="D239" s="323">
        <v>0</v>
      </c>
      <c r="E239" s="324">
        <v>50000</v>
      </c>
      <c r="F239" s="331">
        <v>7</v>
      </c>
      <c r="G239" s="320">
        <f>E239*F239</f>
        <v>350000</v>
      </c>
      <c r="H239" s="322">
        <f t="shared" ref="H239:H242" si="60">D239+G239</f>
        <v>350000</v>
      </c>
    </row>
    <row r="240" spans="1:8" x14ac:dyDescent="0.2">
      <c r="A240" s="871"/>
      <c r="B240" s="197">
        <v>53202030000000</v>
      </c>
      <c r="C240" s="318" t="s">
        <v>187</v>
      </c>
      <c r="D240" s="323">
        <v>0</v>
      </c>
      <c r="E240" s="324"/>
      <c r="F240" s="331">
        <v>0</v>
      </c>
      <c r="G240" s="320">
        <f t="shared" ref="G240:G242" si="61">E240*F240</f>
        <v>0</v>
      </c>
      <c r="H240" s="322">
        <f t="shared" si="60"/>
        <v>0</v>
      </c>
    </row>
    <row r="241" spans="1:8" x14ac:dyDescent="0.2">
      <c r="A241" s="871"/>
      <c r="B241" s="197">
        <v>53211020000000</v>
      </c>
      <c r="C241" s="318" t="s">
        <v>41</v>
      </c>
      <c r="D241" s="332">
        <f>+O101</f>
        <v>0</v>
      </c>
      <c r="E241" s="332">
        <v>0</v>
      </c>
      <c r="F241" s="333">
        <v>0</v>
      </c>
      <c r="G241" s="320">
        <f t="shared" si="61"/>
        <v>0</v>
      </c>
      <c r="H241" s="322">
        <f t="shared" si="60"/>
        <v>0</v>
      </c>
    </row>
    <row r="242" spans="1:8" x14ac:dyDescent="0.2">
      <c r="A242" s="871"/>
      <c r="B242" s="197">
        <v>53101040600000</v>
      </c>
      <c r="C242" s="318" t="s">
        <v>188</v>
      </c>
      <c r="D242" s="332">
        <f>+O102</f>
        <v>70000</v>
      </c>
      <c r="E242" s="332">
        <v>0</v>
      </c>
      <c r="F242" s="333">
        <v>0</v>
      </c>
      <c r="G242" s="320">
        <f t="shared" si="61"/>
        <v>0</v>
      </c>
      <c r="H242" s="322">
        <f t="shared" si="60"/>
        <v>70000</v>
      </c>
    </row>
    <row r="243" spans="1:8" x14ac:dyDescent="0.2">
      <c r="A243" s="871"/>
      <c r="B243" s="196"/>
      <c r="C243" s="314" t="s">
        <v>42</v>
      </c>
      <c r="D243" s="315">
        <f>SUM(D244)</f>
        <v>0</v>
      </c>
      <c r="E243" s="316"/>
      <c r="F243" s="316"/>
      <c r="G243" s="334">
        <f>SUM(G244:G244)</f>
        <v>0</v>
      </c>
      <c r="H243" s="330">
        <f>SUM(H244:H244)</f>
        <v>0</v>
      </c>
    </row>
    <row r="244" spans="1:8" x14ac:dyDescent="0.2">
      <c r="A244" s="871"/>
      <c r="B244" s="200">
        <v>53205990000000</v>
      </c>
      <c r="C244" s="318" t="s">
        <v>44</v>
      </c>
      <c r="D244" s="332">
        <f>+O104</f>
        <v>0</v>
      </c>
      <c r="E244" s="332">
        <v>0</v>
      </c>
      <c r="F244" s="333">
        <v>0</v>
      </c>
      <c r="G244" s="320">
        <f t="shared" ref="G244" si="62">E244*F244</f>
        <v>0</v>
      </c>
      <c r="H244" s="322">
        <f t="shared" ref="H244" si="63">D244+G244</f>
        <v>0</v>
      </c>
    </row>
    <row r="245" spans="1:8" x14ac:dyDescent="0.2">
      <c r="A245" s="871"/>
      <c r="B245" s="196"/>
      <c r="C245" s="314" t="s">
        <v>45</v>
      </c>
      <c r="D245" s="315">
        <f>SUM(D246:D253)</f>
        <v>3953611.2</v>
      </c>
      <c r="E245" s="316"/>
      <c r="F245" s="316"/>
      <c r="G245" s="315">
        <f>SUM(G246:G253)</f>
        <v>0</v>
      </c>
      <c r="H245" s="330">
        <f>SUM(H246:H253)</f>
        <v>3953611.2</v>
      </c>
    </row>
    <row r="246" spans="1:8" x14ac:dyDescent="0.2">
      <c r="A246" s="871"/>
      <c r="B246" s="197">
        <v>53204010000000</v>
      </c>
      <c r="C246" s="318" t="s">
        <v>47</v>
      </c>
      <c r="D246" s="332">
        <f>+O106</f>
        <v>131297.80000000002</v>
      </c>
      <c r="E246" s="332">
        <v>0</v>
      </c>
      <c r="F246" s="333">
        <v>0</v>
      </c>
      <c r="G246" s="332">
        <f t="shared" ref="G246:G253" si="64">E246*F246</f>
        <v>0</v>
      </c>
      <c r="H246" s="322">
        <f t="shared" ref="H246:H253" si="65">D246+G246</f>
        <v>131297.80000000002</v>
      </c>
    </row>
    <row r="247" spans="1:8" x14ac:dyDescent="0.2">
      <c r="A247" s="871"/>
      <c r="B247" s="200">
        <v>53204040200000</v>
      </c>
      <c r="C247" s="318" t="s">
        <v>223</v>
      </c>
      <c r="D247" s="332">
        <f t="shared" ref="D247:D253" si="66">+O107</f>
        <v>120000</v>
      </c>
      <c r="E247" s="332">
        <v>0</v>
      </c>
      <c r="F247" s="333">
        <v>0</v>
      </c>
      <c r="G247" s="332">
        <f t="shared" si="64"/>
        <v>0</v>
      </c>
      <c r="H247" s="322">
        <f t="shared" si="65"/>
        <v>120000</v>
      </c>
    </row>
    <row r="248" spans="1:8" x14ac:dyDescent="0.2">
      <c r="A248" s="871"/>
      <c r="B248" s="197">
        <v>53204060000000</v>
      </c>
      <c r="C248" s="318" t="s">
        <v>49</v>
      </c>
      <c r="D248" s="332">
        <f t="shared" si="66"/>
        <v>0</v>
      </c>
      <c r="E248" s="332">
        <v>0</v>
      </c>
      <c r="F248" s="333">
        <v>0</v>
      </c>
      <c r="G248" s="332">
        <f t="shared" si="64"/>
        <v>0</v>
      </c>
      <c r="H248" s="322">
        <f t="shared" si="65"/>
        <v>0</v>
      </c>
    </row>
    <row r="249" spans="1:8" x14ac:dyDescent="0.2">
      <c r="A249" s="871"/>
      <c r="B249" s="197">
        <v>53204070000000</v>
      </c>
      <c r="C249" s="318" t="s">
        <v>50</v>
      </c>
      <c r="D249" s="332">
        <f t="shared" si="66"/>
        <v>322313.40000000002</v>
      </c>
      <c r="E249" s="332">
        <v>0</v>
      </c>
      <c r="F249" s="333">
        <v>0</v>
      </c>
      <c r="G249" s="332">
        <f t="shared" si="64"/>
        <v>0</v>
      </c>
      <c r="H249" s="322">
        <f t="shared" si="65"/>
        <v>322313.40000000002</v>
      </c>
    </row>
    <row r="250" spans="1:8" x14ac:dyDescent="0.2">
      <c r="A250" s="871"/>
      <c r="B250" s="197">
        <v>53204080000000</v>
      </c>
      <c r="C250" s="318" t="s">
        <v>51</v>
      </c>
      <c r="D250" s="332">
        <f t="shared" si="66"/>
        <v>1000000</v>
      </c>
      <c r="E250" s="332">
        <v>0</v>
      </c>
      <c r="F250" s="333">
        <v>0</v>
      </c>
      <c r="G250" s="332">
        <f t="shared" si="64"/>
        <v>0</v>
      </c>
      <c r="H250" s="322">
        <f t="shared" si="65"/>
        <v>1000000</v>
      </c>
    </row>
    <row r="251" spans="1:8" x14ac:dyDescent="0.2">
      <c r="A251" s="871"/>
      <c r="B251" s="197">
        <v>53214010000000</v>
      </c>
      <c r="C251" s="318" t="s">
        <v>52</v>
      </c>
      <c r="D251" s="332">
        <f t="shared" si="66"/>
        <v>1800000</v>
      </c>
      <c r="E251" s="335">
        <v>0</v>
      </c>
      <c r="F251" s="333">
        <v>0</v>
      </c>
      <c r="G251" s="332">
        <f t="shared" si="64"/>
        <v>0</v>
      </c>
      <c r="H251" s="322">
        <f t="shared" si="65"/>
        <v>1800000</v>
      </c>
    </row>
    <row r="252" spans="1:8" x14ac:dyDescent="0.2">
      <c r="A252" s="871"/>
      <c r="B252" s="197">
        <v>53214040000000</v>
      </c>
      <c r="C252" s="318" t="s">
        <v>189</v>
      </c>
      <c r="D252" s="332">
        <f t="shared" si="66"/>
        <v>340000</v>
      </c>
      <c r="E252" s="335">
        <v>0</v>
      </c>
      <c r="F252" s="333">
        <v>0</v>
      </c>
      <c r="G252" s="332">
        <f t="shared" si="64"/>
        <v>0</v>
      </c>
      <c r="H252" s="322">
        <f t="shared" si="65"/>
        <v>340000</v>
      </c>
    </row>
    <row r="253" spans="1:8" x14ac:dyDescent="0.2">
      <c r="A253" s="871"/>
      <c r="B253" s="198">
        <v>53204020100000</v>
      </c>
      <c r="C253" s="318" t="s">
        <v>181</v>
      </c>
      <c r="D253" s="332">
        <f t="shared" si="66"/>
        <v>240000</v>
      </c>
      <c r="E253" s="332">
        <v>0</v>
      </c>
      <c r="F253" s="333">
        <v>0</v>
      </c>
      <c r="G253" s="332">
        <f t="shared" si="64"/>
        <v>0</v>
      </c>
      <c r="H253" s="322">
        <f t="shared" si="65"/>
        <v>240000</v>
      </c>
    </row>
    <row r="254" spans="1:8" x14ac:dyDescent="0.2">
      <c r="A254" s="871"/>
      <c r="B254" s="196"/>
      <c r="C254" s="314" t="s">
        <v>55</v>
      </c>
      <c r="D254" s="315">
        <f>SUM(D255:D262)</f>
        <v>635531</v>
      </c>
      <c r="E254" s="316"/>
      <c r="F254" s="316"/>
      <c r="G254" s="315">
        <f>SUM(G255:G262)</f>
        <v>0</v>
      </c>
      <c r="H254" s="254">
        <f>SUM(H255:H262)</f>
        <v>635531</v>
      </c>
    </row>
    <row r="255" spans="1:8" x14ac:dyDescent="0.2">
      <c r="A255" s="871"/>
      <c r="B255" s="197">
        <v>53207010000000</v>
      </c>
      <c r="C255" s="318" t="s">
        <v>56</v>
      </c>
      <c r="D255" s="332">
        <f>+O115</f>
        <v>0</v>
      </c>
      <c r="E255" s="332">
        <v>0</v>
      </c>
      <c r="F255" s="333">
        <v>0</v>
      </c>
      <c r="G255" s="332">
        <f t="shared" ref="G255:G262" si="67">E255*F255</f>
        <v>0</v>
      </c>
      <c r="H255" s="322">
        <f t="shared" ref="H255:H258" si="68">D255+G255</f>
        <v>0</v>
      </c>
    </row>
    <row r="256" spans="1:8" x14ac:dyDescent="0.2">
      <c r="A256" s="871"/>
      <c r="B256" s="197">
        <v>53207020000000</v>
      </c>
      <c r="C256" s="318" t="s">
        <v>57</v>
      </c>
      <c r="D256" s="332">
        <f t="shared" ref="D256:D258" si="69">+O116</f>
        <v>0</v>
      </c>
      <c r="E256" s="332">
        <v>0</v>
      </c>
      <c r="F256" s="333">
        <v>0</v>
      </c>
      <c r="G256" s="332">
        <f t="shared" si="67"/>
        <v>0</v>
      </c>
      <c r="H256" s="322">
        <f t="shared" si="68"/>
        <v>0</v>
      </c>
    </row>
    <row r="257" spans="1:10" x14ac:dyDescent="0.2">
      <c r="A257" s="871"/>
      <c r="B257" s="197">
        <v>53208020000000</v>
      </c>
      <c r="C257" s="318" t="s">
        <v>172</v>
      </c>
      <c r="D257" s="332">
        <f t="shared" si="69"/>
        <v>0</v>
      </c>
      <c r="E257" s="332">
        <v>0</v>
      </c>
      <c r="F257" s="333">
        <v>0</v>
      </c>
      <c r="G257" s="332">
        <f t="shared" si="67"/>
        <v>0</v>
      </c>
      <c r="H257" s="322">
        <f t="shared" si="68"/>
        <v>0</v>
      </c>
    </row>
    <row r="258" spans="1:10" x14ac:dyDescent="0.2">
      <c r="A258" s="871"/>
      <c r="B258" s="197">
        <v>53208990000000</v>
      </c>
      <c r="C258" s="318" t="s">
        <v>190</v>
      </c>
      <c r="D258" s="332">
        <f t="shared" si="69"/>
        <v>230731.2</v>
      </c>
      <c r="E258" s="332">
        <v>0</v>
      </c>
      <c r="F258" s="333">
        <v>0</v>
      </c>
      <c r="G258" s="332">
        <f t="shared" si="67"/>
        <v>0</v>
      </c>
      <c r="H258" s="322">
        <f t="shared" si="68"/>
        <v>230731.2</v>
      </c>
    </row>
    <row r="259" spans="1:10" x14ac:dyDescent="0.2">
      <c r="A259" s="871"/>
      <c r="B259" s="198">
        <v>53210020300000</v>
      </c>
      <c r="C259" s="318" t="s">
        <v>192</v>
      </c>
      <c r="D259" s="479">
        <v>0</v>
      </c>
      <c r="E259" s="479">
        <v>0</v>
      </c>
      <c r="F259" s="336">
        <v>0</v>
      </c>
      <c r="G259" s="320">
        <f t="shared" si="67"/>
        <v>0</v>
      </c>
      <c r="H259" s="322">
        <f>D259+G259</f>
        <v>0</v>
      </c>
    </row>
    <row r="260" spans="1:10" x14ac:dyDescent="0.2">
      <c r="A260" s="871"/>
      <c r="B260" s="197">
        <v>53208990000000</v>
      </c>
      <c r="C260" s="318" t="s">
        <v>193</v>
      </c>
      <c r="D260" s="320">
        <f>+O119</f>
        <v>0</v>
      </c>
      <c r="E260" s="320">
        <v>0</v>
      </c>
      <c r="F260" s="336">
        <v>0</v>
      </c>
      <c r="G260" s="320">
        <f t="shared" si="67"/>
        <v>0</v>
      </c>
      <c r="H260" s="322">
        <f>D260+G260</f>
        <v>0</v>
      </c>
    </row>
    <row r="261" spans="1:10" x14ac:dyDescent="0.2">
      <c r="A261" s="871"/>
      <c r="B261" s="197">
        <v>53209990000000</v>
      </c>
      <c r="C261" s="318" t="s">
        <v>191</v>
      </c>
      <c r="D261" s="320">
        <f t="shared" ref="D261:D262" si="70">+O120</f>
        <v>0</v>
      </c>
      <c r="E261" s="320">
        <v>0</v>
      </c>
      <c r="F261" s="336">
        <v>0</v>
      </c>
      <c r="G261" s="320">
        <f t="shared" si="67"/>
        <v>0</v>
      </c>
      <c r="H261" s="322">
        <f t="shared" ref="H261:H262" si="71">D261+G261</f>
        <v>0</v>
      </c>
    </row>
    <row r="262" spans="1:10" x14ac:dyDescent="0.2">
      <c r="A262" s="871"/>
      <c r="B262" s="197">
        <v>53210020100000</v>
      </c>
      <c r="C262" s="318" t="s">
        <v>64</v>
      </c>
      <c r="D262" s="320">
        <f t="shared" si="70"/>
        <v>404799.80000000005</v>
      </c>
      <c r="E262" s="320">
        <v>0</v>
      </c>
      <c r="F262" s="336">
        <v>0</v>
      </c>
      <c r="G262" s="320">
        <f t="shared" si="67"/>
        <v>0</v>
      </c>
      <c r="H262" s="322">
        <f t="shared" si="71"/>
        <v>404799.80000000005</v>
      </c>
    </row>
    <row r="263" spans="1:10" x14ac:dyDescent="0.2">
      <c r="A263" s="871"/>
      <c r="B263" s="196"/>
      <c r="C263" s="314" t="s">
        <v>65</v>
      </c>
      <c r="D263" s="315">
        <f>SUM(D264:D270)</f>
        <v>1167242.0700000003</v>
      </c>
      <c r="E263" s="316"/>
      <c r="F263" s="316"/>
      <c r="G263" s="315">
        <f>SUM(G264:G270)</f>
        <v>0</v>
      </c>
      <c r="H263" s="254">
        <f>SUM(H264:H270)</f>
        <v>1167242.0700000003</v>
      </c>
    </row>
    <row r="264" spans="1:10" x14ac:dyDescent="0.2">
      <c r="A264" s="871"/>
      <c r="B264" s="197">
        <v>53206030000000</v>
      </c>
      <c r="C264" s="318" t="s">
        <v>99</v>
      </c>
      <c r="D264" s="332">
        <f>+O123</f>
        <v>0</v>
      </c>
      <c r="E264" s="332">
        <v>0</v>
      </c>
      <c r="F264" s="333">
        <v>0</v>
      </c>
      <c r="G264" s="320">
        <f t="shared" ref="G264:G270" si="72">E264*F264</f>
        <v>0</v>
      </c>
      <c r="H264" s="322">
        <f t="shared" ref="H264:H270" si="73">D264+G264</f>
        <v>0</v>
      </c>
    </row>
    <row r="265" spans="1:10" x14ac:dyDescent="0.2">
      <c r="A265" s="871"/>
      <c r="B265" s="197">
        <v>53206040000000</v>
      </c>
      <c r="C265" s="318" t="s">
        <v>100</v>
      </c>
      <c r="D265" s="332">
        <f t="shared" ref="D265:D270" si="74">+O124</f>
        <v>0</v>
      </c>
      <c r="E265" s="332">
        <v>0</v>
      </c>
      <c r="F265" s="333">
        <v>0</v>
      </c>
      <c r="G265" s="320">
        <f t="shared" si="72"/>
        <v>0</v>
      </c>
      <c r="H265" s="322">
        <f t="shared" si="73"/>
        <v>0</v>
      </c>
    </row>
    <row r="266" spans="1:10" x14ac:dyDescent="0.2">
      <c r="A266" s="871"/>
      <c r="B266" s="197">
        <v>53206060000000</v>
      </c>
      <c r="C266" s="318" t="s">
        <v>194</v>
      </c>
      <c r="D266" s="332">
        <f t="shared" si="74"/>
        <v>0</v>
      </c>
      <c r="E266" s="332">
        <v>0</v>
      </c>
      <c r="F266" s="333">
        <v>0</v>
      </c>
      <c r="G266" s="320">
        <f t="shared" si="72"/>
        <v>0</v>
      </c>
      <c r="H266" s="322">
        <f t="shared" si="73"/>
        <v>0</v>
      </c>
    </row>
    <row r="267" spans="1:10" x14ac:dyDescent="0.2">
      <c r="A267" s="871"/>
      <c r="B267" s="197">
        <v>53206070000000</v>
      </c>
      <c r="C267" s="318" t="s">
        <v>102</v>
      </c>
      <c r="D267" s="332">
        <f t="shared" si="74"/>
        <v>0</v>
      </c>
      <c r="E267" s="332">
        <v>0</v>
      </c>
      <c r="F267" s="333">
        <v>0</v>
      </c>
      <c r="G267" s="320">
        <f t="shared" si="72"/>
        <v>0</v>
      </c>
      <c r="H267" s="322">
        <f t="shared" si="73"/>
        <v>0</v>
      </c>
    </row>
    <row r="268" spans="1:10" x14ac:dyDescent="0.2">
      <c r="A268" s="871"/>
      <c r="B268" s="197">
        <v>53206990000000</v>
      </c>
      <c r="C268" s="318" t="s">
        <v>195</v>
      </c>
      <c r="D268" s="332">
        <f t="shared" si="74"/>
        <v>0</v>
      </c>
      <c r="E268" s="332">
        <v>0</v>
      </c>
      <c r="F268" s="333">
        <v>0</v>
      </c>
      <c r="G268" s="320">
        <f t="shared" si="72"/>
        <v>0</v>
      </c>
      <c r="H268" s="322">
        <f t="shared" si="73"/>
        <v>0</v>
      </c>
    </row>
    <row r="269" spans="1:10" x14ac:dyDescent="0.2">
      <c r="A269" s="871"/>
      <c r="B269" s="197">
        <v>53208030000000</v>
      </c>
      <c r="C269" s="318" t="s">
        <v>104</v>
      </c>
      <c r="D269" s="332">
        <f t="shared" si="74"/>
        <v>120000</v>
      </c>
      <c r="E269" s="332">
        <v>0</v>
      </c>
      <c r="F269" s="333">
        <v>0</v>
      </c>
      <c r="G269" s="320">
        <f t="shared" si="72"/>
        <v>0</v>
      </c>
      <c r="H269" s="322">
        <f t="shared" si="73"/>
        <v>120000</v>
      </c>
    </row>
    <row r="270" spans="1:10" x14ac:dyDescent="0.2">
      <c r="A270" s="871"/>
      <c r="B270" s="197">
        <v>53206990000000</v>
      </c>
      <c r="C270" s="318" t="s">
        <v>224</v>
      </c>
      <c r="D270" s="332">
        <f t="shared" si="74"/>
        <v>1047242.0700000002</v>
      </c>
      <c r="E270" s="332">
        <v>0</v>
      </c>
      <c r="F270" s="333">
        <v>0</v>
      </c>
      <c r="G270" s="320">
        <f t="shared" si="72"/>
        <v>0</v>
      </c>
      <c r="H270" s="322">
        <f t="shared" si="73"/>
        <v>1047242.0700000002</v>
      </c>
    </row>
    <row r="271" spans="1:10" x14ac:dyDescent="0.2">
      <c r="A271" s="871"/>
      <c r="B271" s="196"/>
      <c r="C271" s="314" t="s">
        <v>66</v>
      </c>
      <c r="D271" s="315">
        <f>SUM(D272:D272)</f>
        <v>0</v>
      </c>
      <c r="E271" s="316"/>
      <c r="F271" s="316"/>
      <c r="G271" s="315">
        <f>SUM(G272:G272)</f>
        <v>0</v>
      </c>
      <c r="H271" s="254">
        <f>SUM(H272:H272)</f>
        <v>0</v>
      </c>
    </row>
    <row r="272" spans="1:10" x14ac:dyDescent="0.2">
      <c r="A272" s="871"/>
      <c r="B272" s="201"/>
      <c r="C272" s="337" t="s">
        <v>225</v>
      </c>
      <c r="D272" s="323">
        <v>0</v>
      </c>
      <c r="E272" s="323">
        <v>0</v>
      </c>
      <c r="F272" s="331">
        <v>0</v>
      </c>
      <c r="G272" s="320">
        <f t="shared" ref="G272" si="75">E272*F272</f>
        <v>0</v>
      </c>
      <c r="H272" s="338">
        <f t="shared" ref="H272" si="76">D272+G272</f>
        <v>0</v>
      </c>
      <c r="I272" s="343" t="s">
        <v>228</v>
      </c>
      <c r="J272" s="394">
        <f>+H270+H269+H268+H267+H266+H265+H264+H262+H261+H260+H259+H258+H257+H256+H255+H253+H250+H249+H248+H247+H246+H244+H242+H241+H235+H234+H233+H231+H230+H229+H228+H227+H226+H225+H224+H223+H222+H221</f>
        <v>7123426.0761130946</v>
      </c>
    </row>
    <row r="273" spans="1:10" ht="13.5" thickBot="1" x14ac:dyDescent="0.25">
      <c r="A273" s="872"/>
      <c r="B273" s="339"/>
      <c r="C273" s="340" t="s">
        <v>105</v>
      </c>
      <c r="D273" s="268">
        <f>SUM(D210,D237)</f>
        <v>60397039.876113094</v>
      </c>
      <c r="E273" s="269"/>
      <c r="F273" s="269"/>
      <c r="G273" s="268">
        <f>SUM(G210,G237)</f>
        <v>3896144</v>
      </c>
      <c r="H273" s="341">
        <f>SUM(H210,H237)</f>
        <v>64293183.876113094</v>
      </c>
      <c r="I273" s="344" t="s">
        <v>229</v>
      </c>
      <c r="J273" s="393">
        <f>+H273-J272</f>
        <v>57169757.799999997</v>
      </c>
    </row>
    <row r="274" spans="1:10" ht="15.75" x14ac:dyDescent="0.2">
      <c r="A274" s="889" t="s">
        <v>109</v>
      </c>
      <c r="B274" s="889"/>
      <c r="C274" s="889"/>
      <c r="D274" s="889"/>
      <c r="E274" s="889"/>
      <c r="F274" s="889"/>
      <c r="G274" s="890"/>
      <c r="H274" s="345">
        <f>SUM(H273+H141+H75+H207)</f>
        <v>252932042.88056546</v>
      </c>
    </row>
  </sheetData>
  <mergeCells count="43">
    <mergeCell ref="A76:A77"/>
    <mergeCell ref="B76:B77"/>
    <mergeCell ref="C76:C77"/>
    <mergeCell ref="D76:D77"/>
    <mergeCell ref="E76:G76"/>
    <mergeCell ref="N78:N79"/>
    <mergeCell ref="O78:O79"/>
    <mergeCell ref="P78:P79"/>
    <mergeCell ref="L78:L79"/>
    <mergeCell ref="H10:H11"/>
    <mergeCell ref="H76:H77"/>
    <mergeCell ref="C10:C11"/>
    <mergeCell ref="I10:J11"/>
    <mergeCell ref="D4:E4"/>
    <mergeCell ref="M78:M79"/>
    <mergeCell ref="A274:G274"/>
    <mergeCell ref="A8:C8"/>
    <mergeCell ref="A12:A75"/>
    <mergeCell ref="B10:B11"/>
    <mergeCell ref="A10:A11"/>
    <mergeCell ref="E10:G10"/>
    <mergeCell ref="D10:D11"/>
    <mergeCell ref="H208:H209"/>
    <mergeCell ref="A210:A273"/>
    <mergeCell ref="A78:A141"/>
    <mergeCell ref="A142:A143"/>
    <mergeCell ref="B142:B143"/>
    <mergeCell ref="A208:A209"/>
    <mergeCell ref="B208:B209"/>
    <mergeCell ref="C208:C209"/>
    <mergeCell ref="D208:D209"/>
    <mergeCell ref="E208:G208"/>
    <mergeCell ref="M99:P99"/>
    <mergeCell ref="M100:P100"/>
    <mergeCell ref="M103:P103"/>
    <mergeCell ref="M105:P105"/>
    <mergeCell ref="A144:A207"/>
    <mergeCell ref="M114:P114"/>
    <mergeCell ref="M122:P122"/>
    <mergeCell ref="C142:C143"/>
    <mergeCell ref="D142:D143"/>
    <mergeCell ref="E142:G142"/>
    <mergeCell ref="H142:H143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IH98"/>
  <sheetViews>
    <sheetView showGridLines="0" topLeftCell="A4" zoomScale="80" zoomScaleNormal="80" workbookViewId="0">
      <selection activeCell="A4" sqref="A1:XFD1048576"/>
    </sheetView>
  </sheetViews>
  <sheetFormatPr baseColWidth="10" defaultColWidth="11.42578125" defaultRowHeight="12.75" x14ac:dyDescent="0.2"/>
  <cols>
    <col min="1" max="1" width="7.140625" style="23" customWidth="1"/>
    <col min="2" max="2" width="28" style="23" customWidth="1"/>
    <col min="3" max="3" width="28.7109375" style="23" customWidth="1"/>
    <col min="4" max="4" width="24.140625" style="23" customWidth="1"/>
    <col min="5" max="5" width="31.140625" style="23" customWidth="1"/>
    <col min="6" max="6" width="22.140625" style="23" customWidth="1"/>
    <col min="7" max="7" width="14.85546875" style="23" customWidth="1"/>
    <col min="8" max="8" width="15" style="23" customWidth="1"/>
    <col min="9" max="9" width="15.140625" style="23" customWidth="1"/>
    <col min="10" max="10" width="17.42578125" style="23" customWidth="1"/>
    <col min="11" max="11" width="19.140625" style="23" customWidth="1"/>
    <col min="12" max="12" width="4.85546875" style="23" customWidth="1"/>
    <col min="13" max="13" width="19.140625" style="23" customWidth="1"/>
    <col min="14" max="14" width="16.140625" style="23" customWidth="1"/>
    <col min="15" max="15" width="17.140625" style="23" customWidth="1"/>
    <col min="16" max="16" width="14.85546875" style="23" customWidth="1"/>
    <col min="17" max="17" width="17.7109375" style="23" customWidth="1"/>
    <col min="18" max="18" width="17.140625" style="23" customWidth="1"/>
    <col min="19" max="19" width="17.42578125" style="23" customWidth="1"/>
    <col min="20" max="20" width="5" style="23" customWidth="1"/>
    <col min="21" max="21" width="19.85546875" style="23" bestFit="1" customWidth="1"/>
    <col min="22" max="22" width="52.140625" style="23" bestFit="1" customWidth="1"/>
    <col min="23" max="23" width="18.28515625" style="23" customWidth="1"/>
    <col min="24" max="24" width="5.7109375" style="23" customWidth="1"/>
    <col min="25" max="25" width="11.42578125" style="23" customWidth="1"/>
    <col min="26" max="31" width="14.28515625" style="23" customWidth="1"/>
    <col min="32" max="32" width="11.28515625" style="23" customWidth="1"/>
    <col min="33" max="38" width="14.28515625" style="23" customWidth="1"/>
    <col min="39" max="39" width="11.42578125" style="23"/>
    <col min="40" max="45" width="14.28515625" style="23" customWidth="1"/>
    <col min="46" max="16384" width="11.42578125" style="23"/>
  </cols>
  <sheetData>
    <row r="1" spans="1:242" s="4" customFormat="1" x14ac:dyDescent="0.2">
      <c r="E1" s="33" t="s">
        <v>207</v>
      </c>
      <c r="F1" s="33"/>
      <c r="G1" s="33"/>
      <c r="H1" s="33"/>
      <c r="I1" s="33"/>
      <c r="IG1" s="2"/>
      <c r="IH1" s="2"/>
    </row>
    <row r="2" spans="1:242" s="4" customFormat="1" x14ac:dyDescent="0.2">
      <c r="E2" s="33" t="s">
        <v>199</v>
      </c>
      <c r="F2" s="33"/>
      <c r="G2" s="33"/>
      <c r="H2" s="33"/>
      <c r="I2" s="33"/>
      <c r="IG2" s="2"/>
      <c r="IH2" s="2"/>
    </row>
    <row r="3" spans="1:242" s="4" customFormat="1" x14ac:dyDescent="0.2">
      <c r="B3" s="19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19"/>
      <c r="D4" s="706" t="s">
        <v>0</v>
      </c>
      <c r="E4" s="756" t="str">
        <f>+'B) Reajuste Tarifas y Ocupación'!F5</f>
        <v>(DEPTO./DELEG.)</v>
      </c>
      <c r="F4" s="58"/>
      <c r="G4" s="59"/>
      <c r="H4" s="59"/>
      <c r="I4" s="59"/>
      <c r="J4" s="59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19"/>
      <c r="D5" s="6"/>
      <c r="E5" s="33"/>
      <c r="F5" s="33"/>
      <c r="G5" s="33"/>
      <c r="H5" s="33"/>
      <c r="I5" s="33"/>
      <c r="J5" s="33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19"/>
      <c r="D6" s="6"/>
      <c r="E6" s="33"/>
      <c r="F6" s="33"/>
      <c r="G6" s="33"/>
      <c r="H6" s="33"/>
      <c r="I6" s="33"/>
      <c r="J6" s="33"/>
      <c r="O6" s="1"/>
      <c r="HX6" s="2"/>
      <c r="HY6" s="2"/>
      <c r="HZ6" s="2"/>
      <c r="IA6" s="2"/>
      <c r="IB6" s="2"/>
      <c r="IC6" s="2"/>
    </row>
    <row r="7" spans="1:242" x14ac:dyDescent="0.2">
      <c r="B7" s="21"/>
      <c r="C7" s="21"/>
      <c r="D7" s="21"/>
      <c r="E7" s="21"/>
      <c r="F7" s="21"/>
      <c r="G7" s="21"/>
      <c r="H7" s="21"/>
      <c r="I7" s="21"/>
      <c r="J7" s="28"/>
      <c r="K7" s="28"/>
      <c r="L7" s="28"/>
      <c r="M7" s="28"/>
      <c r="N7" s="28"/>
      <c r="O7" s="28"/>
      <c r="P7" s="28"/>
      <c r="Q7" s="28"/>
      <c r="R7" s="28"/>
      <c r="Y7" s="707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708"/>
    </row>
    <row r="8" spans="1:242" x14ac:dyDescent="0.2">
      <c r="B8" s="21"/>
      <c r="C8" s="21"/>
      <c r="D8" s="21"/>
      <c r="E8" s="21"/>
      <c r="F8" s="21"/>
      <c r="G8" s="21"/>
      <c r="H8" s="21"/>
      <c r="I8" s="21"/>
      <c r="J8" s="28"/>
      <c r="K8" s="28"/>
      <c r="L8" s="28"/>
      <c r="M8" s="28"/>
      <c r="N8" s="28"/>
      <c r="O8" s="28"/>
      <c r="P8" s="28"/>
      <c r="Q8" s="28"/>
      <c r="R8" s="28"/>
      <c r="Y8" s="709"/>
      <c r="AT8" s="109"/>
    </row>
    <row r="9" spans="1:242" ht="15.75" customHeight="1" x14ac:dyDescent="0.2">
      <c r="A9" s="941" t="s">
        <v>155</v>
      </c>
      <c r="B9" s="941"/>
      <c r="C9" s="941"/>
      <c r="D9" s="941"/>
      <c r="E9" s="941"/>
      <c r="F9" s="941"/>
      <c r="G9" s="941"/>
      <c r="H9" s="941"/>
      <c r="I9" s="84"/>
      <c r="J9" s="84"/>
      <c r="K9" s="84"/>
      <c r="L9" s="84"/>
      <c r="M9" s="912" t="s">
        <v>156</v>
      </c>
      <c r="N9" s="912"/>
      <c r="O9" s="912"/>
      <c r="P9" s="912"/>
      <c r="Q9" s="912"/>
      <c r="R9" s="912"/>
      <c r="S9" s="912"/>
      <c r="U9" s="912" t="s">
        <v>157</v>
      </c>
      <c r="V9" s="912"/>
      <c r="W9" s="912"/>
      <c r="X9" s="86"/>
      <c r="Y9" s="710"/>
      <c r="Z9" s="912" t="s">
        <v>158</v>
      </c>
      <c r="AA9" s="912"/>
      <c r="AB9" s="912"/>
      <c r="AC9" s="912"/>
      <c r="AD9" s="912"/>
      <c r="AE9" s="912"/>
      <c r="AF9" s="86"/>
      <c r="AG9" s="912" t="s">
        <v>159</v>
      </c>
      <c r="AH9" s="912"/>
      <c r="AI9" s="912"/>
      <c r="AJ9" s="912"/>
      <c r="AK9" s="912"/>
      <c r="AL9" s="912"/>
      <c r="AN9" s="912" t="s">
        <v>160</v>
      </c>
      <c r="AO9" s="912"/>
      <c r="AP9" s="912"/>
      <c r="AQ9" s="912"/>
      <c r="AR9" s="912"/>
      <c r="AS9" s="912"/>
      <c r="AT9" s="109"/>
    </row>
    <row r="10" spans="1:242" ht="13.5" customHeight="1" x14ac:dyDescent="0.2">
      <c r="B10" s="19"/>
      <c r="C10" s="6"/>
      <c r="D10" s="6"/>
      <c r="E10" s="33"/>
      <c r="F10" s="33"/>
      <c r="G10" s="33"/>
      <c r="H10" s="33"/>
      <c r="I10" s="33"/>
      <c r="J10" s="33"/>
      <c r="M10" s="912"/>
      <c r="N10" s="912"/>
      <c r="O10" s="912"/>
      <c r="P10" s="912"/>
      <c r="Q10" s="912"/>
      <c r="R10" s="912"/>
      <c r="S10" s="912"/>
      <c r="U10" s="912"/>
      <c r="V10" s="912"/>
      <c r="W10" s="912"/>
      <c r="Y10" s="709"/>
      <c r="Z10" s="912"/>
      <c r="AA10" s="912"/>
      <c r="AB10" s="912"/>
      <c r="AC10" s="912"/>
      <c r="AD10" s="912"/>
      <c r="AE10" s="912"/>
      <c r="AG10" s="912"/>
      <c r="AH10" s="912"/>
      <c r="AI10" s="912"/>
      <c r="AJ10" s="912"/>
      <c r="AK10" s="912"/>
      <c r="AL10" s="912"/>
      <c r="AN10" s="912"/>
      <c r="AO10" s="912"/>
      <c r="AP10" s="912"/>
      <c r="AQ10" s="912"/>
      <c r="AR10" s="912"/>
      <c r="AS10" s="912"/>
      <c r="AT10" s="109"/>
    </row>
    <row r="11" spans="1:242" x14ac:dyDescent="0.2">
      <c r="J11" s="711" t="s">
        <v>4</v>
      </c>
      <c r="K11" s="712">
        <v>0.05</v>
      </c>
      <c r="Y11" s="709"/>
      <c r="AT11" s="109"/>
    </row>
    <row r="12" spans="1:242" ht="12.75" customHeight="1" thickBot="1" x14ac:dyDescent="0.25">
      <c r="M12" s="940"/>
      <c r="N12" s="940"/>
      <c r="O12" s="940"/>
      <c r="P12" s="940"/>
      <c r="Q12" s="940"/>
      <c r="R12" s="940"/>
      <c r="Y12" s="709"/>
      <c r="AT12" s="109"/>
    </row>
    <row r="13" spans="1:242" ht="21.75" customHeight="1" x14ac:dyDescent="0.2">
      <c r="A13" s="950" t="s">
        <v>118</v>
      </c>
      <c r="B13" s="951"/>
      <c r="C13" s="954" t="s">
        <v>73</v>
      </c>
      <c r="D13" s="954" t="s">
        <v>74</v>
      </c>
      <c r="E13" s="956" t="s">
        <v>3</v>
      </c>
      <c r="F13" s="958" t="s">
        <v>81</v>
      </c>
      <c r="G13" s="928" t="s">
        <v>267</v>
      </c>
      <c r="H13" s="929"/>
      <c r="I13" s="929"/>
      <c r="J13" s="930"/>
      <c r="K13" s="946" t="s">
        <v>269</v>
      </c>
      <c r="L13" s="28"/>
      <c r="M13" s="926" t="s">
        <v>69</v>
      </c>
      <c r="N13" s="948"/>
      <c r="O13" s="914" t="s">
        <v>70</v>
      </c>
      <c r="P13" s="915"/>
      <c r="Q13" s="949" t="s">
        <v>71</v>
      </c>
      <c r="R13" s="949"/>
      <c r="S13" s="910" t="s">
        <v>146</v>
      </c>
      <c r="U13" s="942" t="s">
        <v>75</v>
      </c>
      <c r="V13" s="944" t="s">
        <v>76</v>
      </c>
      <c r="W13" s="913" t="s">
        <v>270</v>
      </c>
      <c r="Y13" s="709"/>
      <c r="Z13" s="920" t="s">
        <v>69</v>
      </c>
      <c r="AA13" s="921"/>
      <c r="AB13" s="922" t="s">
        <v>70</v>
      </c>
      <c r="AC13" s="923"/>
      <c r="AD13" s="924" t="s">
        <v>71</v>
      </c>
      <c r="AE13" s="925"/>
      <c r="AG13" s="926" t="s">
        <v>69</v>
      </c>
      <c r="AH13" s="927"/>
      <c r="AI13" s="914" t="s">
        <v>70</v>
      </c>
      <c r="AJ13" s="915"/>
      <c r="AK13" s="916" t="s">
        <v>71</v>
      </c>
      <c r="AL13" s="917"/>
      <c r="AN13" s="926" t="s">
        <v>69</v>
      </c>
      <c r="AO13" s="927"/>
      <c r="AP13" s="914" t="s">
        <v>70</v>
      </c>
      <c r="AQ13" s="915"/>
      <c r="AR13" s="916" t="s">
        <v>71</v>
      </c>
      <c r="AS13" s="917"/>
      <c r="AT13" s="109"/>
    </row>
    <row r="14" spans="1:242" ht="49.5" customHeight="1" thickBot="1" x14ac:dyDescent="0.25">
      <c r="A14" s="952"/>
      <c r="B14" s="953"/>
      <c r="C14" s="955"/>
      <c r="D14" s="955"/>
      <c r="E14" s="957"/>
      <c r="F14" s="959"/>
      <c r="G14" s="612" t="s">
        <v>220</v>
      </c>
      <c r="H14" s="195" t="s">
        <v>116</v>
      </c>
      <c r="I14" s="195" t="s">
        <v>117</v>
      </c>
      <c r="J14" s="757" t="s">
        <v>268</v>
      </c>
      <c r="K14" s="947"/>
      <c r="L14" s="28"/>
      <c r="M14" s="758" t="s">
        <v>36</v>
      </c>
      <c r="N14" s="759" t="s">
        <v>37</v>
      </c>
      <c r="O14" s="760" t="s">
        <v>36</v>
      </c>
      <c r="P14" s="713" t="s">
        <v>37</v>
      </c>
      <c r="Q14" s="102" t="s">
        <v>36</v>
      </c>
      <c r="R14" s="761" t="s">
        <v>37</v>
      </c>
      <c r="S14" s="911"/>
      <c r="U14" s="943"/>
      <c r="V14" s="945"/>
      <c r="W14" s="913"/>
      <c r="Y14" s="709"/>
      <c r="Z14" s="758" t="s">
        <v>36</v>
      </c>
      <c r="AA14" s="759" t="s">
        <v>37</v>
      </c>
      <c r="AB14" s="760" t="s">
        <v>36</v>
      </c>
      <c r="AC14" s="713" t="s">
        <v>37</v>
      </c>
      <c r="AD14" s="102" t="s">
        <v>36</v>
      </c>
      <c r="AE14" s="714" t="s">
        <v>37</v>
      </c>
      <c r="AG14" s="762" t="s">
        <v>36</v>
      </c>
      <c r="AH14" s="763" t="s">
        <v>37</v>
      </c>
      <c r="AI14" s="764" t="s">
        <v>36</v>
      </c>
      <c r="AJ14" s="765" t="s">
        <v>37</v>
      </c>
      <c r="AK14" s="766" t="s">
        <v>36</v>
      </c>
      <c r="AL14" s="767" t="s">
        <v>37</v>
      </c>
      <c r="AN14" s="918" t="s">
        <v>147</v>
      </c>
      <c r="AO14" s="919"/>
      <c r="AP14" s="906" t="s">
        <v>147</v>
      </c>
      <c r="AQ14" s="907"/>
      <c r="AR14" s="908" t="s">
        <v>148</v>
      </c>
      <c r="AS14" s="909"/>
      <c r="AT14" s="109"/>
    </row>
    <row r="15" spans="1:242" ht="12.75" customHeight="1" thickBot="1" x14ac:dyDescent="0.25">
      <c r="A15" s="931" t="s">
        <v>142</v>
      </c>
      <c r="B15" s="934" t="s">
        <v>93</v>
      </c>
      <c r="C15" s="542" t="s">
        <v>334</v>
      </c>
      <c r="D15" s="715" t="s">
        <v>335</v>
      </c>
      <c r="E15" s="716" t="s">
        <v>336</v>
      </c>
      <c r="F15" s="717" t="s">
        <v>337</v>
      </c>
      <c r="G15" s="618">
        <f>16673256+696828</f>
        <v>17370084</v>
      </c>
      <c r="H15" s="619">
        <v>165270</v>
      </c>
      <c r="I15" s="620">
        <v>160394</v>
      </c>
      <c r="J15" s="621">
        <f>SUM(G15:I15)</f>
        <v>17695748</v>
      </c>
      <c r="K15" s="718">
        <f t="shared" ref="K15:K61" si="0">+J15*(1+$K$11)</f>
        <v>18580535.400000002</v>
      </c>
      <c r="L15" s="28"/>
      <c r="M15" s="719">
        <v>0.13</v>
      </c>
      <c r="N15" s="720">
        <f t="shared" ref="N15:N61" si="1">+$K15*M15</f>
        <v>2415469.6020000004</v>
      </c>
      <c r="O15" s="719">
        <v>0.03</v>
      </c>
      <c r="P15" s="721">
        <f t="shared" ref="P15:P61" si="2">+$K15*O15</f>
        <v>557416.06200000003</v>
      </c>
      <c r="Q15" s="722">
        <v>0.84</v>
      </c>
      <c r="R15" s="720">
        <f t="shared" ref="R15:R61" si="3">+$K15*Q15</f>
        <v>15607649.736000001</v>
      </c>
      <c r="S15" s="723">
        <f>+M15+O15+Q15</f>
        <v>1</v>
      </c>
      <c r="U15" s="724"/>
      <c r="V15" s="725" t="s">
        <v>11</v>
      </c>
      <c r="W15" s="726">
        <f>SUM(W16,W20)</f>
        <v>62237641.719999999</v>
      </c>
      <c r="Y15" s="709"/>
      <c r="Z15" s="727">
        <f t="shared" ref="Z15:AE15" si="4">+M62</f>
        <v>0.31443706044090097</v>
      </c>
      <c r="AA15" s="106">
        <f t="shared" si="4"/>
        <v>102274474.25579998</v>
      </c>
      <c r="AB15" s="727">
        <f t="shared" si="4"/>
        <v>9.5070947442898582E-2</v>
      </c>
      <c r="AC15" s="107">
        <f t="shared" si="4"/>
        <v>30922980.748800002</v>
      </c>
      <c r="AD15" s="105">
        <f t="shared" si="4"/>
        <v>0.5904919921162004</v>
      </c>
      <c r="AE15" s="107">
        <f t="shared" si="4"/>
        <v>192064694.79539996</v>
      </c>
      <c r="AG15" s="154">
        <f>+Z15</f>
        <v>0.31443706044090097</v>
      </c>
      <c r="AH15" s="155">
        <f>+AG15*W80</f>
        <v>30867776.432965897</v>
      </c>
      <c r="AI15" s="156">
        <f>+AB15</f>
        <v>9.5070947442898582E-2</v>
      </c>
      <c r="AJ15" s="155">
        <f>+AI15*W80</f>
        <v>9332960.7738436833</v>
      </c>
      <c r="AK15" s="157">
        <f>+AD15</f>
        <v>0.5904919921162004</v>
      </c>
      <c r="AL15" s="158">
        <f>+AK15*W80</f>
        <v>57967641.513190418</v>
      </c>
      <c r="AN15" s="904">
        <f>+AH15+AA15</f>
        <v>133142250.68876588</v>
      </c>
      <c r="AO15" s="905"/>
      <c r="AP15" s="904">
        <f>+AJ15+AC15+K70</f>
        <v>40255941.522643685</v>
      </c>
      <c r="AQ15" s="905"/>
      <c r="AR15" s="904">
        <f>+AL15+AE15+K77</f>
        <v>250032336.30859038</v>
      </c>
      <c r="AS15" s="905"/>
      <c r="AT15" s="109"/>
    </row>
    <row r="16" spans="1:242" x14ac:dyDescent="0.2">
      <c r="A16" s="932"/>
      <c r="B16" s="935"/>
      <c r="C16" s="543" t="s">
        <v>338</v>
      </c>
      <c r="D16" s="534" t="s">
        <v>339</v>
      </c>
      <c r="E16" s="728" t="s">
        <v>340</v>
      </c>
      <c r="F16" s="617" t="s">
        <v>337</v>
      </c>
      <c r="G16" s="729">
        <f>11970204+177828</f>
        <v>12148032</v>
      </c>
      <c r="H16" s="536">
        <v>330900</v>
      </c>
      <c r="I16" s="622">
        <v>160394</v>
      </c>
      <c r="J16" s="151">
        <f t="shared" ref="J16:J39" si="5">SUM(G16:I16)</f>
        <v>12639326</v>
      </c>
      <c r="K16" s="152">
        <f t="shared" si="0"/>
        <v>13271292.300000001</v>
      </c>
      <c r="L16" s="28"/>
      <c r="M16" s="730">
        <v>0.44800000000000001</v>
      </c>
      <c r="N16" s="480">
        <f t="shared" si="1"/>
        <v>5945538.9504000004</v>
      </c>
      <c r="O16" s="730">
        <v>8.5999999999999993E-2</v>
      </c>
      <c r="P16" s="731">
        <f t="shared" si="2"/>
        <v>1141331.1377999999</v>
      </c>
      <c r="Q16" s="732">
        <v>0.46600000000000003</v>
      </c>
      <c r="R16" s="480">
        <f t="shared" si="3"/>
        <v>6184422.2118000006</v>
      </c>
      <c r="S16" s="481">
        <f t="shared" ref="S16:S61" si="6">+M16+O16+Q16</f>
        <v>1</v>
      </c>
      <c r="U16" s="733"/>
      <c r="V16" s="734" t="s">
        <v>12</v>
      </c>
      <c r="W16" s="735">
        <f>SUM(W17:W19)</f>
        <v>1264516</v>
      </c>
      <c r="Y16" s="709"/>
      <c r="AT16" s="109"/>
    </row>
    <row r="17" spans="1:46" ht="12.75" customHeight="1" x14ac:dyDescent="0.2">
      <c r="A17" s="932"/>
      <c r="B17" s="935"/>
      <c r="C17" s="543" t="s">
        <v>341</v>
      </c>
      <c r="D17" s="534" t="s">
        <v>342</v>
      </c>
      <c r="E17" s="728" t="s">
        <v>343</v>
      </c>
      <c r="F17" s="617" t="s">
        <v>337</v>
      </c>
      <c r="G17" s="729">
        <f>13081488+544800</f>
        <v>13626288</v>
      </c>
      <c r="H17" s="536">
        <v>165270</v>
      </c>
      <c r="I17" s="622">
        <v>160394</v>
      </c>
      <c r="J17" s="151">
        <f t="shared" si="5"/>
        <v>13951952</v>
      </c>
      <c r="K17" s="152">
        <f t="shared" si="0"/>
        <v>14649549.600000001</v>
      </c>
      <c r="L17" s="28"/>
      <c r="M17" s="730">
        <v>0.13</v>
      </c>
      <c r="N17" s="480">
        <f t="shared" si="1"/>
        <v>1904441.4480000003</v>
      </c>
      <c r="O17" s="730">
        <v>0.03</v>
      </c>
      <c r="P17" s="731">
        <f t="shared" si="2"/>
        <v>439486.48800000001</v>
      </c>
      <c r="Q17" s="732">
        <v>0.84</v>
      </c>
      <c r="R17" s="480">
        <f t="shared" si="3"/>
        <v>12305621.664000001</v>
      </c>
      <c r="S17" s="481">
        <f t="shared" si="6"/>
        <v>1</v>
      </c>
      <c r="U17" s="736">
        <v>53103050000000</v>
      </c>
      <c r="V17" s="737" t="s">
        <v>13</v>
      </c>
      <c r="W17" s="738">
        <v>0</v>
      </c>
      <c r="Y17" s="709"/>
      <c r="AT17" s="109"/>
    </row>
    <row r="18" spans="1:46" ht="13.5" customHeight="1" thickBot="1" x14ac:dyDescent="0.25">
      <c r="A18" s="932"/>
      <c r="B18" s="935"/>
      <c r="C18" s="543" t="s">
        <v>344</v>
      </c>
      <c r="D18" s="534" t="s">
        <v>345</v>
      </c>
      <c r="E18" s="728" t="s">
        <v>340</v>
      </c>
      <c r="F18" s="617" t="s">
        <v>337</v>
      </c>
      <c r="G18" s="729">
        <f>9961764+412740</f>
        <v>10374504</v>
      </c>
      <c r="H18" s="536">
        <v>330900</v>
      </c>
      <c r="I18" s="622">
        <v>160394</v>
      </c>
      <c r="J18" s="151">
        <f t="shared" si="5"/>
        <v>10865798</v>
      </c>
      <c r="K18" s="152">
        <f t="shared" si="0"/>
        <v>11409087.9</v>
      </c>
      <c r="L18" s="28"/>
      <c r="M18" s="730">
        <v>0.26</v>
      </c>
      <c r="N18" s="480">
        <f t="shared" si="1"/>
        <v>2966362.8540000003</v>
      </c>
      <c r="O18" s="730">
        <v>0.309</v>
      </c>
      <c r="P18" s="731">
        <f t="shared" si="2"/>
        <v>3525408.1611000001</v>
      </c>
      <c r="Q18" s="732">
        <v>0.43099999999999999</v>
      </c>
      <c r="R18" s="480">
        <f t="shared" si="3"/>
        <v>4917316.8848999999</v>
      </c>
      <c r="S18" s="481">
        <f t="shared" si="6"/>
        <v>1</v>
      </c>
      <c r="U18" s="736">
        <v>53103060000000</v>
      </c>
      <c r="V18" s="737" t="s">
        <v>14</v>
      </c>
      <c r="W18" s="738">
        <v>1264516</v>
      </c>
      <c r="Y18" s="110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2"/>
    </row>
    <row r="19" spans="1:46" x14ac:dyDescent="0.2">
      <c r="A19" s="932"/>
      <c r="B19" s="935"/>
      <c r="C19" s="543" t="s">
        <v>346</v>
      </c>
      <c r="D19" s="534" t="s">
        <v>347</v>
      </c>
      <c r="E19" s="728" t="s">
        <v>348</v>
      </c>
      <c r="F19" s="617" t="s">
        <v>337</v>
      </c>
      <c r="G19" s="729">
        <f>11313828+469980</f>
        <v>11783808</v>
      </c>
      <c r="H19" s="536">
        <v>330900</v>
      </c>
      <c r="I19" s="622">
        <v>160394</v>
      </c>
      <c r="J19" s="151">
        <f t="shared" si="5"/>
        <v>12275102</v>
      </c>
      <c r="K19" s="152">
        <f t="shared" si="0"/>
        <v>12888857.1</v>
      </c>
      <c r="L19" s="28"/>
      <c r="M19" s="730">
        <v>0.52</v>
      </c>
      <c r="N19" s="480">
        <f t="shared" si="1"/>
        <v>6702205.6919999998</v>
      </c>
      <c r="O19" s="730">
        <v>8.5999999999999993E-2</v>
      </c>
      <c r="P19" s="731">
        <f t="shared" si="2"/>
        <v>1108441.7105999999</v>
      </c>
      <c r="Q19" s="732">
        <v>0.39400000000000002</v>
      </c>
      <c r="R19" s="480">
        <f t="shared" si="3"/>
        <v>5078209.6973999999</v>
      </c>
      <c r="S19" s="481">
        <f t="shared" si="6"/>
        <v>1</v>
      </c>
      <c r="U19" s="736">
        <v>53103080010000</v>
      </c>
      <c r="V19" s="737" t="s">
        <v>15</v>
      </c>
      <c r="W19" s="738">
        <v>0</v>
      </c>
    </row>
    <row r="20" spans="1:46" x14ac:dyDescent="0.2">
      <c r="A20" s="932"/>
      <c r="B20" s="935"/>
      <c r="C20" s="543" t="s">
        <v>349</v>
      </c>
      <c r="D20" s="534" t="s">
        <v>350</v>
      </c>
      <c r="E20" s="728" t="s">
        <v>351</v>
      </c>
      <c r="F20" s="617" t="s">
        <v>337</v>
      </c>
      <c r="G20" s="729">
        <f>10453332+635952</f>
        <v>11089284</v>
      </c>
      <c r="H20" s="536">
        <v>330900</v>
      </c>
      <c r="I20" s="622">
        <v>163186</v>
      </c>
      <c r="J20" s="151">
        <f t="shared" si="5"/>
        <v>11583370</v>
      </c>
      <c r="K20" s="152">
        <f t="shared" si="0"/>
        <v>12162538.5</v>
      </c>
      <c r="L20" s="28"/>
      <c r="M20" s="730">
        <v>0.93799999999999994</v>
      </c>
      <c r="N20" s="480">
        <f t="shared" si="1"/>
        <v>11408461.113</v>
      </c>
      <c r="O20" s="730">
        <v>1.2E-2</v>
      </c>
      <c r="P20" s="731">
        <f t="shared" si="2"/>
        <v>145950.462</v>
      </c>
      <c r="Q20" s="732">
        <v>0.05</v>
      </c>
      <c r="R20" s="480">
        <f t="shared" si="3"/>
        <v>608126.92500000005</v>
      </c>
      <c r="S20" s="481">
        <f t="shared" si="6"/>
        <v>1</v>
      </c>
      <c r="U20" s="733"/>
      <c r="V20" s="734" t="s">
        <v>16</v>
      </c>
      <c r="W20" s="739">
        <f>SUM(W21:W39)</f>
        <v>60973125.719999999</v>
      </c>
    </row>
    <row r="21" spans="1:46" x14ac:dyDescent="0.2">
      <c r="A21" s="932"/>
      <c r="B21" s="935"/>
      <c r="C21" s="543" t="s">
        <v>352</v>
      </c>
      <c r="D21" s="534" t="s">
        <v>353</v>
      </c>
      <c r="E21" s="728" t="s">
        <v>354</v>
      </c>
      <c r="F21" s="617" t="s">
        <v>337</v>
      </c>
      <c r="G21" s="729">
        <f>18867852+715608</f>
        <v>19583460</v>
      </c>
      <c r="H21" s="536">
        <v>165270</v>
      </c>
      <c r="I21" s="622">
        <v>160394</v>
      </c>
      <c r="J21" s="151">
        <f t="shared" si="5"/>
        <v>19909124</v>
      </c>
      <c r="K21" s="152">
        <f t="shared" si="0"/>
        <v>20904580.199999999</v>
      </c>
      <c r="L21" s="28"/>
      <c r="M21" s="730">
        <v>0.33</v>
      </c>
      <c r="N21" s="480">
        <f t="shared" si="1"/>
        <v>6898511.466</v>
      </c>
      <c r="O21" s="730">
        <v>0.12</v>
      </c>
      <c r="P21" s="731">
        <f t="shared" si="2"/>
        <v>2508549.6239999998</v>
      </c>
      <c r="Q21" s="732">
        <v>0.55000000000000004</v>
      </c>
      <c r="R21" s="480">
        <f t="shared" si="3"/>
        <v>11497519.110000001</v>
      </c>
      <c r="S21" s="481">
        <f t="shared" si="6"/>
        <v>1</v>
      </c>
      <c r="U21" s="736">
        <v>53201010100000</v>
      </c>
      <c r="V21" s="737" t="s">
        <v>17</v>
      </c>
      <c r="W21" s="738">
        <v>8684156</v>
      </c>
    </row>
    <row r="22" spans="1:46" x14ac:dyDescent="0.2">
      <c r="A22" s="932"/>
      <c r="B22" s="935"/>
      <c r="C22" s="543" t="s">
        <v>355</v>
      </c>
      <c r="D22" s="534" t="s">
        <v>356</v>
      </c>
      <c r="E22" s="728" t="s">
        <v>357</v>
      </c>
      <c r="F22" s="617" t="s">
        <v>337</v>
      </c>
      <c r="G22" s="729">
        <f>13456980+1002720</f>
        <v>14459700</v>
      </c>
      <c r="H22" s="536">
        <v>165270</v>
      </c>
      <c r="I22" s="622">
        <v>160394</v>
      </c>
      <c r="J22" s="151">
        <f t="shared" si="5"/>
        <v>14785364</v>
      </c>
      <c r="K22" s="152">
        <f t="shared" si="0"/>
        <v>15524632.200000001</v>
      </c>
      <c r="L22" s="28"/>
      <c r="M22" s="730">
        <v>0.13</v>
      </c>
      <c r="N22" s="480">
        <f t="shared" si="1"/>
        <v>2018202.1860000002</v>
      </c>
      <c r="O22" s="730">
        <v>0.03</v>
      </c>
      <c r="P22" s="731">
        <f t="shared" si="2"/>
        <v>465738.96600000001</v>
      </c>
      <c r="Q22" s="732">
        <v>0.84</v>
      </c>
      <c r="R22" s="480">
        <f t="shared" si="3"/>
        <v>13040691.048</v>
      </c>
      <c r="S22" s="481">
        <f t="shared" si="6"/>
        <v>1</v>
      </c>
      <c r="U22" s="736">
        <v>53202010100000</v>
      </c>
      <c r="V22" s="737" t="s">
        <v>18</v>
      </c>
      <c r="W22" s="738">
        <v>2061288.0000000002</v>
      </c>
    </row>
    <row r="23" spans="1:46" x14ac:dyDescent="0.2">
      <c r="A23" s="932"/>
      <c r="B23" s="935"/>
      <c r="C23" s="543" t="s">
        <v>358</v>
      </c>
      <c r="D23" s="534" t="s">
        <v>359</v>
      </c>
      <c r="E23" s="728" t="s">
        <v>360</v>
      </c>
      <c r="F23" s="617" t="s">
        <v>337</v>
      </c>
      <c r="G23" s="729">
        <f>14679420+352896</f>
        <v>15032316</v>
      </c>
      <c r="H23" s="536">
        <v>165270</v>
      </c>
      <c r="I23" s="622">
        <v>163186</v>
      </c>
      <c r="J23" s="151">
        <f t="shared" si="5"/>
        <v>15360772</v>
      </c>
      <c r="K23" s="152">
        <f t="shared" si="0"/>
        <v>16128810.600000001</v>
      </c>
      <c r="L23" s="28"/>
      <c r="M23" s="730">
        <v>0.56000000000000005</v>
      </c>
      <c r="N23" s="480">
        <f t="shared" si="1"/>
        <v>9032133.9360000025</v>
      </c>
      <c r="O23" s="730">
        <v>0.27</v>
      </c>
      <c r="P23" s="731">
        <f t="shared" si="2"/>
        <v>4354778.8620000007</v>
      </c>
      <c r="Q23" s="732">
        <v>0.17</v>
      </c>
      <c r="R23" s="480">
        <f t="shared" si="3"/>
        <v>2741897.8020000006</v>
      </c>
      <c r="S23" s="481">
        <f t="shared" si="6"/>
        <v>1</v>
      </c>
      <c r="U23" s="736">
        <v>53203010100000</v>
      </c>
      <c r="V23" s="737" t="s">
        <v>19</v>
      </c>
      <c r="W23" s="738">
        <v>7151963</v>
      </c>
    </row>
    <row r="24" spans="1:46" ht="13.5" thickBot="1" x14ac:dyDescent="0.25">
      <c r="A24" s="932"/>
      <c r="B24" s="936"/>
      <c r="C24" s="128" t="s">
        <v>361</v>
      </c>
      <c r="D24" s="218" t="s">
        <v>362</v>
      </c>
      <c r="E24" s="768" t="s">
        <v>360</v>
      </c>
      <c r="F24" s="769" t="s">
        <v>337</v>
      </c>
      <c r="G24" s="770">
        <f>11798388</f>
        <v>11798388</v>
      </c>
      <c r="H24" s="220">
        <v>330900</v>
      </c>
      <c r="I24" s="771">
        <v>163186</v>
      </c>
      <c r="J24" s="153">
        <f t="shared" si="5"/>
        <v>12292474</v>
      </c>
      <c r="K24" s="772">
        <f t="shared" si="0"/>
        <v>12907097.700000001</v>
      </c>
      <c r="L24" s="28"/>
      <c r="M24" s="773">
        <v>0.56000000000000005</v>
      </c>
      <c r="N24" s="774">
        <f t="shared" si="1"/>
        <v>7227974.7120000012</v>
      </c>
      <c r="O24" s="773">
        <v>0.27</v>
      </c>
      <c r="P24" s="740">
        <f t="shared" si="2"/>
        <v>3484916.3790000007</v>
      </c>
      <c r="Q24" s="103">
        <v>0.17</v>
      </c>
      <c r="R24" s="774">
        <f t="shared" si="3"/>
        <v>2194206.6090000002</v>
      </c>
      <c r="S24" s="775">
        <f t="shared" si="6"/>
        <v>1</v>
      </c>
      <c r="U24" s="736">
        <v>53203030000000</v>
      </c>
      <c r="V24" s="737" t="s">
        <v>20</v>
      </c>
      <c r="W24" s="738">
        <v>0</v>
      </c>
    </row>
    <row r="25" spans="1:46" ht="12.75" customHeight="1" x14ac:dyDescent="0.2">
      <c r="A25" s="932"/>
      <c r="B25" s="934" t="s">
        <v>92</v>
      </c>
      <c r="C25" s="542" t="s">
        <v>363</v>
      </c>
      <c r="D25" s="715" t="s">
        <v>364</v>
      </c>
      <c r="E25" s="716" t="s">
        <v>365</v>
      </c>
      <c r="F25" s="717" t="s">
        <v>337</v>
      </c>
      <c r="G25" s="618">
        <f>12186360</f>
        <v>12186360</v>
      </c>
      <c r="H25" s="619">
        <v>330900</v>
      </c>
      <c r="I25" s="620">
        <v>163186</v>
      </c>
      <c r="J25" s="621">
        <f t="shared" si="5"/>
        <v>12680446</v>
      </c>
      <c r="K25" s="718">
        <f t="shared" si="0"/>
        <v>13314468.300000001</v>
      </c>
      <c r="L25" s="28"/>
      <c r="M25" s="719">
        <v>0.308</v>
      </c>
      <c r="N25" s="720">
        <f t="shared" si="1"/>
        <v>4100856.2364000003</v>
      </c>
      <c r="O25" s="719">
        <v>0.109</v>
      </c>
      <c r="P25" s="721">
        <f t="shared" si="2"/>
        <v>1451277.0447</v>
      </c>
      <c r="Q25" s="722">
        <v>0.58299999999999996</v>
      </c>
      <c r="R25" s="720">
        <f t="shared" si="3"/>
        <v>7762335.0188999996</v>
      </c>
      <c r="S25" s="723">
        <f t="shared" si="6"/>
        <v>1</v>
      </c>
      <c r="U25" s="736">
        <v>53204030000000</v>
      </c>
      <c r="V25" s="737" t="s">
        <v>21</v>
      </c>
      <c r="W25" s="738">
        <v>0</v>
      </c>
    </row>
    <row r="26" spans="1:46" ht="12.75" customHeight="1" x14ac:dyDescent="0.2">
      <c r="A26" s="932"/>
      <c r="B26" s="935"/>
      <c r="C26" s="543" t="s">
        <v>366</v>
      </c>
      <c r="D26" s="534" t="s">
        <v>367</v>
      </c>
      <c r="E26" s="728" t="s">
        <v>368</v>
      </c>
      <c r="F26" s="617" t="s">
        <v>337</v>
      </c>
      <c r="G26" s="729">
        <f>24253980+1017720</f>
        <v>25271700</v>
      </c>
      <c r="H26" s="536">
        <v>165270</v>
      </c>
      <c r="I26" s="622">
        <v>160394</v>
      </c>
      <c r="J26" s="151">
        <f t="shared" si="5"/>
        <v>25597364</v>
      </c>
      <c r="K26" s="152">
        <f t="shared" si="0"/>
        <v>26877232.200000003</v>
      </c>
      <c r="L26" s="28"/>
      <c r="M26" s="730">
        <v>0.308</v>
      </c>
      <c r="N26" s="480">
        <f t="shared" si="1"/>
        <v>8278187.5176000008</v>
      </c>
      <c r="O26" s="730">
        <v>0.109</v>
      </c>
      <c r="P26" s="731">
        <f t="shared" si="2"/>
        <v>2929618.3098000004</v>
      </c>
      <c r="Q26" s="732">
        <v>0.58299999999999996</v>
      </c>
      <c r="R26" s="480">
        <f t="shared" si="3"/>
        <v>15669426.3726</v>
      </c>
      <c r="S26" s="481">
        <f t="shared" si="6"/>
        <v>1</v>
      </c>
      <c r="U26" s="736">
        <v>53204100100001</v>
      </c>
      <c r="V26" s="737" t="s">
        <v>22</v>
      </c>
      <c r="W26" s="738">
        <v>6232563</v>
      </c>
    </row>
    <row r="27" spans="1:46" ht="12.75" customHeight="1" x14ac:dyDescent="0.2">
      <c r="A27" s="932"/>
      <c r="B27" s="935"/>
      <c r="C27" s="543" t="s">
        <v>369</v>
      </c>
      <c r="D27" s="534" t="s">
        <v>370</v>
      </c>
      <c r="E27" s="728" t="s">
        <v>365</v>
      </c>
      <c r="F27" s="617" t="s">
        <v>337</v>
      </c>
      <c r="G27" s="729">
        <f>11426784+636864</f>
        <v>12063648</v>
      </c>
      <c r="H27" s="536">
        <v>165270</v>
      </c>
      <c r="I27" s="622">
        <v>163186</v>
      </c>
      <c r="J27" s="151">
        <f t="shared" si="5"/>
        <v>12392104</v>
      </c>
      <c r="K27" s="152">
        <f t="shared" si="0"/>
        <v>13011709.200000001</v>
      </c>
      <c r="L27" s="28"/>
      <c r="M27" s="730">
        <v>0.308</v>
      </c>
      <c r="N27" s="480">
        <f t="shared" si="1"/>
        <v>4007606.4336000001</v>
      </c>
      <c r="O27" s="730">
        <v>0.109</v>
      </c>
      <c r="P27" s="731">
        <f t="shared" si="2"/>
        <v>1418276.3028000002</v>
      </c>
      <c r="Q27" s="732">
        <v>0.58299999999999996</v>
      </c>
      <c r="R27" s="480">
        <f t="shared" si="3"/>
        <v>7585826.4636000004</v>
      </c>
      <c r="S27" s="481">
        <f t="shared" si="6"/>
        <v>1</v>
      </c>
      <c r="U27" s="736">
        <v>53204130100000</v>
      </c>
      <c r="V27" s="737" t="s">
        <v>23</v>
      </c>
      <c r="W27" s="738">
        <v>0</v>
      </c>
    </row>
    <row r="28" spans="1:46" ht="12.75" customHeight="1" x14ac:dyDescent="0.2">
      <c r="A28" s="932"/>
      <c r="B28" s="935"/>
      <c r="C28" s="543" t="s">
        <v>371</v>
      </c>
      <c r="D28" s="534" t="s">
        <v>372</v>
      </c>
      <c r="E28" s="728" t="s">
        <v>365</v>
      </c>
      <c r="F28" s="617" t="s">
        <v>337</v>
      </c>
      <c r="G28" s="729">
        <f>10509192</f>
        <v>10509192</v>
      </c>
      <c r="H28" s="536">
        <v>165270</v>
      </c>
      <c r="I28" s="622">
        <v>163186</v>
      </c>
      <c r="J28" s="151">
        <f t="shared" si="5"/>
        <v>10837648</v>
      </c>
      <c r="K28" s="152">
        <f t="shared" si="0"/>
        <v>11379530.4</v>
      </c>
      <c r="L28" s="28"/>
      <c r="M28" s="730">
        <v>0.308</v>
      </c>
      <c r="N28" s="480">
        <f t="shared" si="1"/>
        <v>3504895.3632</v>
      </c>
      <c r="O28" s="730">
        <v>0.109</v>
      </c>
      <c r="P28" s="731">
        <f t="shared" si="2"/>
        <v>1240368.8136</v>
      </c>
      <c r="Q28" s="732">
        <v>0.58299999999999996</v>
      </c>
      <c r="R28" s="480">
        <f t="shared" si="3"/>
        <v>6634266.2231999999</v>
      </c>
      <c r="S28" s="481">
        <f t="shared" si="6"/>
        <v>1</v>
      </c>
      <c r="U28" s="736">
        <v>53205010100000</v>
      </c>
      <c r="V28" s="737" t="s">
        <v>24</v>
      </c>
      <c r="W28" s="738">
        <f>8547932*1.3</f>
        <v>11112311.6</v>
      </c>
    </row>
    <row r="29" spans="1:46" ht="12.75" customHeight="1" x14ac:dyDescent="0.2">
      <c r="A29" s="932"/>
      <c r="B29" s="935"/>
      <c r="C29" s="543"/>
      <c r="D29" s="534"/>
      <c r="E29" s="728"/>
      <c r="F29" s="617"/>
      <c r="G29" s="729">
        <v>0</v>
      </c>
      <c r="H29" s="536">
        <v>0</v>
      </c>
      <c r="I29" s="622">
        <v>0</v>
      </c>
      <c r="J29" s="151">
        <f t="shared" si="5"/>
        <v>0</v>
      </c>
      <c r="K29" s="152">
        <f t="shared" si="0"/>
        <v>0</v>
      </c>
      <c r="L29" s="28"/>
      <c r="M29" s="730">
        <v>0</v>
      </c>
      <c r="N29" s="480">
        <f t="shared" si="1"/>
        <v>0</v>
      </c>
      <c r="O29" s="730">
        <v>0</v>
      </c>
      <c r="P29" s="731">
        <f t="shared" si="2"/>
        <v>0</v>
      </c>
      <c r="Q29" s="732">
        <v>0</v>
      </c>
      <c r="R29" s="480">
        <f t="shared" si="3"/>
        <v>0</v>
      </c>
      <c r="S29" s="481">
        <f t="shared" si="6"/>
        <v>0</v>
      </c>
      <c r="U29" s="736">
        <v>53205020100000</v>
      </c>
      <c r="V29" s="737" t="s">
        <v>25</v>
      </c>
      <c r="W29" s="738">
        <f>802152*1.06</f>
        <v>850281.12</v>
      </c>
    </row>
    <row r="30" spans="1:46" ht="12.75" customHeight="1" x14ac:dyDescent="0.2">
      <c r="A30" s="932"/>
      <c r="B30" s="935"/>
      <c r="C30" s="543"/>
      <c r="D30" s="534"/>
      <c r="E30" s="728"/>
      <c r="F30" s="617"/>
      <c r="G30" s="729">
        <v>0</v>
      </c>
      <c r="H30" s="536">
        <v>0</v>
      </c>
      <c r="I30" s="622">
        <v>0</v>
      </c>
      <c r="J30" s="151">
        <f t="shared" si="5"/>
        <v>0</v>
      </c>
      <c r="K30" s="152">
        <f t="shared" si="0"/>
        <v>0</v>
      </c>
      <c r="L30" s="28"/>
      <c r="M30" s="730">
        <v>0</v>
      </c>
      <c r="N30" s="480">
        <f t="shared" si="1"/>
        <v>0</v>
      </c>
      <c r="O30" s="730">
        <v>0</v>
      </c>
      <c r="P30" s="731">
        <f t="shared" si="2"/>
        <v>0</v>
      </c>
      <c r="Q30" s="732">
        <v>0</v>
      </c>
      <c r="R30" s="480">
        <f t="shared" si="3"/>
        <v>0</v>
      </c>
      <c r="S30" s="481">
        <f t="shared" si="6"/>
        <v>0</v>
      </c>
      <c r="U30" s="736">
        <v>53205030100000</v>
      </c>
      <c r="V30" s="737" t="s">
        <v>26</v>
      </c>
      <c r="W30" s="738">
        <v>2326399</v>
      </c>
    </row>
    <row r="31" spans="1:46" ht="12.75" customHeight="1" x14ac:dyDescent="0.2">
      <c r="A31" s="932"/>
      <c r="B31" s="935"/>
      <c r="C31" s="543"/>
      <c r="D31" s="534"/>
      <c r="E31" s="728"/>
      <c r="F31" s="617"/>
      <c r="G31" s="729">
        <v>0</v>
      </c>
      <c r="H31" s="536">
        <v>0</v>
      </c>
      <c r="I31" s="622">
        <v>0</v>
      </c>
      <c r="J31" s="151">
        <f t="shared" si="5"/>
        <v>0</v>
      </c>
      <c r="K31" s="152">
        <f t="shared" si="0"/>
        <v>0</v>
      </c>
      <c r="L31" s="28"/>
      <c r="M31" s="730">
        <v>0</v>
      </c>
      <c r="N31" s="480">
        <f t="shared" si="1"/>
        <v>0</v>
      </c>
      <c r="O31" s="730">
        <v>0</v>
      </c>
      <c r="P31" s="731">
        <f t="shared" si="2"/>
        <v>0</v>
      </c>
      <c r="Q31" s="732">
        <v>0</v>
      </c>
      <c r="R31" s="480">
        <f t="shared" si="3"/>
        <v>0</v>
      </c>
      <c r="S31" s="481">
        <f t="shared" si="6"/>
        <v>0</v>
      </c>
      <c r="U31" s="736">
        <v>53205050100000</v>
      </c>
      <c r="V31" s="737" t="s">
        <v>27</v>
      </c>
      <c r="W31" s="738">
        <v>0</v>
      </c>
    </row>
    <row r="32" spans="1:46" ht="12.75" customHeight="1" x14ac:dyDescent="0.2">
      <c r="A32" s="932"/>
      <c r="B32" s="935"/>
      <c r="C32" s="543"/>
      <c r="D32" s="534"/>
      <c r="E32" s="728"/>
      <c r="F32" s="617"/>
      <c r="G32" s="729">
        <v>0</v>
      </c>
      <c r="H32" s="536">
        <v>0</v>
      </c>
      <c r="I32" s="622">
        <v>0</v>
      </c>
      <c r="J32" s="151">
        <f t="shared" si="5"/>
        <v>0</v>
      </c>
      <c r="K32" s="152">
        <f t="shared" si="0"/>
        <v>0</v>
      </c>
      <c r="L32" s="28"/>
      <c r="M32" s="730">
        <v>0</v>
      </c>
      <c r="N32" s="480">
        <f t="shared" si="1"/>
        <v>0</v>
      </c>
      <c r="O32" s="730">
        <v>0</v>
      </c>
      <c r="P32" s="731">
        <f t="shared" si="2"/>
        <v>0</v>
      </c>
      <c r="Q32" s="732">
        <v>0</v>
      </c>
      <c r="R32" s="480">
        <f t="shared" si="3"/>
        <v>0</v>
      </c>
      <c r="S32" s="481">
        <f t="shared" si="6"/>
        <v>0</v>
      </c>
      <c r="U32" s="736">
        <v>53205060100000</v>
      </c>
      <c r="V32" s="737" t="s">
        <v>28</v>
      </c>
      <c r="W32" s="738">
        <v>1600000</v>
      </c>
    </row>
    <row r="33" spans="1:23" ht="12.75" customHeight="1" x14ac:dyDescent="0.2">
      <c r="A33" s="932"/>
      <c r="B33" s="935"/>
      <c r="C33" s="543"/>
      <c r="D33" s="534"/>
      <c r="E33" s="728"/>
      <c r="F33" s="617"/>
      <c r="G33" s="729">
        <v>0</v>
      </c>
      <c r="H33" s="536">
        <v>0</v>
      </c>
      <c r="I33" s="622">
        <v>0</v>
      </c>
      <c r="J33" s="151">
        <f t="shared" si="5"/>
        <v>0</v>
      </c>
      <c r="K33" s="152">
        <f t="shared" si="0"/>
        <v>0</v>
      </c>
      <c r="L33" s="28"/>
      <c r="M33" s="730">
        <v>0</v>
      </c>
      <c r="N33" s="480">
        <f t="shared" si="1"/>
        <v>0</v>
      </c>
      <c r="O33" s="730">
        <v>0</v>
      </c>
      <c r="P33" s="731">
        <f t="shared" si="2"/>
        <v>0</v>
      </c>
      <c r="Q33" s="732">
        <v>0</v>
      </c>
      <c r="R33" s="480">
        <f t="shared" si="3"/>
        <v>0</v>
      </c>
      <c r="S33" s="481">
        <f t="shared" si="6"/>
        <v>0</v>
      </c>
      <c r="U33" s="736">
        <v>53205070100000</v>
      </c>
      <c r="V33" s="737" t="s">
        <v>29</v>
      </c>
      <c r="W33" s="738">
        <v>914684</v>
      </c>
    </row>
    <row r="34" spans="1:23" ht="12.75" customHeight="1" thickBot="1" x14ac:dyDescent="0.25">
      <c r="A34" s="932"/>
      <c r="B34" s="936"/>
      <c r="C34" s="128"/>
      <c r="D34" s="218"/>
      <c r="E34" s="768"/>
      <c r="F34" s="769"/>
      <c r="G34" s="770">
        <v>0</v>
      </c>
      <c r="H34" s="220">
        <v>0</v>
      </c>
      <c r="I34" s="771">
        <v>0</v>
      </c>
      <c r="J34" s="153">
        <f t="shared" si="5"/>
        <v>0</v>
      </c>
      <c r="K34" s="772">
        <f t="shared" si="0"/>
        <v>0</v>
      </c>
      <c r="L34" s="28"/>
      <c r="M34" s="773">
        <v>0</v>
      </c>
      <c r="N34" s="774">
        <f t="shared" si="1"/>
        <v>0</v>
      </c>
      <c r="O34" s="773">
        <v>0</v>
      </c>
      <c r="P34" s="740">
        <f t="shared" si="2"/>
        <v>0</v>
      </c>
      <c r="Q34" s="103">
        <v>0</v>
      </c>
      <c r="R34" s="774">
        <f t="shared" si="3"/>
        <v>0</v>
      </c>
      <c r="S34" s="775">
        <f t="shared" si="6"/>
        <v>0</v>
      </c>
      <c r="U34" s="736">
        <v>53208010100000</v>
      </c>
      <c r="V34" s="737" t="s">
        <v>30</v>
      </c>
      <c r="W34" s="738">
        <f>7650003</f>
        <v>7650003</v>
      </c>
    </row>
    <row r="35" spans="1:23" ht="12.75" customHeight="1" x14ac:dyDescent="0.2">
      <c r="A35" s="932"/>
      <c r="B35" s="934" t="s">
        <v>91</v>
      </c>
      <c r="C35" s="542" t="s">
        <v>373</v>
      </c>
      <c r="D35" s="715" t="s">
        <v>374</v>
      </c>
      <c r="E35" s="716" t="s">
        <v>375</v>
      </c>
      <c r="F35" s="717" t="s">
        <v>337</v>
      </c>
      <c r="G35" s="618">
        <f>16634064+260220</f>
        <v>16894284</v>
      </c>
      <c r="H35" s="619">
        <v>165270</v>
      </c>
      <c r="I35" s="620">
        <f>83089*2</f>
        <v>166178</v>
      </c>
      <c r="J35" s="621">
        <f t="shared" si="5"/>
        <v>17225732</v>
      </c>
      <c r="K35" s="718">
        <f t="shared" si="0"/>
        <v>18087018.600000001</v>
      </c>
      <c r="L35" s="28"/>
      <c r="M35" s="719">
        <v>0.215</v>
      </c>
      <c r="N35" s="720">
        <f t="shared" si="1"/>
        <v>3888708.9990000003</v>
      </c>
      <c r="O35" s="719">
        <v>6.0999999999999999E-2</v>
      </c>
      <c r="P35" s="721">
        <f t="shared" si="2"/>
        <v>1103308.1346</v>
      </c>
      <c r="Q35" s="722">
        <v>0.72399999999999998</v>
      </c>
      <c r="R35" s="720">
        <f t="shared" si="3"/>
        <v>13095001.466400001</v>
      </c>
      <c r="S35" s="723">
        <f t="shared" si="6"/>
        <v>1</v>
      </c>
      <c r="U35" s="736">
        <v>53208070100001</v>
      </c>
      <c r="V35" s="737" t="s">
        <v>31</v>
      </c>
      <c r="W35" s="738">
        <v>550000</v>
      </c>
    </row>
    <row r="36" spans="1:23" ht="12.75" customHeight="1" x14ac:dyDescent="0.2">
      <c r="A36" s="932"/>
      <c r="B36" s="935"/>
      <c r="C36" s="543"/>
      <c r="D36" s="534"/>
      <c r="E36" s="728"/>
      <c r="F36" s="617"/>
      <c r="G36" s="729">
        <v>0</v>
      </c>
      <c r="H36" s="536">
        <v>0</v>
      </c>
      <c r="I36" s="622">
        <v>0</v>
      </c>
      <c r="J36" s="151">
        <f t="shared" si="5"/>
        <v>0</v>
      </c>
      <c r="K36" s="152">
        <f t="shared" si="0"/>
        <v>0</v>
      </c>
      <c r="L36" s="28"/>
      <c r="M36" s="730">
        <v>0</v>
      </c>
      <c r="N36" s="480">
        <f t="shared" si="1"/>
        <v>0</v>
      </c>
      <c r="O36" s="730">
        <v>0</v>
      </c>
      <c r="P36" s="731">
        <f t="shared" si="2"/>
        <v>0</v>
      </c>
      <c r="Q36" s="732">
        <v>0</v>
      </c>
      <c r="R36" s="480">
        <f t="shared" si="3"/>
        <v>0</v>
      </c>
      <c r="S36" s="481">
        <f t="shared" si="6"/>
        <v>0</v>
      </c>
      <c r="U36" s="736">
        <v>53208100100001</v>
      </c>
      <c r="V36" s="737" t="s">
        <v>131</v>
      </c>
      <c r="W36" s="738">
        <v>0</v>
      </c>
    </row>
    <row r="37" spans="1:23" ht="12.75" customHeight="1" x14ac:dyDescent="0.2">
      <c r="A37" s="932"/>
      <c r="B37" s="935"/>
      <c r="C37" s="543"/>
      <c r="D37" s="534"/>
      <c r="E37" s="728"/>
      <c r="F37" s="617"/>
      <c r="G37" s="729">
        <v>0</v>
      </c>
      <c r="H37" s="536">
        <v>0</v>
      </c>
      <c r="I37" s="622">
        <v>0</v>
      </c>
      <c r="J37" s="151">
        <f t="shared" si="5"/>
        <v>0</v>
      </c>
      <c r="K37" s="152">
        <f t="shared" si="0"/>
        <v>0</v>
      </c>
      <c r="L37" s="28"/>
      <c r="M37" s="730">
        <v>0</v>
      </c>
      <c r="N37" s="480">
        <f t="shared" si="1"/>
        <v>0</v>
      </c>
      <c r="O37" s="730">
        <v>0</v>
      </c>
      <c r="P37" s="731">
        <f t="shared" si="2"/>
        <v>0</v>
      </c>
      <c r="Q37" s="732">
        <v>0</v>
      </c>
      <c r="R37" s="480">
        <f t="shared" si="3"/>
        <v>0</v>
      </c>
      <c r="S37" s="481">
        <f t="shared" si="6"/>
        <v>0</v>
      </c>
      <c r="U37" s="736">
        <v>53211030000000</v>
      </c>
      <c r="V37" s="737" t="s">
        <v>32</v>
      </c>
      <c r="W37" s="738">
        <v>0</v>
      </c>
    </row>
    <row r="38" spans="1:23" ht="12.75" customHeight="1" x14ac:dyDescent="0.2">
      <c r="A38" s="932"/>
      <c r="B38" s="935"/>
      <c r="C38" s="543"/>
      <c r="D38" s="534"/>
      <c r="E38" s="728"/>
      <c r="F38" s="617"/>
      <c r="G38" s="729">
        <v>0</v>
      </c>
      <c r="H38" s="536">
        <v>0</v>
      </c>
      <c r="I38" s="622">
        <v>0</v>
      </c>
      <c r="J38" s="151">
        <f t="shared" si="5"/>
        <v>0</v>
      </c>
      <c r="K38" s="152">
        <f t="shared" si="0"/>
        <v>0</v>
      </c>
      <c r="L38" s="28"/>
      <c r="M38" s="730">
        <v>0</v>
      </c>
      <c r="N38" s="480">
        <f t="shared" si="1"/>
        <v>0</v>
      </c>
      <c r="O38" s="730">
        <v>0</v>
      </c>
      <c r="P38" s="731">
        <f t="shared" si="2"/>
        <v>0</v>
      </c>
      <c r="Q38" s="732">
        <v>0</v>
      </c>
      <c r="R38" s="480">
        <f t="shared" si="3"/>
        <v>0</v>
      </c>
      <c r="S38" s="481">
        <f t="shared" si="6"/>
        <v>0</v>
      </c>
      <c r="U38" s="736">
        <v>53212020100000</v>
      </c>
      <c r="V38" s="737" t="s">
        <v>98</v>
      </c>
      <c r="W38" s="738">
        <v>11839477</v>
      </c>
    </row>
    <row r="39" spans="1:23" ht="12.75" customHeight="1" thickBot="1" x14ac:dyDescent="0.25">
      <c r="A39" s="932"/>
      <c r="B39" s="936"/>
      <c r="C39" s="128"/>
      <c r="D39" s="218"/>
      <c r="E39" s="768"/>
      <c r="F39" s="769"/>
      <c r="G39" s="770">
        <v>0</v>
      </c>
      <c r="H39" s="220">
        <v>0</v>
      </c>
      <c r="I39" s="771">
        <v>0</v>
      </c>
      <c r="J39" s="153">
        <f t="shared" si="5"/>
        <v>0</v>
      </c>
      <c r="K39" s="772">
        <f t="shared" si="0"/>
        <v>0</v>
      </c>
      <c r="L39" s="28"/>
      <c r="M39" s="773">
        <v>0</v>
      </c>
      <c r="N39" s="774">
        <f t="shared" si="1"/>
        <v>0</v>
      </c>
      <c r="O39" s="773">
        <v>0</v>
      </c>
      <c r="P39" s="740">
        <f t="shared" si="2"/>
        <v>0</v>
      </c>
      <c r="Q39" s="103">
        <v>0</v>
      </c>
      <c r="R39" s="774">
        <f t="shared" si="3"/>
        <v>0</v>
      </c>
      <c r="S39" s="775">
        <f t="shared" si="6"/>
        <v>0</v>
      </c>
      <c r="U39" s="736">
        <v>53214020000000</v>
      </c>
      <c r="V39" s="737" t="s">
        <v>33</v>
      </c>
      <c r="W39" s="738">
        <v>0</v>
      </c>
    </row>
    <row r="40" spans="1:23" ht="12.75" customHeight="1" x14ac:dyDescent="0.2">
      <c r="A40" s="932"/>
      <c r="B40" s="937" t="s">
        <v>119</v>
      </c>
      <c r="C40" s="741" t="s">
        <v>376</v>
      </c>
      <c r="D40" s="742" t="s">
        <v>377</v>
      </c>
      <c r="E40" s="743" t="s">
        <v>360</v>
      </c>
      <c r="F40" s="744" t="s">
        <v>337</v>
      </c>
      <c r="G40" s="618">
        <f>9676788</f>
        <v>9676788</v>
      </c>
      <c r="H40" s="619">
        <v>330900</v>
      </c>
      <c r="I40" s="620">
        <f>83089*2</f>
        <v>166178</v>
      </c>
      <c r="J40" s="623">
        <f t="shared" ref="J40:J61" si="7">SUM(G40:I40)</f>
        <v>10173866</v>
      </c>
      <c r="K40" s="745">
        <f t="shared" si="0"/>
        <v>10682559.300000001</v>
      </c>
      <c r="L40" s="28"/>
      <c r="M40" s="719">
        <v>0.35</v>
      </c>
      <c r="N40" s="720">
        <f t="shared" si="1"/>
        <v>3738895.7549999999</v>
      </c>
      <c r="O40" s="719">
        <v>0.1</v>
      </c>
      <c r="P40" s="721">
        <f t="shared" si="2"/>
        <v>1068255.9300000002</v>
      </c>
      <c r="Q40" s="722">
        <v>0.55000000000000004</v>
      </c>
      <c r="R40" s="720">
        <f t="shared" si="3"/>
        <v>5875407.6150000012</v>
      </c>
      <c r="S40" s="723">
        <f t="shared" si="6"/>
        <v>1</v>
      </c>
      <c r="U40" s="724"/>
      <c r="V40" s="725" t="s">
        <v>34</v>
      </c>
      <c r="W40" s="726">
        <f>SUM(W41,W46,W49,W60,W70,W78)</f>
        <v>35930737</v>
      </c>
    </row>
    <row r="41" spans="1:23" ht="12.75" customHeight="1" x14ac:dyDescent="0.2">
      <c r="A41" s="932"/>
      <c r="B41" s="938"/>
      <c r="C41" s="746" t="s">
        <v>378</v>
      </c>
      <c r="D41" s="747" t="s">
        <v>379</v>
      </c>
      <c r="E41" s="748" t="s">
        <v>380</v>
      </c>
      <c r="F41" s="749" t="s">
        <v>337</v>
      </c>
      <c r="G41" s="729">
        <f>27697284</f>
        <v>27697284</v>
      </c>
      <c r="H41" s="536">
        <v>165270</v>
      </c>
      <c r="I41" s="622">
        <f>80197*2</f>
        <v>160394</v>
      </c>
      <c r="J41" s="624">
        <f t="shared" ref="J41:J48" si="8">SUM(G41:I41)</f>
        <v>28022948</v>
      </c>
      <c r="K41" s="750">
        <f t="shared" si="0"/>
        <v>29424095.400000002</v>
      </c>
      <c r="L41" s="28"/>
      <c r="M41" s="730">
        <v>0.25</v>
      </c>
      <c r="N41" s="480">
        <f t="shared" si="1"/>
        <v>7356023.8500000006</v>
      </c>
      <c r="O41" s="730">
        <v>4.4999999999999998E-2</v>
      </c>
      <c r="P41" s="731">
        <f t="shared" si="2"/>
        <v>1324084.2930000001</v>
      </c>
      <c r="Q41" s="732">
        <v>0.70499999999999996</v>
      </c>
      <c r="R41" s="480">
        <f t="shared" si="3"/>
        <v>20743987.256999999</v>
      </c>
      <c r="S41" s="481">
        <f t="shared" si="6"/>
        <v>1</v>
      </c>
      <c r="U41" s="733"/>
      <c r="V41" s="734" t="s">
        <v>35</v>
      </c>
      <c r="W41" s="735">
        <f>SUM(W42:W45)</f>
        <v>440100</v>
      </c>
    </row>
    <row r="42" spans="1:23" ht="12.75" customHeight="1" x14ac:dyDescent="0.2">
      <c r="A42" s="932"/>
      <c r="B42" s="938"/>
      <c r="C42" s="746" t="s">
        <v>381</v>
      </c>
      <c r="D42" s="747" t="s">
        <v>382</v>
      </c>
      <c r="E42" s="748" t="s">
        <v>383</v>
      </c>
      <c r="F42" s="749" t="s">
        <v>337</v>
      </c>
      <c r="G42" s="729">
        <f>21942276+919860</f>
        <v>22862136</v>
      </c>
      <c r="H42" s="536">
        <v>165270</v>
      </c>
      <c r="I42" s="622">
        <f>80197*2</f>
        <v>160394</v>
      </c>
      <c r="J42" s="624">
        <f t="shared" si="8"/>
        <v>23187800</v>
      </c>
      <c r="K42" s="750">
        <f t="shared" si="0"/>
        <v>24347190</v>
      </c>
      <c r="L42" s="28"/>
      <c r="M42" s="730">
        <v>0.218</v>
      </c>
      <c r="N42" s="480">
        <f t="shared" si="1"/>
        <v>5307687.42</v>
      </c>
      <c r="O42" s="730">
        <v>0.04</v>
      </c>
      <c r="P42" s="731">
        <f t="shared" si="2"/>
        <v>973887.6</v>
      </c>
      <c r="Q42" s="732">
        <v>0.74199999999999999</v>
      </c>
      <c r="R42" s="480">
        <f t="shared" si="3"/>
        <v>18065614.98</v>
      </c>
      <c r="S42" s="481">
        <f t="shared" si="6"/>
        <v>1</v>
      </c>
      <c r="U42" s="736">
        <v>53202020100000</v>
      </c>
      <c r="V42" s="737" t="s">
        <v>39</v>
      </c>
      <c r="W42" s="738">
        <v>0</v>
      </c>
    </row>
    <row r="43" spans="1:23" ht="12.75" customHeight="1" x14ac:dyDescent="0.2">
      <c r="A43" s="932"/>
      <c r="B43" s="938"/>
      <c r="C43" s="746" t="s">
        <v>384</v>
      </c>
      <c r="D43" s="747" t="s">
        <v>385</v>
      </c>
      <c r="E43" s="748" t="s">
        <v>386</v>
      </c>
      <c r="F43" s="749" t="s">
        <v>337</v>
      </c>
      <c r="G43" s="729">
        <f>11348052+271644</f>
        <v>11619696</v>
      </c>
      <c r="H43" s="536">
        <v>330900</v>
      </c>
      <c r="I43" s="622">
        <f>83089*2</f>
        <v>166178</v>
      </c>
      <c r="J43" s="624">
        <f t="shared" si="8"/>
        <v>12116774</v>
      </c>
      <c r="K43" s="750">
        <f t="shared" si="0"/>
        <v>12722612.700000001</v>
      </c>
      <c r="L43" s="28"/>
      <c r="M43" s="730">
        <v>0</v>
      </c>
      <c r="N43" s="480">
        <f t="shared" si="1"/>
        <v>0</v>
      </c>
      <c r="O43" s="730">
        <v>0</v>
      </c>
      <c r="P43" s="731">
        <f t="shared" si="2"/>
        <v>0</v>
      </c>
      <c r="Q43" s="732">
        <v>1</v>
      </c>
      <c r="R43" s="480">
        <f t="shared" si="3"/>
        <v>12722612.700000001</v>
      </c>
      <c r="S43" s="481">
        <f t="shared" si="6"/>
        <v>1</v>
      </c>
      <c r="U43" s="736">
        <v>53202030000000</v>
      </c>
      <c r="V43" s="737" t="s">
        <v>40</v>
      </c>
      <c r="W43" s="738">
        <v>0</v>
      </c>
    </row>
    <row r="44" spans="1:23" ht="12.75" customHeight="1" x14ac:dyDescent="0.2">
      <c r="A44" s="932"/>
      <c r="B44" s="938"/>
      <c r="C44" s="746" t="s">
        <v>387</v>
      </c>
      <c r="D44" s="747" t="s">
        <v>388</v>
      </c>
      <c r="E44" s="748" t="s">
        <v>389</v>
      </c>
      <c r="F44" s="749" t="s">
        <v>337</v>
      </c>
      <c r="G44" s="729">
        <f>15013572+840528</f>
        <v>15854100</v>
      </c>
      <c r="H44" s="536">
        <v>165270</v>
      </c>
      <c r="I44" s="622">
        <f>80197*2</f>
        <v>160394</v>
      </c>
      <c r="J44" s="624">
        <f t="shared" si="8"/>
        <v>16179764</v>
      </c>
      <c r="K44" s="750">
        <f t="shared" si="0"/>
        <v>16988752.199999999</v>
      </c>
      <c r="L44" s="28"/>
      <c r="M44" s="730">
        <v>0.32800000000000001</v>
      </c>
      <c r="N44" s="480">
        <f t="shared" si="1"/>
        <v>5572310.7215999998</v>
      </c>
      <c r="O44" s="730">
        <v>9.9000000000000005E-2</v>
      </c>
      <c r="P44" s="731">
        <f t="shared" si="2"/>
        <v>1681886.4678</v>
      </c>
      <c r="Q44" s="732">
        <v>0.57299999999999995</v>
      </c>
      <c r="R44" s="480">
        <f t="shared" si="3"/>
        <v>9734555.0105999988</v>
      </c>
      <c r="S44" s="481">
        <f t="shared" si="6"/>
        <v>1</v>
      </c>
      <c r="U44" s="736">
        <v>53211020000000</v>
      </c>
      <c r="V44" s="737" t="s">
        <v>41</v>
      </c>
      <c r="W44" s="738">
        <v>0</v>
      </c>
    </row>
    <row r="45" spans="1:23" ht="12.75" customHeight="1" x14ac:dyDescent="0.2">
      <c r="A45" s="932"/>
      <c r="B45" s="938"/>
      <c r="C45" s="746"/>
      <c r="D45" s="747"/>
      <c r="E45" s="748"/>
      <c r="F45" s="749"/>
      <c r="G45" s="729">
        <v>0</v>
      </c>
      <c r="H45" s="536">
        <v>0</v>
      </c>
      <c r="I45" s="622">
        <v>0</v>
      </c>
      <c r="J45" s="624">
        <f t="shared" si="8"/>
        <v>0</v>
      </c>
      <c r="K45" s="750">
        <f t="shared" si="0"/>
        <v>0</v>
      </c>
      <c r="L45" s="28"/>
      <c r="M45" s="730">
        <v>0</v>
      </c>
      <c r="N45" s="480">
        <f t="shared" si="1"/>
        <v>0</v>
      </c>
      <c r="O45" s="730">
        <v>0</v>
      </c>
      <c r="P45" s="731">
        <f t="shared" si="2"/>
        <v>0</v>
      </c>
      <c r="Q45" s="732">
        <v>0</v>
      </c>
      <c r="R45" s="480">
        <f t="shared" si="3"/>
        <v>0</v>
      </c>
      <c r="S45" s="481">
        <f t="shared" si="6"/>
        <v>0</v>
      </c>
      <c r="U45" s="736">
        <v>53101004030000</v>
      </c>
      <c r="V45" s="737" t="s">
        <v>38</v>
      </c>
      <c r="W45" s="738">
        <v>440100</v>
      </c>
    </row>
    <row r="46" spans="1:23" ht="12.75" customHeight="1" x14ac:dyDescent="0.2">
      <c r="A46" s="932"/>
      <c r="B46" s="938"/>
      <c r="C46" s="746"/>
      <c r="D46" s="747"/>
      <c r="E46" s="748"/>
      <c r="F46" s="749"/>
      <c r="G46" s="729">
        <v>0</v>
      </c>
      <c r="H46" s="536">
        <v>0</v>
      </c>
      <c r="I46" s="622">
        <v>0</v>
      </c>
      <c r="J46" s="624">
        <f t="shared" si="8"/>
        <v>0</v>
      </c>
      <c r="K46" s="750">
        <f t="shared" si="0"/>
        <v>0</v>
      </c>
      <c r="L46" s="28"/>
      <c r="M46" s="730">
        <v>0</v>
      </c>
      <c r="N46" s="480">
        <f t="shared" si="1"/>
        <v>0</v>
      </c>
      <c r="O46" s="730">
        <v>0</v>
      </c>
      <c r="P46" s="731">
        <f t="shared" si="2"/>
        <v>0</v>
      </c>
      <c r="Q46" s="732">
        <v>0</v>
      </c>
      <c r="R46" s="480">
        <f t="shared" si="3"/>
        <v>0</v>
      </c>
      <c r="S46" s="481">
        <f t="shared" si="6"/>
        <v>0</v>
      </c>
      <c r="U46" s="733"/>
      <c r="V46" s="734" t="s">
        <v>42</v>
      </c>
      <c r="W46" s="735">
        <f>SUM(W47:W48)</f>
        <v>0</v>
      </c>
    </row>
    <row r="47" spans="1:23" ht="12.75" customHeight="1" x14ac:dyDescent="0.2">
      <c r="A47" s="932"/>
      <c r="B47" s="938"/>
      <c r="C47" s="746"/>
      <c r="D47" s="747"/>
      <c r="E47" s="748"/>
      <c r="F47" s="749"/>
      <c r="G47" s="729">
        <v>0</v>
      </c>
      <c r="H47" s="536">
        <v>0</v>
      </c>
      <c r="I47" s="622">
        <v>0</v>
      </c>
      <c r="J47" s="624">
        <f t="shared" si="8"/>
        <v>0</v>
      </c>
      <c r="K47" s="750">
        <f t="shared" si="0"/>
        <v>0</v>
      </c>
      <c r="L47" s="28"/>
      <c r="M47" s="730">
        <v>0</v>
      </c>
      <c r="N47" s="480">
        <f t="shared" si="1"/>
        <v>0</v>
      </c>
      <c r="O47" s="730">
        <v>0</v>
      </c>
      <c r="P47" s="731">
        <f t="shared" si="2"/>
        <v>0</v>
      </c>
      <c r="Q47" s="732">
        <v>0</v>
      </c>
      <c r="R47" s="480">
        <f t="shared" si="3"/>
        <v>0</v>
      </c>
      <c r="S47" s="481">
        <f t="shared" si="6"/>
        <v>0</v>
      </c>
      <c r="U47" s="736">
        <v>53205080000000</v>
      </c>
      <c r="V47" s="737" t="s">
        <v>43</v>
      </c>
      <c r="W47" s="738">
        <v>0</v>
      </c>
    </row>
    <row r="48" spans="1:23" ht="12.75" customHeight="1" x14ac:dyDescent="0.2">
      <c r="A48" s="932"/>
      <c r="B48" s="938"/>
      <c r="C48" s="746"/>
      <c r="D48" s="747"/>
      <c r="E48" s="748"/>
      <c r="F48" s="749"/>
      <c r="G48" s="729">
        <v>0</v>
      </c>
      <c r="H48" s="536">
        <v>0</v>
      </c>
      <c r="I48" s="622">
        <v>0</v>
      </c>
      <c r="J48" s="624">
        <f t="shared" si="8"/>
        <v>0</v>
      </c>
      <c r="K48" s="750">
        <f t="shared" si="0"/>
        <v>0</v>
      </c>
      <c r="L48" s="28"/>
      <c r="M48" s="730">
        <v>0</v>
      </c>
      <c r="N48" s="480">
        <f t="shared" si="1"/>
        <v>0</v>
      </c>
      <c r="O48" s="730">
        <v>0</v>
      </c>
      <c r="P48" s="731">
        <f t="shared" si="2"/>
        <v>0</v>
      </c>
      <c r="Q48" s="732">
        <v>0</v>
      </c>
      <c r="R48" s="480">
        <f t="shared" si="3"/>
        <v>0</v>
      </c>
      <c r="S48" s="481">
        <f t="shared" si="6"/>
        <v>0</v>
      </c>
      <c r="U48" s="736">
        <v>53205990000000</v>
      </c>
      <c r="V48" s="737" t="s">
        <v>44</v>
      </c>
      <c r="W48" s="738">
        <v>0</v>
      </c>
    </row>
    <row r="49" spans="1:23" ht="12.75" customHeight="1" x14ac:dyDescent="0.2">
      <c r="A49" s="932"/>
      <c r="B49" s="938"/>
      <c r="C49" s="746"/>
      <c r="D49" s="747"/>
      <c r="E49" s="748"/>
      <c r="F49" s="749"/>
      <c r="G49" s="729">
        <v>0</v>
      </c>
      <c r="H49" s="536">
        <v>0</v>
      </c>
      <c r="I49" s="622">
        <v>0</v>
      </c>
      <c r="J49" s="624">
        <f t="shared" si="7"/>
        <v>0</v>
      </c>
      <c r="K49" s="750">
        <f t="shared" si="0"/>
        <v>0</v>
      </c>
      <c r="L49" s="28"/>
      <c r="M49" s="730">
        <v>0</v>
      </c>
      <c r="N49" s="480">
        <f t="shared" si="1"/>
        <v>0</v>
      </c>
      <c r="O49" s="730">
        <v>0</v>
      </c>
      <c r="P49" s="731">
        <f t="shared" si="2"/>
        <v>0</v>
      </c>
      <c r="Q49" s="732">
        <v>0</v>
      </c>
      <c r="R49" s="480">
        <f t="shared" si="3"/>
        <v>0</v>
      </c>
      <c r="S49" s="481">
        <f t="shared" si="6"/>
        <v>0</v>
      </c>
      <c r="U49" s="733"/>
      <c r="V49" s="734" t="s">
        <v>45</v>
      </c>
      <c r="W49" s="735">
        <f>SUM(W50:W59)</f>
        <v>9306710</v>
      </c>
    </row>
    <row r="50" spans="1:23" ht="12.75" customHeight="1" x14ac:dyDescent="0.2">
      <c r="A50" s="932"/>
      <c r="B50" s="938"/>
      <c r="C50" s="746"/>
      <c r="D50" s="747"/>
      <c r="E50" s="748"/>
      <c r="F50" s="749"/>
      <c r="G50" s="729">
        <v>0</v>
      </c>
      <c r="H50" s="536">
        <v>0</v>
      </c>
      <c r="I50" s="622">
        <v>0</v>
      </c>
      <c r="J50" s="624">
        <f t="shared" ref="J50:J53" si="9">SUM(G50:I50)</f>
        <v>0</v>
      </c>
      <c r="K50" s="750">
        <f t="shared" si="0"/>
        <v>0</v>
      </c>
      <c r="L50" s="28"/>
      <c r="M50" s="730">
        <v>0</v>
      </c>
      <c r="N50" s="480">
        <f t="shared" si="1"/>
        <v>0</v>
      </c>
      <c r="O50" s="730">
        <v>0</v>
      </c>
      <c r="P50" s="731">
        <f t="shared" si="2"/>
        <v>0</v>
      </c>
      <c r="Q50" s="732">
        <v>0</v>
      </c>
      <c r="R50" s="480">
        <f t="shared" si="3"/>
        <v>0</v>
      </c>
      <c r="S50" s="481">
        <f t="shared" si="6"/>
        <v>0</v>
      </c>
      <c r="U50" s="736">
        <v>53203010200000</v>
      </c>
      <c r="V50" s="737" t="s">
        <v>46</v>
      </c>
      <c r="W50" s="738">
        <v>0</v>
      </c>
    </row>
    <row r="51" spans="1:23" ht="12.75" customHeight="1" x14ac:dyDescent="0.2">
      <c r="A51" s="932"/>
      <c r="B51" s="938"/>
      <c r="C51" s="746"/>
      <c r="D51" s="747"/>
      <c r="E51" s="748"/>
      <c r="F51" s="749"/>
      <c r="G51" s="729">
        <v>0</v>
      </c>
      <c r="H51" s="536">
        <v>0</v>
      </c>
      <c r="I51" s="622">
        <v>0</v>
      </c>
      <c r="J51" s="624">
        <f t="shared" si="9"/>
        <v>0</v>
      </c>
      <c r="K51" s="750">
        <f t="shared" si="0"/>
        <v>0</v>
      </c>
      <c r="L51" s="28"/>
      <c r="M51" s="730">
        <v>0</v>
      </c>
      <c r="N51" s="480">
        <f t="shared" si="1"/>
        <v>0</v>
      </c>
      <c r="O51" s="730">
        <v>0</v>
      </c>
      <c r="P51" s="731">
        <f t="shared" si="2"/>
        <v>0</v>
      </c>
      <c r="Q51" s="732">
        <v>0</v>
      </c>
      <c r="R51" s="480">
        <f t="shared" si="3"/>
        <v>0</v>
      </c>
      <c r="S51" s="481">
        <f t="shared" si="6"/>
        <v>0</v>
      </c>
      <c r="U51" s="736">
        <v>53204010000000</v>
      </c>
      <c r="V51" s="737" t="s">
        <v>47</v>
      </c>
      <c r="W51" s="738">
        <v>3053588</v>
      </c>
    </row>
    <row r="52" spans="1:23" ht="12.75" customHeight="1" x14ac:dyDescent="0.2">
      <c r="A52" s="932"/>
      <c r="B52" s="938"/>
      <c r="C52" s="746"/>
      <c r="D52" s="747"/>
      <c r="E52" s="748"/>
      <c r="F52" s="749"/>
      <c r="G52" s="729">
        <v>0</v>
      </c>
      <c r="H52" s="536">
        <v>0</v>
      </c>
      <c r="I52" s="622">
        <v>0</v>
      </c>
      <c r="J52" s="624">
        <f t="shared" si="9"/>
        <v>0</v>
      </c>
      <c r="K52" s="750">
        <f t="shared" si="0"/>
        <v>0</v>
      </c>
      <c r="L52" s="28"/>
      <c r="M52" s="730">
        <v>0</v>
      </c>
      <c r="N52" s="480">
        <f t="shared" si="1"/>
        <v>0</v>
      </c>
      <c r="O52" s="730">
        <v>0</v>
      </c>
      <c r="P52" s="731">
        <f t="shared" si="2"/>
        <v>0</v>
      </c>
      <c r="Q52" s="732">
        <v>0</v>
      </c>
      <c r="R52" s="480">
        <f t="shared" si="3"/>
        <v>0</v>
      </c>
      <c r="S52" s="481">
        <f t="shared" si="6"/>
        <v>0</v>
      </c>
      <c r="U52" s="736">
        <v>53204040200000</v>
      </c>
      <c r="V52" s="737" t="s">
        <v>48</v>
      </c>
      <c r="W52" s="738">
        <v>0</v>
      </c>
    </row>
    <row r="53" spans="1:23" ht="12.75" customHeight="1" x14ac:dyDescent="0.2">
      <c r="A53" s="932"/>
      <c r="B53" s="938"/>
      <c r="C53" s="746"/>
      <c r="D53" s="747"/>
      <c r="E53" s="748"/>
      <c r="F53" s="749"/>
      <c r="G53" s="729">
        <v>0</v>
      </c>
      <c r="H53" s="536">
        <v>0</v>
      </c>
      <c r="I53" s="622">
        <v>0</v>
      </c>
      <c r="J53" s="624">
        <f t="shared" si="9"/>
        <v>0</v>
      </c>
      <c r="K53" s="750">
        <f t="shared" si="0"/>
        <v>0</v>
      </c>
      <c r="L53" s="28"/>
      <c r="M53" s="730">
        <v>0</v>
      </c>
      <c r="N53" s="480">
        <f t="shared" si="1"/>
        <v>0</v>
      </c>
      <c r="O53" s="730">
        <v>0</v>
      </c>
      <c r="P53" s="731">
        <f t="shared" si="2"/>
        <v>0</v>
      </c>
      <c r="Q53" s="732">
        <v>0</v>
      </c>
      <c r="R53" s="480">
        <f t="shared" si="3"/>
        <v>0</v>
      </c>
      <c r="S53" s="481">
        <f t="shared" si="6"/>
        <v>0</v>
      </c>
      <c r="U53" s="736">
        <v>53204060000000</v>
      </c>
      <c r="V53" s="737" t="s">
        <v>49</v>
      </c>
      <c r="W53" s="738">
        <v>0</v>
      </c>
    </row>
    <row r="54" spans="1:23" ht="12.75" customHeight="1" x14ac:dyDescent="0.2">
      <c r="A54" s="932"/>
      <c r="B54" s="938"/>
      <c r="C54" s="746"/>
      <c r="D54" s="747"/>
      <c r="E54" s="748"/>
      <c r="F54" s="749"/>
      <c r="G54" s="729">
        <v>0</v>
      </c>
      <c r="H54" s="536">
        <v>0</v>
      </c>
      <c r="I54" s="622">
        <v>0</v>
      </c>
      <c r="J54" s="624">
        <f t="shared" si="7"/>
        <v>0</v>
      </c>
      <c r="K54" s="750">
        <f t="shared" si="0"/>
        <v>0</v>
      </c>
      <c r="L54" s="28"/>
      <c r="M54" s="730">
        <v>0</v>
      </c>
      <c r="N54" s="480">
        <f t="shared" si="1"/>
        <v>0</v>
      </c>
      <c r="O54" s="730">
        <v>0</v>
      </c>
      <c r="P54" s="731">
        <f t="shared" si="2"/>
        <v>0</v>
      </c>
      <c r="Q54" s="732">
        <v>0</v>
      </c>
      <c r="R54" s="480">
        <f t="shared" si="3"/>
        <v>0</v>
      </c>
      <c r="S54" s="481">
        <f t="shared" si="6"/>
        <v>0</v>
      </c>
      <c r="U54" s="736">
        <v>53204070000000</v>
      </c>
      <c r="V54" s="737" t="s">
        <v>50</v>
      </c>
      <c r="W54" s="738">
        <v>3753122</v>
      </c>
    </row>
    <row r="55" spans="1:23" ht="12.75" customHeight="1" x14ac:dyDescent="0.2">
      <c r="A55" s="932"/>
      <c r="B55" s="938"/>
      <c r="C55" s="746"/>
      <c r="D55" s="747"/>
      <c r="E55" s="748"/>
      <c r="F55" s="749"/>
      <c r="G55" s="729">
        <v>0</v>
      </c>
      <c r="H55" s="536">
        <v>0</v>
      </c>
      <c r="I55" s="622">
        <v>0</v>
      </c>
      <c r="J55" s="624">
        <f t="shared" si="7"/>
        <v>0</v>
      </c>
      <c r="K55" s="750">
        <f t="shared" si="0"/>
        <v>0</v>
      </c>
      <c r="L55" s="28"/>
      <c r="M55" s="730">
        <v>0</v>
      </c>
      <c r="N55" s="480">
        <f t="shared" si="1"/>
        <v>0</v>
      </c>
      <c r="O55" s="730">
        <v>0</v>
      </c>
      <c r="P55" s="731">
        <f t="shared" si="2"/>
        <v>0</v>
      </c>
      <c r="Q55" s="732">
        <v>0</v>
      </c>
      <c r="R55" s="480">
        <f t="shared" si="3"/>
        <v>0</v>
      </c>
      <c r="S55" s="481">
        <f t="shared" si="6"/>
        <v>0</v>
      </c>
      <c r="U55" s="736">
        <v>53204080000000</v>
      </c>
      <c r="V55" s="737" t="s">
        <v>51</v>
      </c>
      <c r="W55" s="738">
        <v>2500000</v>
      </c>
    </row>
    <row r="56" spans="1:23" ht="12.75" customHeight="1" x14ac:dyDescent="0.2">
      <c r="A56" s="932"/>
      <c r="B56" s="938"/>
      <c r="C56" s="746"/>
      <c r="D56" s="747"/>
      <c r="E56" s="748"/>
      <c r="F56" s="749"/>
      <c r="G56" s="729">
        <v>0</v>
      </c>
      <c r="H56" s="536">
        <v>0</v>
      </c>
      <c r="I56" s="622">
        <v>0</v>
      </c>
      <c r="J56" s="624">
        <f t="shared" si="7"/>
        <v>0</v>
      </c>
      <c r="K56" s="750">
        <f t="shared" si="0"/>
        <v>0</v>
      </c>
      <c r="L56" s="28"/>
      <c r="M56" s="730">
        <v>0</v>
      </c>
      <c r="N56" s="480">
        <f t="shared" si="1"/>
        <v>0</v>
      </c>
      <c r="O56" s="730">
        <v>0</v>
      </c>
      <c r="P56" s="731">
        <f t="shared" si="2"/>
        <v>0</v>
      </c>
      <c r="Q56" s="732">
        <v>0</v>
      </c>
      <c r="R56" s="480">
        <f t="shared" si="3"/>
        <v>0</v>
      </c>
      <c r="S56" s="481">
        <f t="shared" si="6"/>
        <v>0</v>
      </c>
      <c r="U56" s="736">
        <v>53214010000000</v>
      </c>
      <c r="V56" s="737" t="s">
        <v>52</v>
      </c>
      <c r="W56" s="738">
        <v>0</v>
      </c>
    </row>
    <row r="57" spans="1:23" ht="12.75" customHeight="1" x14ac:dyDescent="0.2">
      <c r="A57" s="932"/>
      <c r="B57" s="938"/>
      <c r="C57" s="746"/>
      <c r="D57" s="747"/>
      <c r="E57" s="748"/>
      <c r="F57" s="749"/>
      <c r="G57" s="729">
        <v>0</v>
      </c>
      <c r="H57" s="536">
        <v>0</v>
      </c>
      <c r="I57" s="622">
        <v>0</v>
      </c>
      <c r="J57" s="624">
        <f t="shared" si="7"/>
        <v>0</v>
      </c>
      <c r="K57" s="750">
        <f t="shared" si="0"/>
        <v>0</v>
      </c>
      <c r="L57" s="28"/>
      <c r="M57" s="730">
        <v>0</v>
      </c>
      <c r="N57" s="480">
        <f t="shared" si="1"/>
        <v>0</v>
      </c>
      <c r="O57" s="730">
        <v>0</v>
      </c>
      <c r="P57" s="731">
        <f t="shared" si="2"/>
        <v>0</v>
      </c>
      <c r="Q57" s="732">
        <v>0</v>
      </c>
      <c r="R57" s="480">
        <f t="shared" si="3"/>
        <v>0</v>
      </c>
      <c r="S57" s="481">
        <f t="shared" si="6"/>
        <v>0</v>
      </c>
      <c r="U57" s="736">
        <v>53214040000000</v>
      </c>
      <c r="V57" s="737" t="s">
        <v>132</v>
      </c>
      <c r="W57" s="738">
        <v>0</v>
      </c>
    </row>
    <row r="58" spans="1:23" ht="12.75" customHeight="1" x14ac:dyDescent="0.2">
      <c r="A58" s="932"/>
      <c r="B58" s="938"/>
      <c r="C58" s="746"/>
      <c r="D58" s="747"/>
      <c r="E58" s="748"/>
      <c r="F58" s="749"/>
      <c r="G58" s="729">
        <v>0</v>
      </c>
      <c r="H58" s="536">
        <v>0</v>
      </c>
      <c r="I58" s="622">
        <v>0</v>
      </c>
      <c r="J58" s="624">
        <f t="shared" si="7"/>
        <v>0</v>
      </c>
      <c r="K58" s="750">
        <f t="shared" si="0"/>
        <v>0</v>
      </c>
      <c r="L58" s="28"/>
      <c r="M58" s="730">
        <v>0</v>
      </c>
      <c r="N58" s="480">
        <f t="shared" si="1"/>
        <v>0</v>
      </c>
      <c r="O58" s="730">
        <v>0</v>
      </c>
      <c r="P58" s="731">
        <f t="shared" si="2"/>
        <v>0</v>
      </c>
      <c r="Q58" s="732">
        <v>0</v>
      </c>
      <c r="R58" s="480">
        <f t="shared" si="3"/>
        <v>0</v>
      </c>
      <c r="S58" s="481">
        <f t="shared" si="6"/>
        <v>0</v>
      </c>
      <c r="U58" s="736">
        <v>55201010100004</v>
      </c>
      <c r="V58" s="737" t="s">
        <v>53</v>
      </c>
      <c r="W58" s="738">
        <v>0</v>
      </c>
    </row>
    <row r="59" spans="1:23" ht="12.75" customHeight="1" x14ac:dyDescent="0.2">
      <c r="A59" s="932"/>
      <c r="B59" s="938"/>
      <c r="C59" s="746"/>
      <c r="D59" s="747"/>
      <c r="E59" s="748"/>
      <c r="F59" s="749"/>
      <c r="G59" s="729">
        <v>0</v>
      </c>
      <c r="H59" s="536">
        <v>0</v>
      </c>
      <c r="I59" s="622">
        <v>0</v>
      </c>
      <c r="J59" s="624">
        <f t="shared" si="7"/>
        <v>0</v>
      </c>
      <c r="K59" s="750">
        <f t="shared" si="0"/>
        <v>0</v>
      </c>
      <c r="L59" s="28"/>
      <c r="M59" s="730">
        <v>0</v>
      </c>
      <c r="N59" s="480">
        <f t="shared" si="1"/>
        <v>0</v>
      </c>
      <c r="O59" s="730">
        <v>0</v>
      </c>
      <c r="P59" s="731">
        <f t="shared" si="2"/>
        <v>0</v>
      </c>
      <c r="Q59" s="732">
        <v>0</v>
      </c>
      <c r="R59" s="480">
        <f t="shared" si="3"/>
        <v>0</v>
      </c>
      <c r="S59" s="481">
        <f t="shared" si="6"/>
        <v>0</v>
      </c>
      <c r="U59" s="736">
        <v>55201010100005</v>
      </c>
      <c r="V59" s="737" t="s">
        <v>54</v>
      </c>
      <c r="W59" s="738">
        <v>0</v>
      </c>
    </row>
    <row r="60" spans="1:23" ht="12.75" customHeight="1" x14ac:dyDescent="0.2">
      <c r="A60" s="932"/>
      <c r="B60" s="938"/>
      <c r="C60" s="746"/>
      <c r="D60" s="747"/>
      <c r="E60" s="748"/>
      <c r="F60" s="749"/>
      <c r="G60" s="729">
        <v>0</v>
      </c>
      <c r="H60" s="536">
        <v>0</v>
      </c>
      <c r="I60" s="622">
        <v>0</v>
      </c>
      <c r="J60" s="624">
        <f t="shared" si="7"/>
        <v>0</v>
      </c>
      <c r="K60" s="750">
        <f t="shared" si="0"/>
        <v>0</v>
      </c>
      <c r="L60" s="28"/>
      <c r="M60" s="730">
        <v>0</v>
      </c>
      <c r="N60" s="480">
        <f t="shared" si="1"/>
        <v>0</v>
      </c>
      <c r="O60" s="730">
        <v>0</v>
      </c>
      <c r="P60" s="731">
        <f t="shared" si="2"/>
        <v>0</v>
      </c>
      <c r="Q60" s="732">
        <v>0</v>
      </c>
      <c r="R60" s="480">
        <f t="shared" si="3"/>
        <v>0</v>
      </c>
      <c r="S60" s="481">
        <f t="shared" si="6"/>
        <v>0</v>
      </c>
      <c r="U60" s="733"/>
      <c r="V60" s="734" t="s">
        <v>55</v>
      </c>
      <c r="W60" s="735">
        <f>SUM(W61:W69)</f>
        <v>14002311</v>
      </c>
    </row>
    <row r="61" spans="1:23" ht="12.75" customHeight="1" thickBot="1" x14ac:dyDescent="0.25">
      <c r="A61" s="933"/>
      <c r="B61" s="939"/>
      <c r="C61" s="128"/>
      <c r="D61" s="218"/>
      <c r="E61" s="768"/>
      <c r="F61" s="769"/>
      <c r="G61" s="770">
        <v>0</v>
      </c>
      <c r="H61" s="220">
        <v>0</v>
      </c>
      <c r="I61" s="771">
        <v>0</v>
      </c>
      <c r="J61" s="153">
        <f t="shared" si="7"/>
        <v>0</v>
      </c>
      <c r="K61" s="772">
        <f t="shared" si="0"/>
        <v>0</v>
      </c>
      <c r="L61" s="28"/>
      <c r="M61" s="773">
        <v>0</v>
      </c>
      <c r="N61" s="774">
        <f t="shared" si="1"/>
        <v>0</v>
      </c>
      <c r="O61" s="773">
        <v>0</v>
      </c>
      <c r="P61" s="740">
        <f t="shared" si="2"/>
        <v>0</v>
      </c>
      <c r="Q61" s="103">
        <v>0</v>
      </c>
      <c r="R61" s="774">
        <f t="shared" si="3"/>
        <v>0</v>
      </c>
      <c r="S61" s="775">
        <f t="shared" si="6"/>
        <v>0</v>
      </c>
      <c r="U61" s="736">
        <v>53207010000000</v>
      </c>
      <c r="V61" s="737" t="s">
        <v>56</v>
      </c>
      <c r="W61" s="738">
        <v>0</v>
      </c>
    </row>
    <row r="62" spans="1:23" ht="12.75" customHeight="1" thickBot="1" x14ac:dyDescent="0.25">
      <c r="K62" s="148">
        <f>SUM(K15:K61)</f>
        <v>325262149.79999995</v>
      </c>
      <c r="M62" s="149">
        <f>+IFERROR((N62/$K$62),0)</f>
        <v>0.31443706044090097</v>
      </c>
      <c r="N62" s="150">
        <f>SUM(N15:N61)</f>
        <v>102274474.25579998</v>
      </c>
      <c r="O62" s="149">
        <f>+IFERROR((P62/$K$62),0)</f>
        <v>9.5070947442898582E-2</v>
      </c>
      <c r="P62" s="150">
        <f>SUM(P15:P61)</f>
        <v>30922980.748800002</v>
      </c>
      <c r="Q62" s="149">
        <f>+IFERROR((R62/$K$62),0)</f>
        <v>0.5904919921162004</v>
      </c>
      <c r="R62" s="150">
        <f>SUM(R15:R61)</f>
        <v>192064694.79539996</v>
      </c>
      <c r="U62" s="736">
        <v>53207020000000</v>
      </c>
      <c r="V62" s="737" t="s">
        <v>57</v>
      </c>
      <c r="W62" s="738">
        <v>550000</v>
      </c>
    </row>
    <row r="63" spans="1:23" ht="12.75" customHeight="1" x14ac:dyDescent="0.2">
      <c r="K63" s="65">
        <v>1</v>
      </c>
      <c r="U63" s="736">
        <v>53208020000000</v>
      </c>
      <c r="V63" s="737" t="s">
        <v>58</v>
      </c>
      <c r="W63" s="738">
        <v>0</v>
      </c>
    </row>
    <row r="64" spans="1:23" ht="12.75" customHeight="1" thickBot="1" x14ac:dyDescent="0.25">
      <c r="U64" s="736">
        <v>53208990000000</v>
      </c>
      <c r="V64" s="737" t="s">
        <v>59</v>
      </c>
      <c r="W64" s="738">
        <v>9674453</v>
      </c>
    </row>
    <row r="65" spans="1:23" ht="12.75" customHeight="1" x14ac:dyDescent="0.2">
      <c r="A65" s="898" t="s">
        <v>140</v>
      </c>
      <c r="B65" s="901" t="s">
        <v>121</v>
      </c>
      <c r="C65" s="542"/>
      <c r="D65" s="715"/>
      <c r="E65" s="716"/>
      <c r="F65" s="717" t="s">
        <v>120</v>
      </c>
      <c r="G65" s="619">
        <v>0</v>
      </c>
      <c r="H65" s="619">
        <v>0</v>
      </c>
      <c r="I65" s="620">
        <v>0</v>
      </c>
      <c r="J65" s="621">
        <f t="shared" ref="J65:J69" si="10">SUM(G65:I65)</f>
        <v>0</v>
      </c>
      <c r="K65" s="718">
        <f t="shared" ref="K65:K69" si="11">+J65*(1+$K$11)</f>
        <v>0</v>
      </c>
      <c r="L65" s="28"/>
      <c r="U65" s="736">
        <v>53209010000000</v>
      </c>
      <c r="V65" s="737" t="s">
        <v>60</v>
      </c>
      <c r="W65" s="738">
        <v>0</v>
      </c>
    </row>
    <row r="66" spans="1:23" ht="12.75" customHeight="1" x14ac:dyDescent="0.2">
      <c r="A66" s="899"/>
      <c r="B66" s="902"/>
      <c r="C66" s="544"/>
      <c r="D66" s="528"/>
      <c r="E66" s="751"/>
      <c r="F66" s="752" t="s">
        <v>120</v>
      </c>
      <c r="G66" s="536">
        <v>0</v>
      </c>
      <c r="H66" s="536">
        <v>0</v>
      </c>
      <c r="I66" s="622">
        <v>0</v>
      </c>
      <c r="J66" s="151">
        <f t="shared" si="10"/>
        <v>0</v>
      </c>
      <c r="K66" s="152">
        <f t="shared" si="11"/>
        <v>0</v>
      </c>
      <c r="L66" s="28"/>
      <c r="U66" s="736">
        <v>53209040000000</v>
      </c>
      <c r="V66" s="737" t="s">
        <v>61</v>
      </c>
      <c r="W66" s="738">
        <v>0</v>
      </c>
    </row>
    <row r="67" spans="1:23" x14ac:dyDescent="0.2">
      <c r="A67" s="899"/>
      <c r="B67" s="902"/>
      <c r="C67" s="544"/>
      <c r="D67" s="528"/>
      <c r="E67" s="751"/>
      <c r="F67" s="752" t="s">
        <v>120</v>
      </c>
      <c r="G67" s="536">
        <v>0</v>
      </c>
      <c r="H67" s="536">
        <v>0</v>
      </c>
      <c r="I67" s="622">
        <v>0</v>
      </c>
      <c r="J67" s="151">
        <f t="shared" si="10"/>
        <v>0</v>
      </c>
      <c r="K67" s="152">
        <f t="shared" si="11"/>
        <v>0</v>
      </c>
      <c r="L67" s="28"/>
      <c r="U67" s="736">
        <v>53209050000000</v>
      </c>
      <c r="V67" s="737" t="s">
        <v>62</v>
      </c>
      <c r="W67" s="738">
        <v>3550507</v>
      </c>
    </row>
    <row r="68" spans="1:23" x14ac:dyDescent="0.2">
      <c r="A68" s="899"/>
      <c r="B68" s="902"/>
      <c r="C68" s="543"/>
      <c r="D68" s="534"/>
      <c r="E68" s="728"/>
      <c r="F68" s="617" t="s">
        <v>120</v>
      </c>
      <c r="G68" s="536">
        <v>0</v>
      </c>
      <c r="H68" s="536">
        <v>0</v>
      </c>
      <c r="I68" s="622">
        <v>0</v>
      </c>
      <c r="J68" s="151">
        <f t="shared" si="10"/>
        <v>0</v>
      </c>
      <c r="K68" s="152">
        <f t="shared" si="11"/>
        <v>0</v>
      </c>
      <c r="L68" s="28"/>
      <c r="U68" s="736">
        <v>53209990000000</v>
      </c>
      <c r="V68" s="737" t="s">
        <v>63</v>
      </c>
      <c r="W68" s="738">
        <v>0</v>
      </c>
    </row>
    <row r="69" spans="1:23" ht="13.5" thickBot="1" x14ac:dyDescent="0.25">
      <c r="A69" s="900"/>
      <c r="B69" s="903"/>
      <c r="C69" s="128"/>
      <c r="D69" s="218"/>
      <c r="E69" s="768"/>
      <c r="F69" s="769" t="s">
        <v>120</v>
      </c>
      <c r="G69" s="220">
        <v>0</v>
      </c>
      <c r="H69" s="220">
        <v>0</v>
      </c>
      <c r="I69" s="771">
        <v>0</v>
      </c>
      <c r="J69" s="153">
        <f t="shared" si="10"/>
        <v>0</v>
      </c>
      <c r="K69" s="772">
        <f t="shared" si="11"/>
        <v>0</v>
      </c>
      <c r="L69" s="28"/>
      <c r="U69" s="736">
        <v>53210020100000</v>
      </c>
      <c r="V69" s="737" t="s">
        <v>64</v>
      </c>
      <c r="W69" s="738">
        <v>227351</v>
      </c>
    </row>
    <row r="70" spans="1:23" ht="16.5" thickBot="1" x14ac:dyDescent="0.25">
      <c r="C70" s="21"/>
      <c r="D70" s="21"/>
      <c r="E70" s="31"/>
      <c r="F70" s="31"/>
      <c r="G70" s="31"/>
      <c r="H70" s="31"/>
      <c r="I70" s="31"/>
      <c r="K70" s="148">
        <f>SUM(K65:K69)</f>
        <v>0</v>
      </c>
      <c r="L70" s="28"/>
      <c r="U70" s="733"/>
      <c r="V70" s="734" t="s">
        <v>65</v>
      </c>
      <c r="W70" s="735">
        <f>SUM(W71:W77)</f>
        <v>10875633</v>
      </c>
    </row>
    <row r="71" spans="1:23" ht="13.5" thickBot="1" x14ac:dyDescent="0.25">
      <c r="K71" s="65">
        <v>1</v>
      </c>
      <c r="L71" s="28"/>
      <c r="M71" s="32"/>
      <c r="O71" s="32"/>
      <c r="Q71" s="32"/>
      <c r="U71" s="736">
        <v>53206030000000</v>
      </c>
      <c r="V71" s="737" t="s">
        <v>99</v>
      </c>
      <c r="W71" s="738">
        <v>0</v>
      </c>
    </row>
    <row r="72" spans="1:23" ht="15.75" customHeight="1" x14ac:dyDescent="0.2">
      <c r="A72" s="898" t="s">
        <v>140</v>
      </c>
      <c r="B72" s="901" t="s">
        <v>432</v>
      </c>
      <c r="C72" s="542"/>
      <c r="D72" s="715"/>
      <c r="E72" s="716"/>
      <c r="F72" s="717" t="s">
        <v>120</v>
      </c>
      <c r="G72" s="619">
        <v>0</v>
      </c>
      <c r="H72" s="619">
        <v>0</v>
      </c>
      <c r="I72" s="620">
        <v>0</v>
      </c>
      <c r="J72" s="621">
        <f t="shared" ref="J72:J76" si="12">SUM(G72:I72)</f>
        <v>0</v>
      </c>
      <c r="K72" s="718">
        <f t="shared" ref="K72:K76" si="13">+J72*(1+$K$11)</f>
        <v>0</v>
      </c>
      <c r="U72" s="736">
        <v>53206040000000</v>
      </c>
      <c r="V72" s="737" t="s">
        <v>100</v>
      </c>
      <c r="W72" s="738">
        <v>0</v>
      </c>
    </row>
    <row r="73" spans="1:23" x14ac:dyDescent="0.2">
      <c r="A73" s="899"/>
      <c r="B73" s="902"/>
      <c r="C73" s="544"/>
      <c r="D73" s="528"/>
      <c r="E73" s="751"/>
      <c r="F73" s="752" t="s">
        <v>120</v>
      </c>
      <c r="G73" s="536">
        <v>0</v>
      </c>
      <c r="H73" s="536">
        <v>0</v>
      </c>
      <c r="I73" s="622">
        <v>0</v>
      </c>
      <c r="J73" s="151">
        <f t="shared" si="12"/>
        <v>0</v>
      </c>
      <c r="K73" s="152">
        <f t="shared" si="13"/>
        <v>0</v>
      </c>
      <c r="U73" s="736">
        <v>53206060000000</v>
      </c>
      <c r="V73" s="737" t="s">
        <v>101</v>
      </c>
      <c r="W73" s="738">
        <v>3652384</v>
      </c>
    </row>
    <row r="74" spans="1:23" x14ac:dyDescent="0.2">
      <c r="A74" s="899"/>
      <c r="B74" s="902"/>
      <c r="C74" s="544"/>
      <c r="D74" s="528"/>
      <c r="E74" s="751"/>
      <c r="F74" s="752" t="s">
        <v>120</v>
      </c>
      <c r="G74" s="536">
        <v>0</v>
      </c>
      <c r="H74" s="536">
        <v>0</v>
      </c>
      <c r="I74" s="622">
        <v>0</v>
      </c>
      <c r="J74" s="151">
        <f t="shared" si="12"/>
        <v>0</v>
      </c>
      <c r="K74" s="152">
        <f t="shared" si="13"/>
        <v>0</v>
      </c>
      <c r="U74" s="736">
        <v>53206070000000</v>
      </c>
      <c r="V74" s="737" t="s">
        <v>102</v>
      </c>
      <c r="W74" s="738">
        <v>0</v>
      </c>
    </row>
    <row r="75" spans="1:23" x14ac:dyDescent="0.2">
      <c r="A75" s="899"/>
      <c r="B75" s="902"/>
      <c r="C75" s="543"/>
      <c r="D75" s="534"/>
      <c r="E75" s="728"/>
      <c r="F75" s="617" t="s">
        <v>120</v>
      </c>
      <c r="G75" s="536">
        <v>0</v>
      </c>
      <c r="H75" s="536">
        <v>0</v>
      </c>
      <c r="I75" s="622">
        <v>0</v>
      </c>
      <c r="J75" s="151">
        <f t="shared" si="12"/>
        <v>0</v>
      </c>
      <c r="K75" s="152">
        <f t="shared" si="13"/>
        <v>0</v>
      </c>
      <c r="U75" s="736">
        <v>53206990000000</v>
      </c>
      <c r="V75" s="737" t="s">
        <v>103</v>
      </c>
      <c r="W75" s="738">
        <v>4723249</v>
      </c>
    </row>
    <row r="76" spans="1:23" ht="13.5" thickBot="1" x14ac:dyDescent="0.25">
      <c r="A76" s="900"/>
      <c r="B76" s="903"/>
      <c r="C76" s="128"/>
      <c r="D76" s="218"/>
      <c r="E76" s="768"/>
      <c r="F76" s="769" t="s">
        <v>120</v>
      </c>
      <c r="G76" s="220">
        <v>0</v>
      </c>
      <c r="H76" s="220">
        <v>0</v>
      </c>
      <c r="I76" s="771">
        <v>0</v>
      </c>
      <c r="J76" s="153">
        <f t="shared" si="12"/>
        <v>0</v>
      </c>
      <c r="K76" s="772">
        <f t="shared" si="13"/>
        <v>0</v>
      </c>
      <c r="U76" s="736">
        <v>53208030000000</v>
      </c>
      <c r="V76" s="737" t="s">
        <v>104</v>
      </c>
      <c r="W76" s="738">
        <v>0</v>
      </c>
    </row>
    <row r="77" spans="1:23" ht="16.5" thickBot="1" x14ac:dyDescent="0.25">
      <c r="C77" s="21"/>
      <c r="D77" s="21"/>
      <c r="E77" s="31"/>
      <c r="F77" s="31"/>
      <c r="G77" s="31"/>
      <c r="H77" s="31"/>
      <c r="I77" s="31"/>
      <c r="K77" s="148">
        <f>SUM(K72:K76)</f>
        <v>0</v>
      </c>
      <c r="U77" s="736">
        <v>53212060000000</v>
      </c>
      <c r="V77" s="737" t="s">
        <v>97</v>
      </c>
      <c r="W77" s="738">
        <v>2500000</v>
      </c>
    </row>
    <row r="78" spans="1:23" x14ac:dyDescent="0.2">
      <c r="K78" s="65">
        <v>1</v>
      </c>
      <c r="U78" s="733"/>
      <c r="V78" s="734" t="s">
        <v>66</v>
      </c>
      <c r="W78" s="735">
        <f>SUM(W79:W79)</f>
        <v>1305983</v>
      </c>
    </row>
    <row r="79" spans="1:23" x14ac:dyDescent="0.2">
      <c r="U79" s="736">
        <v>53204999000000</v>
      </c>
      <c r="V79" s="737" t="s">
        <v>96</v>
      </c>
      <c r="W79" s="738">
        <v>1305983</v>
      </c>
    </row>
    <row r="80" spans="1:23" ht="15.75" customHeight="1" x14ac:dyDescent="0.2">
      <c r="U80" s="753"/>
      <c r="V80" s="754" t="s">
        <v>143</v>
      </c>
      <c r="W80" s="755">
        <f>+W40+W15</f>
        <v>98168378.719999999</v>
      </c>
    </row>
    <row r="94" spans="11:12" x14ac:dyDescent="0.2">
      <c r="L94" s="87"/>
    </row>
    <row r="96" spans="11:12" x14ac:dyDescent="0.2">
      <c r="K96" s="99"/>
    </row>
    <row r="98" spans="11:11" x14ac:dyDescent="0.2">
      <c r="K98" s="88"/>
    </row>
  </sheetData>
  <mergeCells count="45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AN13:AO13"/>
    <mergeCell ref="AG13:AH13"/>
    <mergeCell ref="G13:J13"/>
    <mergeCell ref="A15:A61"/>
    <mergeCell ref="B15:B24"/>
    <mergeCell ref="B25:B34"/>
    <mergeCell ref="B35:B39"/>
    <mergeCell ref="B40:B61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72:A76"/>
    <mergeCell ref="B72:B76"/>
    <mergeCell ref="AN15:AO15"/>
    <mergeCell ref="AP14:AQ14"/>
    <mergeCell ref="AP15:AQ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2060"/>
    <pageSetUpPr fitToPage="1"/>
  </sheetPr>
  <dimension ref="A1:IK16"/>
  <sheetViews>
    <sheetView showGridLines="0" zoomScale="80" zoomScaleNormal="80" workbookViewId="0">
      <selection activeCell="H25" sqref="H25"/>
    </sheetView>
  </sheetViews>
  <sheetFormatPr baseColWidth="10" defaultColWidth="11.42578125" defaultRowHeight="12.75" x14ac:dyDescent="0.2"/>
  <cols>
    <col min="1" max="1" width="43.5703125" style="2" customWidth="1"/>
    <col min="2" max="2" width="23.42578125" style="2" bestFit="1" customWidth="1"/>
    <col min="3" max="3" width="14.140625" style="2" customWidth="1"/>
    <col min="4" max="4" width="14.140625" style="2" bestFit="1" customWidth="1"/>
    <col min="5" max="5" width="16.140625" style="2" customWidth="1"/>
    <col min="6" max="9" width="14.140625" style="2" customWidth="1"/>
    <col min="10" max="10" width="15.7109375" style="2" customWidth="1"/>
    <col min="11" max="14" width="14.140625" style="2" customWidth="1"/>
    <col min="15" max="15" width="15.28515625" style="2" customWidth="1"/>
    <col min="16" max="17" width="14.140625" style="2" customWidth="1"/>
    <col min="18" max="18" width="13.28515625" style="2" customWidth="1"/>
    <col min="19" max="19" width="14.140625" style="2" bestFit="1" customWidth="1"/>
    <col min="20" max="20" width="16.425781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33" t="s">
        <v>208</v>
      </c>
      <c r="IJ1" s="2"/>
      <c r="IK1" s="2"/>
    </row>
    <row r="2" spans="1:245" s="4" customFormat="1" x14ac:dyDescent="0.2">
      <c r="B2" s="5"/>
      <c r="G2" s="33" t="s">
        <v>200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966" t="str">
        <f>+'B) Reajuste Tarifas y Ocupación'!F5</f>
        <v>(DEPTO./DELEG.)</v>
      </c>
      <c r="H4" s="967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3"/>
      <c r="H5" s="33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807" t="s">
        <v>161</v>
      </c>
      <c r="B6" s="807"/>
      <c r="C6" s="807"/>
      <c r="D6" s="807"/>
      <c r="E6" s="84"/>
      <c r="F6" s="6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974" t="s">
        <v>114</v>
      </c>
      <c r="B8" s="976" t="s">
        <v>5</v>
      </c>
      <c r="C8" s="971" t="s">
        <v>265</v>
      </c>
      <c r="D8" s="972"/>
      <c r="E8" s="972"/>
      <c r="F8" s="972"/>
      <c r="G8" s="973"/>
      <c r="H8" s="968" t="s">
        <v>259</v>
      </c>
      <c r="I8" s="969"/>
      <c r="J8" s="969"/>
      <c r="K8" s="969"/>
      <c r="L8" s="970"/>
      <c r="M8" s="962" t="s">
        <v>124</v>
      </c>
      <c r="N8" s="963"/>
      <c r="O8" s="963"/>
      <c r="P8" s="963"/>
      <c r="Q8" s="964"/>
      <c r="R8" s="962" t="s">
        <v>125</v>
      </c>
      <c r="S8" s="963"/>
      <c r="T8" s="963"/>
      <c r="U8" s="963"/>
      <c r="V8" s="964"/>
    </row>
    <row r="9" spans="1:245" ht="71.25" customHeight="1" thickBot="1" x14ac:dyDescent="0.25">
      <c r="A9" s="975" t="e">
        <f>NA()</f>
        <v>#N/A</v>
      </c>
      <c r="B9" s="977" t="e">
        <f>NA()</f>
        <v>#N/A</v>
      </c>
      <c r="C9" s="361" t="s">
        <v>86</v>
      </c>
      <c r="D9" s="355" t="s">
        <v>138</v>
      </c>
      <c r="E9" s="355" t="s">
        <v>139</v>
      </c>
      <c r="F9" s="355" t="s">
        <v>87</v>
      </c>
      <c r="G9" s="362" t="s">
        <v>88</v>
      </c>
      <c r="H9" s="367" t="s">
        <v>86</v>
      </c>
      <c r="I9" s="356" t="s">
        <v>138</v>
      </c>
      <c r="J9" s="356" t="s">
        <v>139</v>
      </c>
      <c r="K9" s="356" t="s">
        <v>87</v>
      </c>
      <c r="L9" s="357" t="s">
        <v>88</v>
      </c>
      <c r="M9" s="367" t="s">
        <v>86</v>
      </c>
      <c r="N9" s="356" t="s">
        <v>138</v>
      </c>
      <c r="O9" s="356" t="s">
        <v>139</v>
      </c>
      <c r="P9" s="356" t="s">
        <v>87</v>
      </c>
      <c r="Q9" s="357" t="s">
        <v>88</v>
      </c>
      <c r="R9" s="367" t="s">
        <v>86</v>
      </c>
      <c r="S9" s="356" t="s">
        <v>138</v>
      </c>
      <c r="T9" s="356" t="s">
        <v>139</v>
      </c>
      <c r="U9" s="356" t="s">
        <v>87</v>
      </c>
      <c r="V9" s="357" t="s">
        <v>88</v>
      </c>
    </row>
    <row r="10" spans="1:245" ht="19.5" customHeight="1" x14ac:dyDescent="0.2">
      <c r="A10" s="960" t="str">
        <f>+'B) Reajuste Tarifas y Ocupación'!A12</f>
        <v>Jardín Infantil Tortuguita Marina</v>
      </c>
      <c r="B10" s="358" t="str">
        <f>+'B) Reajuste Tarifas y Ocupación'!B12</f>
        <v>Media jornada</v>
      </c>
      <c r="C10" s="484">
        <f>+'B) Reajuste Tarifas y Ocupación'!M12</f>
        <v>93900</v>
      </c>
      <c r="D10" s="346">
        <f>+'B) Reajuste Tarifas y Ocupación'!N12</f>
        <v>126700</v>
      </c>
      <c r="E10" s="346">
        <f>+'B) Reajuste Tarifas y Ocupación'!O12</f>
        <v>131400</v>
      </c>
      <c r="F10" s="346">
        <f>+'B) Reajuste Tarifas y Ocupación'!P12</f>
        <v>128100</v>
      </c>
      <c r="G10" s="485">
        <f>+'B) Reajuste Tarifas y Ocupación'!Q12</f>
        <v>162800</v>
      </c>
      <c r="H10" s="488">
        <f>+'B) Reajuste Tarifas y Ocupación'!C12</f>
        <v>82300</v>
      </c>
      <c r="I10" s="347">
        <f>+'B) Reajuste Tarifas y Ocupación'!D12</f>
        <v>111100</v>
      </c>
      <c r="J10" s="347">
        <f>+'B) Reajuste Tarifas y Ocupación'!E12</f>
        <v>115200</v>
      </c>
      <c r="K10" s="347">
        <f>+'B) Reajuste Tarifas y Ocupación'!F12</f>
        <v>112300</v>
      </c>
      <c r="L10" s="368">
        <f>+'B) Reajuste Tarifas y Ocupación'!G12</f>
        <v>142800</v>
      </c>
      <c r="M10" s="487">
        <f t="shared" ref="M10:Q11" si="0">C10-H10</f>
        <v>11600</v>
      </c>
      <c r="N10" s="348">
        <f t="shared" si="0"/>
        <v>15600</v>
      </c>
      <c r="O10" s="348">
        <f t="shared" si="0"/>
        <v>16200</v>
      </c>
      <c r="P10" s="348">
        <f t="shared" si="0"/>
        <v>15800</v>
      </c>
      <c r="Q10" s="497">
        <f t="shared" si="0"/>
        <v>20000</v>
      </c>
      <c r="R10" s="498">
        <f>+'B) Reajuste Tarifas y Ocupación'!H12</f>
        <v>0.14000000000000001</v>
      </c>
      <c r="S10" s="349">
        <f>+'B) Reajuste Tarifas y Ocupación'!I12</f>
        <v>0.14000000000000001</v>
      </c>
      <c r="T10" s="349">
        <f>+'B) Reajuste Tarifas y Ocupación'!J12</f>
        <v>0.14000000000000001</v>
      </c>
      <c r="U10" s="349">
        <f>+'B) Reajuste Tarifas y Ocupación'!K12</f>
        <v>0.14000000000000001</v>
      </c>
      <c r="V10" s="350">
        <f>+'B) Reajuste Tarifas y Ocupación'!L12</f>
        <v>0.14000000000000001</v>
      </c>
    </row>
    <row r="11" spans="1:245" ht="19.5" customHeight="1" thickBot="1" x14ac:dyDescent="0.25">
      <c r="A11" s="961"/>
      <c r="B11" s="359" t="str">
        <f>+'B) Reajuste Tarifas y Ocupación'!B13</f>
        <v xml:space="preserve">Doble Jornada </v>
      </c>
      <c r="C11" s="364">
        <f>+'B) Reajuste Tarifas y Ocupación'!M13</f>
        <v>119300</v>
      </c>
      <c r="D11" s="351">
        <f>+'B) Reajuste Tarifas y Ocupación'!N13</f>
        <v>161000</v>
      </c>
      <c r="E11" s="351">
        <f>+'B) Reajuste Tarifas y Ocupación'!O13</f>
        <v>167000</v>
      </c>
      <c r="F11" s="351">
        <f>+'B) Reajuste Tarifas y Ocupación'!P13</f>
        <v>178900</v>
      </c>
      <c r="G11" s="486">
        <f>+'B) Reajuste Tarifas y Ocupación'!Q13</f>
        <v>238300</v>
      </c>
      <c r="H11" s="369">
        <f>+'B) Reajuste Tarifas y Ocupación'!C13</f>
        <v>104600</v>
      </c>
      <c r="I11" s="489">
        <f>+'B) Reajuste Tarifas y Ocupación'!D13</f>
        <v>141200</v>
      </c>
      <c r="J11" s="489">
        <f>+'B) Reajuste Tarifas y Ocupación'!E13</f>
        <v>146400</v>
      </c>
      <c r="K11" s="489">
        <f>+'B) Reajuste Tarifas y Ocupación'!F13</f>
        <v>156900</v>
      </c>
      <c r="L11" s="490">
        <f>+'B) Reajuste Tarifas y Ocupación'!G13</f>
        <v>209000</v>
      </c>
      <c r="M11" s="504">
        <f t="shared" si="0"/>
        <v>14700</v>
      </c>
      <c r="N11" s="505">
        <f t="shared" si="0"/>
        <v>19800</v>
      </c>
      <c r="O11" s="505">
        <f t="shared" si="0"/>
        <v>20600</v>
      </c>
      <c r="P11" s="505">
        <f t="shared" si="0"/>
        <v>22000</v>
      </c>
      <c r="Q11" s="506">
        <f t="shared" si="0"/>
        <v>29300</v>
      </c>
      <c r="R11" s="507">
        <f>+'B) Reajuste Tarifas y Ocupación'!H13</f>
        <v>0.14000000000000001</v>
      </c>
      <c r="S11" s="508">
        <f>+'B) Reajuste Tarifas y Ocupación'!I13</f>
        <v>0.14000000000000001</v>
      </c>
      <c r="T11" s="508">
        <f>+'B) Reajuste Tarifas y Ocupación'!J13</f>
        <v>0.14000000000000001</v>
      </c>
      <c r="U11" s="508">
        <f>+'B) Reajuste Tarifas y Ocupación'!K13</f>
        <v>0.14000000000000001</v>
      </c>
      <c r="V11" s="509">
        <f>+'B) Reajuste Tarifas y Ocupación'!L13</f>
        <v>0.14000000000000001</v>
      </c>
    </row>
    <row r="12" spans="1:245" ht="19.5" customHeight="1" x14ac:dyDescent="0.2">
      <c r="A12" s="960" t="str">
        <f>+'B) Reajuste Tarifas y Ocupación'!A14</f>
        <v>Jardín Infantil Burbujitas de Mar</v>
      </c>
      <c r="B12" s="358" t="str">
        <f>+'B) Reajuste Tarifas y Ocupación'!B14</f>
        <v>Media jornada</v>
      </c>
      <c r="C12" s="482">
        <f>+'B) Reajuste Tarifas y Ocupación'!M14</f>
        <v>129600</v>
      </c>
      <c r="D12" s="483">
        <f>+'B) Reajuste Tarifas y Ocupación'!N14</f>
        <v>175000</v>
      </c>
      <c r="E12" s="483">
        <f>+'B) Reajuste Tarifas y Ocupación'!O14</f>
        <v>181500</v>
      </c>
      <c r="F12" s="483">
        <f>+'B) Reajuste Tarifas y Ocupación'!P14</f>
        <v>162100</v>
      </c>
      <c r="G12" s="499">
        <f>+'B) Reajuste Tarifas y Ocupación'!Q14</f>
        <v>194400</v>
      </c>
      <c r="H12" s="500">
        <f>+'B) Reajuste Tarifas y Ocupación'!C14</f>
        <v>115700</v>
      </c>
      <c r="I12" s="501">
        <f>+'B) Reajuste Tarifas y Ocupación'!D14</f>
        <v>156200</v>
      </c>
      <c r="J12" s="501">
        <f>+'B) Reajuste Tarifas y Ocupación'!E14</f>
        <v>162000</v>
      </c>
      <c r="K12" s="501">
        <f>+'B) Reajuste Tarifas y Ocupación'!F14</f>
        <v>144700</v>
      </c>
      <c r="L12" s="503">
        <f>+'B) Reajuste Tarifas y Ocupación'!G14</f>
        <v>173500</v>
      </c>
      <c r="M12" s="496">
        <f t="shared" ref="M12:M13" si="1">C12-H12</f>
        <v>13900</v>
      </c>
      <c r="N12" s="348">
        <f t="shared" ref="N12:N13" si="2">D12-I12</f>
        <v>18800</v>
      </c>
      <c r="O12" s="348">
        <f t="shared" ref="O12:O13" si="3">E12-J12</f>
        <v>19500</v>
      </c>
      <c r="P12" s="348">
        <f t="shared" ref="P12:P13" si="4">F12-K12</f>
        <v>17400</v>
      </c>
      <c r="Q12" s="497">
        <f t="shared" ref="Q12:Q13" si="5">G12-L12</f>
        <v>20900</v>
      </c>
      <c r="R12" s="498">
        <f>+'B) Reajuste Tarifas y Ocupación'!H14</f>
        <v>0.12</v>
      </c>
      <c r="S12" s="349">
        <f>+'B) Reajuste Tarifas y Ocupación'!I14</f>
        <v>0.12</v>
      </c>
      <c r="T12" s="349">
        <f>+'B) Reajuste Tarifas y Ocupación'!J14</f>
        <v>0.12</v>
      </c>
      <c r="U12" s="349">
        <f>+'B) Reajuste Tarifas y Ocupación'!K14</f>
        <v>0.12</v>
      </c>
      <c r="V12" s="350">
        <f>+'B) Reajuste Tarifas y Ocupación'!L14</f>
        <v>0.12</v>
      </c>
    </row>
    <row r="13" spans="1:245" ht="19.5" customHeight="1" thickBot="1" x14ac:dyDescent="0.25">
      <c r="A13" s="961"/>
      <c r="B13" s="359" t="str">
        <f>+'B) Reajuste Tarifas y Ocupación'!B15</f>
        <v>Jornada  Completa</v>
      </c>
      <c r="C13" s="377">
        <f>+'B) Reajuste Tarifas y Ocupación'!M15</f>
        <v>203300</v>
      </c>
      <c r="D13" s="378">
        <f>+'B) Reajuste Tarifas y Ocupación'!N15</f>
        <v>274500</v>
      </c>
      <c r="E13" s="378">
        <f>+'B) Reajuste Tarifas y Ocupación'!O15</f>
        <v>284600</v>
      </c>
      <c r="F13" s="378">
        <f>+'B) Reajuste Tarifas y Ocupación'!P15</f>
        <v>254200</v>
      </c>
      <c r="G13" s="379">
        <f>+'B) Reajuste Tarifas y Ocupación'!Q15</f>
        <v>305000</v>
      </c>
      <c r="H13" s="510">
        <f>+'B) Reajuste Tarifas y Ocupación'!C15</f>
        <v>181500</v>
      </c>
      <c r="I13" s="511">
        <f>+'B) Reajuste Tarifas y Ocupación'!D15</f>
        <v>245100</v>
      </c>
      <c r="J13" s="511">
        <f>+'B) Reajuste Tarifas y Ocupación'!E15</f>
        <v>254100</v>
      </c>
      <c r="K13" s="511">
        <f>+'B) Reajuste Tarifas y Ocupación'!F15</f>
        <v>226900</v>
      </c>
      <c r="L13" s="512">
        <f>+'B) Reajuste Tarifas y Ocupación'!G15</f>
        <v>272300</v>
      </c>
      <c r="M13" s="513">
        <f t="shared" si="1"/>
        <v>21800</v>
      </c>
      <c r="N13" s="505">
        <f t="shared" si="2"/>
        <v>29400</v>
      </c>
      <c r="O13" s="505">
        <f t="shared" si="3"/>
        <v>30500</v>
      </c>
      <c r="P13" s="505">
        <f t="shared" si="4"/>
        <v>27300</v>
      </c>
      <c r="Q13" s="506">
        <f t="shared" si="5"/>
        <v>32700</v>
      </c>
      <c r="R13" s="507">
        <f>+'B) Reajuste Tarifas y Ocupación'!H15</f>
        <v>0.12</v>
      </c>
      <c r="S13" s="508">
        <f>+'B) Reajuste Tarifas y Ocupación'!I15</f>
        <v>0.12</v>
      </c>
      <c r="T13" s="508">
        <f>+'B) Reajuste Tarifas y Ocupación'!J15</f>
        <v>0.12</v>
      </c>
      <c r="U13" s="508">
        <f>+'B) Reajuste Tarifas y Ocupación'!K15</f>
        <v>0.12</v>
      </c>
      <c r="V13" s="509">
        <f>+'B) Reajuste Tarifas y Ocupación'!L15</f>
        <v>0.12</v>
      </c>
    </row>
    <row r="14" spans="1:245" ht="19.5" customHeight="1" x14ac:dyDescent="0.2">
      <c r="A14" s="960" t="str">
        <f>+'B) Reajuste Tarifas y Ocupación'!A19</f>
        <v>Sala Cuna Burbujitas de Mar</v>
      </c>
      <c r="B14" s="358" t="str">
        <f>+'B) Reajuste Tarifas y Ocupación'!B19</f>
        <v>Jornada Completa Diurna</v>
      </c>
      <c r="C14" s="484">
        <f>+'B) Reajuste Tarifas y Ocupación'!M19</f>
        <v>397800</v>
      </c>
      <c r="D14" s="346">
        <f>+'B) Reajuste Tarifas y Ocupación'!N19</f>
        <v>537000</v>
      </c>
      <c r="E14" s="346">
        <f>+'B) Reajuste Tarifas y Ocupación'!O19</f>
        <v>556900</v>
      </c>
      <c r="F14" s="346">
        <f>+'B) Reajuste Tarifas y Ocupación'!P19</f>
        <v>497200</v>
      </c>
      <c r="G14" s="363">
        <f>+'B) Reajuste Tarifas y Ocupación'!Q19</f>
        <v>596600</v>
      </c>
      <c r="H14" s="488">
        <f>+'B) Reajuste Tarifas y Ocupación'!C19</f>
        <v>368300</v>
      </c>
      <c r="I14" s="347">
        <f>+'B) Reajuste Tarifas y Ocupación'!D19</f>
        <v>497200</v>
      </c>
      <c r="J14" s="347">
        <f>+'B) Reajuste Tarifas y Ocupación'!E19</f>
        <v>515600</v>
      </c>
      <c r="K14" s="347">
        <f>+'B) Reajuste Tarifas y Ocupación'!F19</f>
        <v>460300</v>
      </c>
      <c r="L14" s="491">
        <f>+'B) Reajuste Tarifas y Ocupación'!G19</f>
        <v>552400</v>
      </c>
      <c r="M14" s="496">
        <f t="shared" ref="M14:M16" si="6">C14-H14</f>
        <v>29500</v>
      </c>
      <c r="N14" s="348">
        <f t="shared" ref="N14" si="7">D14-I14</f>
        <v>39800</v>
      </c>
      <c r="O14" s="348">
        <f t="shared" ref="O14" si="8">E14-J14</f>
        <v>41300</v>
      </c>
      <c r="P14" s="348">
        <f t="shared" ref="P14" si="9">F14-K14</f>
        <v>36900</v>
      </c>
      <c r="Q14" s="370">
        <f t="shared" ref="Q14" si="10">G14-L14</f>
        <v>44200</v>
      </c>
      <c r="R14" s="493">
        <f>+'B) Reajuste Tarifas y Ocupación'!H19</f>
        <v>0.08</v>
      </c>
      <c r="S14" s="349">
        <f>+'B) Reajuste Tarifas y Ocupación'!I19</f>
        <v>0.08</v>
      </c>
      <c r="T14" s="349">
        <f>+'B) Reajuste Tarifas y Ocupación'!J19</f>
        <v>0.08</v>
      </c>
      <c r="U14" s="349">
        <f>+'B) Reajuste Tarifas y Ocupación'!K19</f>
        <v>0.08</v>
      </c>
      <c r="V14" s="350">
        <f>+'B) Reajuste Tarifas y Ocupación'!L19</f>
        <v>0.08</v>
      </c>
    </row>
    <row r="15" spans="1:245" ht="19.5" customHeight="1" x14ac:dyDescent="0.2">
      <c r="A15" s="965"/>
      <c r="B15" s="360" t="str">
        <f>+'B) Reajuste Tarifas y Ocupación'!B20</f>
        <v>Nocturna</v>
      </c>
      <c r="C15" s="514">
        <f>+'B) Reajuste Tarifas y Ocupación'!M20</f>
        <v>320900</v>
      </c>
      <c r="D15" s="516"/>
      <c r="E15" s="516"/>
      <c r="F15" s="516"/>
      <c r="G15" s="366"/>
      <c r="H15" s="502">
        <f>+'B) Reajuste Tarifas y Ocupación'!C20</f>
        <v>297100</v>
      </c>
      <c r="I15" s="517"/>
      <c r="J15" s="517"/>
      <c r="K15" s="517"/>
      <c r="L15" s="518"/>
      <c r="M15" s="387">
        <f t="shared" si="6"/>
        <v>23800</v>
      </c>
      <c r="N15" s="519"/>
      <c r="O15" s="519"/>
      <c r="P15" s="519"/>
      <c r="Q15" s="520"/>
      <c r="R15" s="515">
        <f>+'B) Reajuste Tarifas y Ocupación'!H20</f>
        <v>0.08</v>
      </c>
      <c r="S15" s="521"/>
      <c r="T15" s="521"/>
      <c r="U15" s="521"/>
      <c r="V15" s="522"/>
    </row>
    <row r="16" spans="1:245" ht="19.5" customHeight="1" thickBot="1" x14ac:dyDescent="0.25">
      <c r="A16" s="961"/>
      <c r="B16" s="359" t="str">
        <f>+'B) Reajuste Tarifas y Ocupación'!B21</f>
        <v>Media Jornada</v>
      </c>
      <c r="C16" s="364">
        <f>+'B) Reajuste Tarifas y Ocupación'!M21</f>
        <v>238900</v>
      </c>
      <c r="D16" s="351">
        <f>+'B) Reajuste Tarifas y Ocupación'!N21</f>
        <v>322600</v>
      </c>
      <c r="E16" s="351">
        <f>+'B) Reajuste Tarifas y Ocupación'!O21</f>
        <v>334500</v>
      </c>
      <c r="F16" s="351">
        <f>+'B) Reajuste Tarifas y Ocupación'!P21</f>
        <v>358100</v>
      </c>
      <c r="G16" s="365">
        <f>+'B) Reajuste Tarifas y Ocupación'!Q21</f>
        <v>477400</v>
      </c>
      <c r="H16" s="369">
        <f>+'B) Reajuste Tarifas y Ocupación'!C21</f>
        <v>221200</v>
      </c>
      <c r="I16" s="489">
        <f>+'B) Reajuste Tarifas y Ocupación'!D21</f>
        <v>298600</v>
      </c>
      <c r="J16" s="489">
        <f>+'B) Reajuste Tarifas y Ocupación'!E21</f>
        <v>309600</v>
      </c>
      <c r="K16" s="489">
        <f>+'B) Reajuste Tarifas y Ocupación'!F21</f>
        <v>331500</v>
      </c>
      <c r="L16" s="492">
        <f>+'B) Reajuste Tarifas y Ocupación'!G21</f>
        <v>442000</v>
      </c>
      <c r="M16" s="371">
        <f t="shared" si="6"/>
        <v>17700</v>
      </c>
      <c r="N16" s="352">
        <f t="shared" ref="N16" si="11">D16-I16</f>
        <v>24000</v>
      </c>
      <c r="O16" s="352">
        <f t="shared" ref="O16" si="12">E16-J16</f>
        <v>24900</v>
      </c>
      <c r="P16" s="352">
        <f t="shared" ref="P16" si="13">F16-K16</f>
        <v>26600</v>
      </c>
      <c r="Q16" s="373">
        <f t="shared" ref="Q16" si="14">G16-L16</f>
        <v>35400</v>
      </c>
      <c r="R16" s="494">
        <f>+'B) Reajuste Tarifas y Ocupación'!H21</f>
        <v>0.08</v>
      </c>
      <c r="S16" s="353">
        <f>+'B) Reajuste Tarifas y Ocupación'!I21</f>
        <v>0.08</v>
      </c>
      <c r="T16" s="353">
        <f>+'B) Reajuste Tarifas y Ocupación'!J21</f>
        <v>0.08</v>
      </c>
      <c r="U16" s="353">
        <f>+'B) Reajuste Tarifas y Ocupación'!K21</f>
        <v>0.08</v>
      </c>
      <c r="V16" s="354">
        <f>+'B) Reajuste Tarifas y Ocupación'!L21</f>
        <v>0.08</v>
      </c>
    </row>
  </sheetData>
  <sheetProtection algorithmName="SHA-512" hashValue="0pwgEttiNLqpA2ixU08jC9mfo6/Kzk0i4Fnu5ngs14P+V2J9/NloA4njWnbWk7+O8F1i5v10zHQ+brDEKBXA8w==" saltValue="tUAhxFLV1k/KgxhkCXNn5w==" spinCount="100000" sheet="1" objects="1" scenarios="1"/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6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</sheetPr>
  <dimension ref="B1:IY66"/>
  <sheetViews>
    <sheetView showGridLines="0" zoomScale="80" zoomScaleNormal="80" workbookViewId="0">
      <selection activeCell="M29" sqref="M29"/>
    </sheetView>
  </sheetViews>
  <sheetFormatPr baseColWidth="10" defaultColWidth="11.42578125" defaultRowHeight="12.75" x14ac:dyDescent="0.2"/>
  <cols>
    <col min="1" max="1" width="7.140625" style="23" customWidth="1"/>
    <col min="2" max="2" width="37.28515625" style="23" customWidth="1"/>
    <col min="3" max="3" width="28" style="23" customWidth="1"/>
    <col min="4" max="4" width="24.140625" style="23" customWidth="1"/>
    <col min="5" max="5" width="25.140625" style="23" customWidth="1"/>
    <col min="6" max="6" width="28.140625" style="23" bestFit="1" customWidth="1"/>
    <col min="7" max="8" width="14.85546875" style="23" customWidth="1"/>
    <col min="9" max="9" width="15" style="23" customWidth="1"/>
    <col min="10" max="10" width="15.140625" style="23" customWidth="1"/>
    <col min="11" max="11" width="19.140625" style="23" customWidth="1"/>
    <col min="12" max="12" width="24.28515625" style="23" customWidth="1"/>
    <col min="13" max="13" width="16.140625" style="23" customWidth="1"/>
    <col min="14" max="14" width="17.140625" style="23" customWidth="1"/>
    <col min="15" max="15" width="14.85546875" style="23" customWidth="1"/>
    <col min="16" max="16" width="17.7109375" style="23" customWidth="1"/>
    <col min="17" max="17" width="17.140625" style="23" customWidth="1"/>
    <col min="18" max="18" width="18.140625" style="23" customWidth="1"/>
    <col min="19" max="19" width="16.28515625" style="23" customWidth="1"/>
    <col min="20" max="20" width="15.85546875" style="23" customWidth="1"/>
    <col min="21" max="21" width="14.85546875" style="23" customWidth="1"/>
    <col min="22" max="22" width="15.85546875" style="23" customWidth="1"/>
    <col min="23" max="23" width="14.28515625" style="23" customWidth="1"/>
    <col min="24" max="24" width="14.85546875" style="23" customWidth="1"/>
    <col min="25" max="25" width="14.140625" style="23" customWidth="1"/>
    <col min="26" max="26" width="16.85546875" style="23" customWidth="1"/>
    <col min="27" max="27" width="17.5703125" style="23" customWidth="1"/>
    <col min="28" max="28" width="15.28515625" style="23" customWidth="1"/>
    <col min="29" max="29" width="19.7109375" style="23" customWidth="1"/>
    <col min="30" max="30" width="17.42578125" style="23" customWidth="1"/>
    <col min="31" max="31" width="12" style="23" customWidth="1"/>
    <col min="32" max="16384" width="11.42578125" style="23"/>
  </cols>
  <sheetData>
    <row r="1" spans="2:248" s="4" customFormat="1" x14ac:dyDescent="0.2">
      <c r="E1" s="33" t="s">
        <v>209</v>
      </c>
      <c r="F1" s="33"/>
      <c r="G1" s="33"/>
      <c r="H1" s="33"/>
      <c r="I1" s="33"/>
      <c r="J1" s="33"/>
      <c r="IM1" s="2"/>
      <c r="IN1" s="2"/>
    </row>
    <row r="2" spans="2:248" s="4" customFormat="1" x14ac:dyDescent="0.2">
      <c r="E2" s="33" t="s">
        <v>201</v>
      </c>
      <c r="F2" s="33"/>
      <c r="G2" s="33"/>
      <c r="H2" s="33"/>
      <c r="I2" s="33"/>
      <c r="J2" s="33"/>
      <c r="IM2" s="2"/>
      <c r="IN2" s="2"/>
    </row>
    <row r="3" spans="2:248" s="4" customFormat="1" x14ac:dyDescent="0.2">
      <c r="B3" s="19"/>
      <c r="ID3" s="2"/>
      <c r="IE3" s="2"/>
      <c r="IF3" s="2"/>
      <c r="IG3" s="2"/>
      <c r="IH3" s="2"/>
      <c r="II3" s="2"/>
    </row>
    <row r="4" spans="2:248" s="4" customFormat="1" ht="18.75" customHeight="1" x14ac:dyDescent="0.2">
      <c r="B4" s="19"/>
      <c r="D4" s="82" t="s">
        <v>0</v>
      </c>
      <c r="E4" s="100" t="str">
        <f>+'B) Reajuste Tarifas y Ocupación'!F5</f>
        <v>(DEPTO./DELEG.)</v>
      </c>
      <c r="F4" s="58"/>
      <c r="G4" s="59"/>
      <c r="H4" s="59"/>
      <c r="I4" s="59"/>
      <c r="J4" s="59"/>
      <c r="N4" s="1"/>
      <c r="ID4" s="2"/>
      <c r="IE4" s="2"/>
      <c r="IF4" s="2"/>
      <c r="IG4" s="2"/>
      <c r="IH4" s="2"/>
      <c r="II4" s="2"/>
    </row>
    <row r="5" spans="2:248" s="4" customFormat="1" x14ac:dyDescent="0.2">
      <c r="B5" s="19"/>
      <c r="D5" s="6"/>
      <c r="E5" s="33"/>
      <c r="F5" s="33"/>
      <c r="G5" s="33"/>
      <c r="H5" s="33"/>
      <c r="I5" s="33"/>
      <c r="J5" s="33"/>
      <c r="N5" s="1"/>
      <c r="ID5" s="2"/>
      <c r="IE5" s="2"/>
      <c r="IF5" s="2"/>
      <c r="IG5" s="2"/>
      <c r="IH5" s="2"/>
      <c r="II5" s="2"/>
    </row>
    <row r="6" spans="2:248" s="4" customFormat="1" x14ac:dyDescent="0.2">
      <c r="B6" s="19"/>
      <c r="D6" s="6"/>
      <c r="E6" s="33"/>
      <c r="F6" s="33"/>
      <c r="G6" s="33"/>
      <c r="H6" s="33"/>
      <c r="I6" s="33"/>
      <c r="J6" s="33"/>
      <c r="N6" s="1"/>
      <c r="ID6" s="2"/>
      <c r="IE6" s="2"/>
      <c r="IF6" s="2"/>
      <c r="IG6" s="2"/>
      <c r="IH6" s="2"/>
      <c r="II6" s="2"/>
    </row>
    <row r="7" spans="2:248" s="4" customFormat="1" ht="15.75" x14ac:dyDescent="0.2">
      <c r="B7" s="833" t="s">
        <v>162</v>
      </c>
      <c r="C7" s="833"/>
      <c r="D7" s="833"/>
      <c r="E7" s="833"/>
      <c r="F7" s="83"/>
      <c r="G7" s="60" t="s">
        <v>4</v>
      </c>
      <c r="H7" s="61">
        <v>0.05</v>
      </c>
      <c r="I7" s="83"/>
      <c r="J7" s="83"/>
      <c r="N7" s="1"/>
      <c r="ID7" s="2"/>
      <c r="IE7" s="2"/>
      <c r="IF7" s="2"/>
      <c r="IG7" s="2"/>
      <c r="IH7" s="2"/>
      <c r="II7" s="2"/>
    </row>
    <row r="8" spans="2:248" ht="13.5" thickBot="1" x14ac:dyDescent="0.25"/>
    <row r="9" spans="2:248" ht="15" customHeight="1" x14ac:dyDescent="0.2">
      <c r="B9" s="1007" t="s">
        <v>114</v>
      </c>
      <c r="C9" s="1008" t="s">
        <v>73</v>
      </c>
      <c r="D9" s="1010" t="s">
        <v>74</v>
      </c>
      <c r="E9" s="1011" t="s">
        <v>3</v>
      </c>
      <c r="F9" s="998" t="s">
        <v>81</v>
      </c>
      <c r="G9" s="999" t="s">
        <v>260</v>
      </c>
      <c r="H9" s="1001" t="s">
        <v>271</v>
      </c>
      <c r="I9" s="1003" t="s">
        <v>116</v>
      </c>
      <c r="J9" s="1005" t="s">
        <v>117</v>
      </c>
      <c r="K9" s="983" t="s">
        <v>269</v>
      </c>
      <c r="L9" s="985" t="s">
        <v>115</v>
      </c>
      <c r="O9" s="22"/>
      <c r="P9" s="22"/>
      <c r="Q9" s="22"/>
      <c r="R9" s="22"/>
      <c r="S9" s="22"/>
      <c r="T9" s="22"/>
    </row>
    <row r="10" spans="2:248" ht="50.25" customHeight="1" thickBot="1" x14ac:dyDescent="0.25">
      <c r="B10" s="911"/>
      <c r="C10" s="1009"/>
      <c r="D10" s="955"/>
      <c r="E10" s="957"/>
      <c r="F10" s="959"/>
      <c r="G10" s="1000"/>
      <c r="H10" s="1002"/>
      <c r="I10" s="1004"/>
      <c r="J10" s="1006"/>
      <c r="K10" s="984"/>
      <c r="L10" s="986"/>
      <c r="M10"/>
      <c r="N10" s="47"/>
      <c r="O10" s="47"/>
      <c r="P10" s="17"/>
      <c r="Q10" s="17"/>
      <c r="R10" s="17"/>
      <c r="S10"/>
      <c r="T10" s="996"/>
      <c r="U10" s="996"/>
      <c r="V10" s="996"/>
      <c r="W10" s="996"/>
      <c r="X10"/>
    </row>
    <row r="11" spans="2:248" x14ac:dyDescent="0.2">
      <c r="B11" s="978" t="str">
        <f>+'B) Reajuste Tarifas y Ocupación'!A12</f>
        <v>Jardín Infantil Tortuguita Marina</v>
      </c>
      <c r="C11" s="542" t="s">
        <v>414</v>
      </c>
      <c r="D11" s="531" t="s">
        <v>419</v>
      </c>
      <c r="E11" s="531" t="s">
        <v>394</v>
      </c>
      <c r="F11" s="532" t="s">
        <v>411</v>
      </c>
      <c r="G11" s="545">
        <f>+(986957*12)+722268</f>
        <v>12565752</v>
      </c>
      <c r="H11" s="551">
        <f>+G11*(1+$H$7)</f>
        <v>13194039.6</v>
      </c>
      <c r="I11" s="523">
        <v>165270</v>
      </c>
      <c r="J11" s="533">
        <v>162394</v>
      </c>
      <c r="K11" s="119">
        <f>SUM(H11:J11)</f>
        <v>13521703.6</v>
      </c>
      <c r="L11" s="997">
        <f>SUM(K11:K18)</f>
        <v>13521703.6</v>
      </c>
      <c r="M11"/>
      <c r="N11" s="47"/>
      <c r="O11" s="47"/>
      <c r="P11" s="17"/>
      <c r="Q11" s="17"/>
      <c r="R11" s="17"/>
      <c r="S11"/>
      <c r="T11" s="85"/>
      <c r="U11" s="85"/>
      <c r="V11" s="85"/>
      <c r="W11" s="85"/>
      <c r="X11"/>
    </row>
    <row r="12" spans="2:248" x14ac:dyDescent="0.2">
      <c r="B12" s="979"/>
      <c r="C12" s="543"/>
      <c r="D12" s="534"/>
      <c r="E12" s="534"/>
      <c r="F12" s="535"/>
      <c r="G12" s="546">
        <v>0</v>
      </c>
      <c r="H12" s="151">
        <f t="shared" ref="H12:H26" si="0">+G12*(1+$H$7)</f>
        <v>0</v>
      </c>
      <c r="I12" s="524">
        <v>0</v>
      </c>
      <c r="J12" s="536">
        <v>0</v>
      </c>
      <c r="K12" s="120">
        <f>SUM(H12:J12)</f>
        <v>0</v>
      </c>
      <c r="L12" s="981"/>
      <c r="M12"/>
      <c r="N12" s="47"/>
      <c r="O12" s="47"/>
      <c r="P12" s="17"/>
      <c r="Q12" s="17"/>
      <c r="R12" s="17"/>
      <c r="S12"/>
      <c r="T12" s="85"/>
      <c r="U12" s="85"/>
      <c r="V12" s="85"/>
      <c r="W12" s="85"/>
      <c r="X12"/>
    </row>
    <row r="13" spans="2:248" x14ac:dyDescent="0.2">
      <c r="B13" s="979"/>
      <c r="C13" s="543"/>
      <c r="D13" s="534"/>
      <c r="E13" s="534"/>
      <c r="F13" s="535"/>
      <c r="G13" s="546">
        <v>0</v>
      </c>
      <c r="H13" s="151">
        <f t="shared" si="0"/>
        <v>0</v>
      </c>
      <c r="I13" s="524">
        <v>0</v>
      </c>
      <c r="J13" s="536">
        <v>0</v>
      </c>
      <c r="K13" s="120">
        <f t="shared" ref="K13:K26" si="1">SUM(H13:J13)</f>
        <v>0</v>
      </c>
      <c r="L13" s="981"/>
      <c r="M13"/>
      <c r="N13" s="47"/>
      <c r="O13" s="47"/>
      <c r="P13" s="17"/>
      <c r="Q13" s="17"/>
      <c r="R13" s="17"/>
      <c r="S13"/>
      <c r="T13" s="85"/>
      <c r="U13" s="85"/>
      <c r="V13" s="85"/>
      <c r="W13" s="85"/>
      <c r="X13"/>
    </row>
    <row r="14" spans="2:248" x14ac:dyDescent="0.2">
      <c r="B14" s="979"/>
      <c r="C14" s="543"/>
      <c r="D14" s="534"/>
      <c r="E14" s="534"/>
      <c r="F14" s="535"/>
      <c r="G14" s="546">
        <v>0</v>
      </c>
      <c r="H14" s="151">
        <f t="shared" si="0"/>
        <v>0</v>
      </c>
      <c r="I14" s="524">
        <v>0</v>
      </c>
      <c r="J14" s="536">
        <v>0</v>
      </c>
      <c r="K14" s="120">
        <f t="shared" si="1"/>
        <v>0</v>
      </c>
      <c r="L14" s="981"/>
      <c r="M14"/>
      <c r="N14" s="47"/>
      <c r="O14" s="47"/>
      <c r="P14" s="17"/>
      <c r="Q14" s="17"/>
      <c r="R14" s="17"/>
      <c r="S14"/>
      <c r="T14" s="85"/>
      <c r="U14" s="85"/>
      <c r="V14" s="85"/>
      <c r="W14" s="85"/>
      <c r="X14"/>
    </row>
    <row r="15" spans="2:248" x14ac:dyDescent="0.2">
      <c r="B15" s="979"/>
      <c r="C15" s="543"/>
      <c r="D15" s="534"/>
      <c r="E15" s="534"/>
      <c r="F15" s="535"/>
      <c r="G15" s="546">
        <v>0</v>
      </c>
      <c r="H15" s="151">
        <f t="shared" si="0"/>
        <v>0</v>
      </c>
      <c r="I15" s="524">
        <v>0</v>
      </c>
      <c r="J15" s="536">
        <v>0</v>
      </c>
      <c r="K15" s="120">
        <f t="shared" si="1"/>
        <v>0</v>
      </c>
      <c r="L15" s="981"/>
      <c r="M15"/>
      <c r="N15" s="47"/>
      <c r="O15" s="47"/>
      <c r="P15" s="17"/>
      <c r="Q15" s="17"/>
      <c r="R15" s="17"/>
      <c r="S15"/>
      <c r="T15" s="85"/>
      <c r="U15" s="85"/>
      <c r="V15" s="85"/>
      <c r="W15" s="85"/>
      <c r="X15"/>
    </row>
    <row r="16" spans="2:248" x14ac:dyDescent="0.2">
      <c r="B16" s="979"/>
      <c r="C16" s="543"/>
      <c r="D16" s="534"/>
      <c r="E16" s="534"/>
      <c r="F16" s="535"/>
      <c r="G16" s="546">
        <v>0</v>
      </c>
      <c r="H16" s="151">
        <f t="shared" si="0"/>
        <v>0</v>
      </c>
      <c r="I16" s="524">
        <v>0</v>
      </c>
      <c r="J16" s="536">
        <v>0</v>
      </c>
      <c r="K16" s="120">
        <f t="shared" si="1"/>
        <v>0</v>
      </c>
      <c r="L16" s="981"/>
      <c r="M16"/>
      <c r="N16" s="47"/>
      <c r="O16" s="47"/>
      <c r="P16" s="17"/>
      <c r="Q16" s="17"/>
      <c r="R16" s="17"/>
      <c r="S16"/>
      <c r="T16" s="85"/>
      <c r="U16" s="85"/>
      <c r="V16" s="85"/>
      <c r="W16" s="85"/>
      <c r="X16"/>
    </row>
    <row r="17" spans="2:259" x14ac:dyDescent="0.2">
      <c r="B17" s="979"/>
      <c r="C17" s="543"/>
      <c r="D17" s="534"/>
      <c r="E17" s="534"/>
      <c r="F17" s="535"/>
      <c r="G17" s="546">
        <v>0</v>
      </c>
      <c r="H17" s="151">
        <f t="shared" si="0"/>
        <v>0</v>
      </c>
      <c r="I17" s="524">
        <v>0</v>
      </c>
      <c r="J17" s="536">
        <v>0</v>
      </c>
      <c r="K17" s="120">
        <f t="shared" si="1"/>
        <v>0</v>
      </c>
      <c r="L17" s="981"/>
      <c r="M17"/>
      <c r="N17" s="47"/>
      <c r="O17" s="47"/>
      <c r="P17" s="17"/>
      <c r="Q17" s="17"/>
      <c r="R17" s="17"/>
      <c r="S17"/>
      <c r="T17" s="85"/>
      <c r="U17" s="85"/>
      <c r="V17" s="85"/>
      <c r="W17" s="85"/>
      <c r="X17"/>
    </row>
    <row r="18" spans="2:259" ht="13.5" thickBot="1" x14ac:dyDescent="0.25">
      <c r="B18" s="979"/>
      <c r="C18" s="128"/>
      <c r="D18" s="218"/>
      <c r="E18" s="218"/>
      <c r="F18" s="219"/>
      <c r="G18" s="547">
        <v>0</v>
      </c>
      <c r="H18" s="153">
        <f t="shared" si="0"/>
        <v>0</v>
      </c>
      <c r="I18" s="525">
        <v>0</v>
      </c>
      <c r="J18" s="220">
        <v>0</v>
      </c>
      <c r="K18" s="221">
        <f t="shared" si="1"/>
        <v>0</v>
      </c>
      <c r="L18" s="982"/>
      <c r="M18"/>
      <c r="N18" s="47"/>
      <c r="O18" s="47"/>
      <c r="P18" s="17"/>
      <c r="Q18" s="17"/>
      <c r="R18" s="17"/>
      <c r="S18"/>
      <c r="T18" s="85"/>
      <c r="U18" s="85"/>
      <c r="V18" s="85"/>
      <c r="W18" s="85"/>
      <c r="X18"/>
    </row>
    <row r="19" spans="2:259" customFormat="1" ht="12.75" customHeight="1" x14ac:dyDescent="0.2">
      <c r="B19" s="978" t="str">
        <f>'B) Reajuste Tarifas y Ocupación'!A29</f>
        <v>Jardín Infantil Burbujitas de Mar</v>
      </c>
      <c r="C19" s="544" t="s">
        <v>130</v>
      </c>
      <c r="D19" s="528" t="s">
        <v>130</v>
      </c>
      <c r="E19" s="528" t="s">
        <v>137</v>
      </c>
      <c r="F19" s="529" t="s">
        <v>254</v>
      </c>
      <c r="G19" s="548">
        <v>0</v>
      </c>
      <c r="H19" s="552">
        <f t="shared" si="0"/>
        <v>0</v>
      </c>
      <c r="I19" s="526">
        <v>0</v>
      </c>
      <c r="J19" s="527">
        <v>0</v>
      </c>
      <c r="K19" s="530">
        <f t="shared" si="1"/>
        <v>0</v>
      </c>
      <c r="L19" s="981">
        <f>SUM(K19:K26)</f>
        <v>0</v>
      </c>
      <c r="N19" s="27"/>
      <c r="O19" s="27"/>
      <c r="P19" s="48"/>
      <c r="Q19" s="48"/>
      <c r="R19" s="48"/>
      <c r="S19" s="25"/>
      <c r="T19" s="24"/>
      <c r="U19" s="24"/>
      <c r="V19" s="24"/>
      <c r="W19" s="24"/>
      <c r="X19" s="2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ht="12.75" customHeight="1" x14ac:dyDescent="0.2">
      <c r="B20" s="979"/>
      <c r="C20" s="543"/>
      <c r="D20" s="215"/>
      <c r="E20" s="215"/>
      <c r="F20" s="216"/>
      <c r="G20" s="546">
        <v>0</v>
      </c>
      <c r="H20" s="151">
        <f t="shared" si="0"/>
        <v>0</v>
      </c>
      <c r="I20" s="524">
        <v>0</v>
      </c>
      <c r="J20" s="217">
        <v>0</v>
      </c>
      <c r="K20" s="120">
        <f t="shared" si="1"/>
        <v>0</v>
      </c>
      <c r="L20" s="981"/>
      <c r="N20" s="27"/>
      <c r="O20" s="27"/>
      <c r="P20" s="17"/>
      <c r="Q20" s="17"/>
      <c r="R20" s="17"/>
      <c r="S20" s="25"/>
      <c r="T20" s="24"/>
      <c r="U20" s="24"/>
      <c r="V20" s="24"/>
      <c r="W20" s="24"/>
      <c r="X20" s="2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ht="12.75" customHeight="1" x14ac:dyDescent="0.2">
      <c r="B21" s="979"/>
      <c r="C21" s="543"/>
      <c r="D21" s="215"/>
      <c r="E21" s="215"/>
      <c r="F21" s="216"/>
      <c r="G21" s="546">
        <v>0</v>
      </c>
      <c r="H21" s="151">
        <f t="shared" si="0"/>
        <v>0</v>
      </c>
      <c r="I21" s="524">
        <v>0</v>
      </c>
      <c r="J21" s="217">
        <v>0</v>
      </c>
      <c r="K21" s="120">
        <f t="shared" si="1"/>
        <v>0</v>
      </c>
      <c r="L21" s="981"/>
      <c r="N21" s="27"/>
      <c r="O21" s="27"/>
      <c r="P21" s="17"/>
      <c r="Q21" s="17"/>
      <c r="R21" s="17"/>
      <c r="S21" s="25"/>
      <c r="T21" s="24"/>
      <c r="U21" s="24"/>
      <c r="V21" s="24"/>
      <c r="W21" s="24"/>
      <c r="X21" s="2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ht="12.75" customHeight="1" x14ac:dyDescent="0.2">
      <c r="B22" s="979"/>
      <c r="C22" s="543"/>
      <c r="D22" s="215"/>
      <c r="E22" s="215"/>
      <c r="F22" s="216"/>
      <c r="G22" s="546">
        <v>0</v>
      </c>
      <c r="H22" s="151">
        <f t="shared" si="0"/>
        <v>0</v>
      </c>
      <c r="I22" s="524">
        <v>0</v>
      </c>
      <c r="J22" s="217">
        <v>0</v>
      </c>
      <c r="K22" s="120">
        <f t="shared" si="1"/>
        <v>0</v>
      </c>
      <c r="L22" s="981"/>
      <c r="N22" s="27"/>
      <c r="O22" s="27"/>
      <c r="P22" s="17"/>
      <c r="Q22" s="17"/>
      <c r="R22" s="17"/>
      <c r="S22" s="25"/>
      <c r="T22" s="24"/>
      <c r="U22" s="24"/>
      <c r="V22" s="24"/>
      <c r="W22" s="24"/>
      <c r="X22" s="2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ht="12.75" customHeight="1" x14ac:dyDescent="0.2">
      <c r="B23" s="979"/>
      <c r="C23" s="543"/>
      <c r="D23" s="215"/>
      <c r="E23" s="215"/>
      <c r="F23" s="216"/>
      <c r="G23" s="546">
        <v>0</v>
      </c>
      <c r="H23" s="151">
        <f t="shared" si="0"/>
        <v>0</v>
      </c>
      <c r="I23" s="524">
        <v>0</v>
      </c>
      <c r="J23" s="217">
        <v>0</v>
      </c>
      <c r="K23" s="120">
        <f t="shared" si="1"/>
        <v>0</v>
      </c>
      <c r="L23" s="981"/>
      <c r="N23" s="27"/>
      <c r="O23" s="27"/>
      <c r="P23" s="17"/>
      <c r="Q23" s="17"/>
      <c r="R23" s="17"/>
      <c r="S23" s="25"/>
      <c r="T23" s="24"/>
      <c r="U23" s="24"/>
      <c r="V23" s="24"/>
      <c r="W23" s="24"/>
      <c r="X23" s="2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ht="12.75" customHeight="1" x14ac:dyDescent="0.2">
      <c r="B24" s="979"/>
      <c r="C24" s="543"/>
      <c r="D24" s="215"/>
      <c r="E24" s="215"/>
      <c r="F24" s="216"/>
      <c r="G24" s="546">
        <v>0</v>
      </c>
      <c r="H24" s="151">
        <f t="shared" si="0"/>
        <v>0</v>
      </c>
      <c r="I24" s="524">
        <v>0</v>
      </c>
      <c r="J24" s="217">
        <v>0</v>
      </c>
      <c r="K24" s="120">
        <f t="shared" si="1"/>
        <v>0</v>
      </c>
      <c r="L24" s="981"/>
      <c r="N24" s="27"/>
      <c r="O24" s="27"/>
      <c r="P24" s="17"/>
      <c r="Q24" s="17"/>
      <c r="R24" s="17"/>
      <c r="S24" s="25"/>
      <c r="T24" s="24"/>
      <c r="U24" s="24"/>
      <c r="V24" s="24"/>
      <c r="W24" s="24"/>
      <c r="X24" s="2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ht="12.75" customHeight="1" x14ac:dyDescent="0.2">
      <c r="B25" s="979"/>
      <c r="C25" s="543"/>
      <c r="D25" s="215"/>
      <c r="E25" s="215"/>
      <c r="F25" s="216"/>
      <c r="G25" s="546">
        <v>0</v>
      </c>
      <c r="H25" s="151">
        <f t="shared" si="0"/>
        <v>0</v>
      </c>
      <c r="I25" s="524">
        <v>0</v>
      </c>
      <c r="J25" s="217">
        <v>0</v>
      </c>
      <c r="K25" s="120">
        <f t="shared" si="1"/>
        <v>0</v>
      </c>
      <c r="L25" s="981"/>
      <c r="N25" s="27"/>
      <c r="O25" s="27"/>
      <c r="P25" s="17"/>
      <c r="Q25" s="17"/>
      <c r="R25" s="17"/>
      <c r="S25" s="25"/>
      <c r="T25" s="24"/>
      <c r="U25" s="24"/>
      <c r="V25" s="24"/>
      <c r="W25" s="24"/>
      <c r="X25" s="2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ht="12.75" customHeight="1" thickBot="1" x14ac:dyDescent="0.25">
      <c r="B26" s="980"/>
      <c r="C26" s="128"/>
      <c r="D26" s="218"/>
      <c r="E26" s="218"/>
      <c r="F26" s="219"/>
      <c r="G26" s="547">
        <v>0</v>
      </c>
      <c r="H26" s="151">
        <f t="shared" si="0"/>
        <v>0</v>
      </c>
      <c r="I26" s="525">
        <v>0</v>
      </c>
      <c r="J26" s="220">
        <v>0</v>
      </c>
      <c r="K26" s="120">
        <f t="shared" si="1"/>
        <v>0</v>
      </c>
      <c r="L26" s="982"/>
      <c r="N26" s="27"/>
      <c r="O26" s="27"/>
      <c r="P26" s="17"/>
      <c r="Q26" s="17"/>
      <c r="R26" s="17"/>
      <c r="S26" s="25"/>
      <c r="T26" s="24"/>
      <c r="U26" s="24"/>
      <c r="V26" s="24"/>
      <c r="W26" s="24"/>
      <c r="X26" s="2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ht="15" customHeight="1" x14ac:dyDescent="0.2">
      <c r="B27" s="987" t="s">
        <v>114</v>
      </c>
      <c r="C27" s="988" t="s">
        <v>73</v>
      </c>
      <c r="D27" s="990" t="s">
        <v>74</v>
      </c>
      <c r="E27" s="992" t="s">
        <v>3</v>
      </c>
      <c r="F27" s="994" t="s">
        <v>81</v>
      </c>
      <c r="G27" s="999" t="s">
        <v>260</v>
      </c>
      <c r="H27" s="1001" t="s">
        <v>271</v>
      </c>
      <c r="I27" s="1003" t="s">
        <v>116</v>
      </c>
      <c r="J27" s="1005" t="s">
        <v>117</v>
      </c>
      <c r="K27" s="983" t="s">
        <v>269</v>
      </c>
      <c r="L27" s="985" t="s">
        <v>115</v>
      </c>
      <c r="O27" s="22"/>
      <c r="P27" s="22"/>
      <c r="Q27" s="22"/>
      <c r="R27" s="22"/>
      <c r="S27" s="22"/>
      <c r="T27" s="22"/>
    </row>
    <row r="28" spans="2:259" ht="42" customHeight="1" thickBot="1" x14ac:dyDescent="0.25">
      <c r="B28" s="987"/>
      <c r="C28" s="989"/>
      <c r="D28" s="991"/>
      <c r="E28" s="993"/>
      <c r="F28" s="995"/>
      <c r="G28" s="1000"/>
      <c r="H28" s="1002"/>
      <c r="I28" s="1004"/>
      <c r="J28" s="1006"/>
      <c r="K28" s="984"/>
      <c r="L28" s="986"/>
      <c r="M28"/>
      <c r="N28" s="47"/>
      <c r="O28" s="47"/>
      <c r="P28" s="17"/>
      <c r="Q28" s="17"/>
      <c r="R28" s="17"/>
      <c r="S28"/>
      <c r="T28" s="996"/>
      <c r="U28" s="996"/>
      <c r="V28" s="996"/>
      <c r="W28" s="996"/>
      <c r="X28"/>
    </row>
    <row r="29" spans="2:259" x14ac:dyDescent="0.2">
      <c r="B29" s="978" t="str">
        <f>+'A) Resumen Ingresos y Egresos'!A11</f>
        <v>Sala Cuna Burbujitas de Mar Diurna</v>
      </c>
      <c r="C29" s="542" t="s">
        <v>396</v>
      </c>
      <c r="D29" s="115" t="s">
        <v>403</v>
      </c>
      <c r="E29" s="115" t="s">
        <v>394</v>
      </c>
      <c r="F29" s="117" t="s">
        <v>255</v>
      </c>
      <c r="G29" s="545">
        <f>+(1031951*2)+691176</f>
        <v>2755078</v>
      </c>
      <c r="H29" s="151">
        <f>+G29*(1+$H$7)</f>
        <v>2892831.9</v>
      </c>
      <c r="I29" s="523">
        <v>165270</v>
      </c>
      <c r="J29" s="116">
        <v>162394</v>
      </c>
      <c r="K29" s="119">
        <f>SUM(H29:J29)</f>
        <v>3220495.9</v>
      </c>
      <c r="L29" s="997">
        <f>SUM(K29:K43)</f>
        <v>105498248.90000001</v>
      </c>
      <c r="M29" s="1050" t="s">
        <v>433</v>
      </c>
      <c r="N29" s="27"/>
      <c r="O29" s="27"/>
      <c r="P29" s="17"/>
      <c r="Q29" s="17"/>
      <c r="R29" s="17"/>
      <c r="S29" s="28"/>
      <c r="T29" s="28"/>
      <c r="U29" s="29"/>
      <c r="V29" s="29"/>
    </row>
    <row r="30" spans="2:259" x14ac:dyDescent="0.2">
      <c r="B30" s="979"/>
      <c r="C30" s="543" t="s">
        <v>397</v>
      </c>
      <c r="D30" s="114" t="s">
        <v>404</v>
      </c>
      <c r="E30" s="114" t="s">
        <v>394</v>
      </c>
      <c r="F30" s="118" t="s">
        <v>255</v>
      </c>
      <c r="G30" s="546">
        <f>+(761546*12)+612288</f>
        <v>9750840</v>
      </c>
      <c r="H30" s="151">
        <f>+G30*(1+$H$7)</f>
        <v>10238382</v>
      </c>
      <c r="I30" s="524">
        <v>330500</v>
      </c>
      <c r="J30" s="101">
        <v>162394</v>
      </c>
      <c r="K30" s="120">
        <f>SUM(H30:J30)</f>
        <v>10731276</v>
      </c>
      <c r="L30" s="1012"/>
      <c r="M30"/>
      <c r="N30" s="27"/>
      <c r="O30" s="27"/>
      <c r="P30" s="27"/>
      <c r="Q30" s="27"/>
      <c r="R30" s="27"/>
      <c r="S30" s="28"/>
      <c r="T30" s="28"/>
      <c r="U30" s="29"/>
      <c r="V30" s="29"/>
    </row>
    <row r="31" spans="2:259" x14ac:dyDescent="0.2">
      <c r="B31" s="979"/>
      <c r="C31" s="543" t="s">
        <v>398</v>
      </c>
      <c r="D31" s="114" t="s">
        <v>405</v>
      </c>
      <c r="E31" s="114" t="s">
        <v>395</v>
      </c>
      <c r="F31" s="118" t="s">
        <v>255</v>
      </c>
      <c r="G31" s="546">
        <f>+(841409*12)+406356</f>
        <v>10503264</v>
      </c>
      <c r="H31" s="151">
        <f t="shared" ref="H31:H58" si="2">+G31*(1+$H$7)</f>
        <v>11028427.200000001</v>
      </c>
      <c r="I31" s="524">
        <v>165270</v>
      </c>
      <c r="J31" s="101">
        <v>166178</v>
      </c>
      <c r="K31" s="120">
        <f t="shared" ref="K31:K43" si="3">SUM(H31:J31)</f>
        <v>11359875.200000001</v>
      </c>
      <c r="L31" s="1012"/>
      <c r="M31"/>
      <c r="N31" s="27"/>
      <c r="O31" s="27"/>
      <c r="P31" s="48"/>
      <c r="Q31" s="48"/>
      <c r="R31" s="48"/>
      <c r="T31" s="85"/>
      <c r="U31" s="85"/>
      <c r="V31" s="85"/>
      <c r="W31" s="85"/>
    </row>
    <row r="32" spans="2:259" x14ac:dyDescent="0.2">
      <c r="B32" s="979"/>
      <c r="C32" s="543" t="s">
        <v>399</v>
      </c>
      <c r="D32" s="114" t="s">
        <v>406</v>
      </c>
      <c r="E32" s="114" t="s">
        <v>395</v>
      </c>
      <c r="F32" s="118" t="s">
        <v>255</v>
      </c>
      <c r="G32" s="546">
        <f>+(518851*12)+511404</f>
        <v>6737616</v>
      </c>
      <c r="H32" s="151">
        <f t="shared" si="2"/>
        <v>7074496.8000000007</v>
      </c>
      <c r="I32" s="524">
        <v>330500</v>
      </c>
      <c r="J32" s="101">
        <v>166178</v>
      </c>
      <c r="K32" s="120">
        <f t="shared" si="3"/>
        <v>7571174.8000000007</v>
      </c>
      <c r="L32" s="1012"/>
      <c r="M32"/>
      <c r="N32" s="27"/>
      <c r="O32" s="27"/>
      <c r="P32" s="17"/>
      <c r="Q32" s="17"/>
      <c r="R32" s="17"/>
      <c r="S32" s="28"/>
      <c r="T32" s="28"/>
      <c r="U32" s="29"/>
      <c r="V32" s="29"/>
    </row>
    <row r="33" spans="2:23" x14ac:dyDescent="0.2">
      <c r="B33" s="979"/>
      <c r="C33" s="543" t="s">
        <v>400</v>
      </c>
      <c r="D33" s="114" t="s">
        <v>407</v>
      </c>
      <c r="E33" s="114" t="s">
        <v>395</v>
      </c>
      <c r="F33" s="118" t="s">
        <v>255</v>
      </c>
      <c r="G33" s="546">
        <f>+(826010*12)+153720</f>
        <v>10065840</v>
      </c>
      <c r="H33" s="151">
        <f t="shared" si="2"/>
        <v>10569132</v>
      </c>
      <c r="I33" s="524">
        <v>165270</v>
      </c>
      <c r="J33" s="101">
        <v>166178</v>
      </c>
      <c r="K33" s="120">
        <f t="shared" si="3"/>
        <v>10900580</v>
      </c>
      <c r="L33" s="1012"/>
      <c r="M33"/>
      <c r="N33" s="27"/>
      <c r="O33" s="27"/>
      <c r="P33" s="17"/>
      <c r="Q33" s="17"/>
      <c r="R33" s="17"/>
      <c r="S33" s="28"/>
      <c r="T33" s="28"/>
      <c r="U33" s="29"/>
      <c r="V33" s="29"/>
    </row>
    <row r="34" spans="2:23" x14ac:dyDescent="0.2">
      <c r="B34" s="979"/>
      <c r="C34" s="543" t="s">
        <v>401</v>
      </c>
      <c r="D34" s="114" t="s">
        <v>408</v>
      </c>
      <c r="E34" s="114" t="s">
        <v>395</v>
      </c>
      <c r="F34" s="118" t="s">
        <v>255</v>
      </c>
      <c r="G34" s="546">
        <f>+(694921*12)+544512</f>
        <v>8883564</v>
      </c>
      <c r="H34" s="151">
        <f t="shared" si="2"/>
        <v>9327742.2000000011</v>
      </c>
      <c r="I34" s="524">
        <v>330500</v>
      </c>
      <c r="J34" s="101">
        <v>166178</v>
      </c>
      <c r="K34" s="120">
        <f t="shared" si="3"/>
        <v>9824420.2000000011</v>
      </c>
      <c r="L34" s="1012"/>
      <c r="M34"/>
      <c r="N34" s="27"/>
      <c r="O34" s="27"/>
      <c r="P34" s="17"/>
      <c r="Q34" s="17"/>
      <c r="R34" s="17"/>
      <c r="S34" s="28"/>
      <c r="T34" s="28"/>
      <c r="U34" s="29"/>
      <c r="V34" s="29"/>
    </row>
    <row r="35" spans="2:23" x14ac:dyDescent="0.2">
      <c r="B35" s="979"/>
      <c r="C35" s="543" t="s">
        <v>402</v>
      </c>
      <c r="D35" s="114" t="s">
        <v>409</v>
      </c>
      <c r="E35" s="114" t="s">
        <v>395</v>
      </c>
      <c r="F35" s="118" t="s">
        <v>255</v>
      </c>
      <c r="G35" s="546">
        <f>+(766250*12)+557820</f>
        <v>9752820</v>
      </c>
      <c r="H35" s="151">
        <f t="shared" si="2"/>
        <v>10240461</v>
      </c>
      <c r="I35" s="524">
        <v>330500</v>
      </c>
      <c r="J35" s="101">
        <v>166178</v>
      </c>
      <c r="K35" s="120">
        <f t="shared" si="3"/>
        <v>10737139</v>
      </c>
      <c r="L35" s="1012"/>
      <c r="M35"/>
      <c r="N35" s="27"/>
      <c r="O35" s="27"/>
      <c r="P35" s="17"/>
      <c r="Q35" s="17"/>
      <c r="R35" s="17"/>
      <c r="S35" s="28"/>
      <c r="T35" s="28"/>
      <c r="U35" s="29"/>
      <c r="V35" s="29"/>
    </row>
    <row r="36" spans="2:23" x14ac:dyDescent="0.2">
      <c r="B36" s="979"/>
      <c r="C36" s="543"/>
      <c r="D36" s="114"/>
      <c r="E36" s="114"/>
      <c r="F36" s="118"/>
      <c r="G36" s="546">
        <v>0</v>
      </c>
      <c r="H36" s="151">
        <f t="shared" si="2"/>
        <v>0</v>
      </c>
      <c r="I36" s="524">
        <v>0</v>
      </c>
      <c r="J36" s="101">
        <v>0</v>
      </c>
      <c r="K36" s="120">
        <f t="shared" si="3"/>
        <v>0</v>
      </c>
      <c r="L36" s="1012"/>
      <c r="M36"/>
      <c r="N36" s="27"/>
      <c r="O36" s="27"/>
      <c r="P36" s="17"/>
      <c r="Q36" s="17"/>
      <c r="R36" s="17"/>
      <c r="S36" s="28"/>
      <c r="T36" s="28"/>
      <c r="U36" s="29"/>
      <c r="V36" s="29"/>
    </row>
    <row r="37" spans="2:23" x14ac:dyDescent="0.2">
      <c r="B37" s="979"/>
      <c r="C37" s="543" t="s">
        <v>413</v>
      </c>
      <c r="D37" s="114" t="s">
        <v>418</v>
      </c>
      <c r="E37" s="114" t="s">
        <v>395</v>
      </c>
      <c r="F37" s="118" t="s">
        <v>411</v>
      </c>
      <c r="G37" s="546">
        <f>+(877339*12)+585828</f>
        <v>11113896</v>
      </c>
      <c r="H37" s="151">
        <f t="shared" si="2"/>
        <v>11669590.800000001</v>
      </c>
      <c r="I37" s="524">
        <v>165270</v>
      </c>
      <c r="J37" s="101">
        <v>166178</v>
      </c>
      <c r="K37" s="120">
        <f t="shared" si="3"/>
        <v>12001038.800000001</v>
      </c>
      <c r="L37" s="1012"/>
      <c r="M37"/>
      <c r="N37" s="27"/>
      <c r="O37" s="27"/>
      <c r="P37" s="17"/>
      <c r="Q37" s="17"/>
      <c r="R37" s="17"/>
      <c r="S37" s="28"/>
      <c r="T37" s="28"/>
      <c r="U37" s="29"/>
      <c r="V37" s="29"/>
    </row>
    <row r="38" spans="2:23" x14ac:dyDescent="0.2">
      <c r="B38" s="979"/>
      <c r="C38" s="543" t="s">
        <v>415</v>
      </c>
      <c r="D38" s="114" t="s">
        <v>420</v>
      </c>
      <c r="E38" s="114" t="s">
        <v>410</v>
      </c>
      <c r="F38" s="118" t="s">
        <v>411</v>
      </c>
      <c r="G38" s="546">
        <f>+(243773*12)+166104</f>
        <v>3091380</v>
      </c>
      <c r="H38" s="151">
        <f t="shared" si="2"/>
        <v>3245949</v>
      </c>
      <c r="I38" s="524">
        <v>165270</v>
      </c>
      <c r="J38" s="101">
        <v>162394</v>
      </c>
      <c r="K38" s="120">
        <f t="shared" si="3"/>
        <v>3573613</v>
      </c>
      <c r="L38" s="1012"/>
      <c r="M38"/>
      <c r="N38" s="27"/>
      <c r="O38" s="27"/>
      <c r="P38" s="17"/>
      <c r="Q38" s="17"/>
      <c r="R38" s="17"/>
      <c r="S38" s="28"/>
      <c r="T38" s="28"/>
      <c r="U38" s="29"/>
      <c r="V38" s="29"/>
    </row>
    <row r="39" spans="2:23" x14ac:dyDescent="0.2">
      <c r="B39" s="979"/>
      <c r="C39" s="543"/>
      <c r="D39" s="114"/>
      <c r="E39" s="114"/>
      <c r="F39" s="118"/>
      <c r="G39" s="546">
        <v>0</v>
      </c>
      <c r="H39" s="151">
        <f t="shared" si="2"/>
        <v>0</v>
      </c>
      <c r="I39" s="524">
        <v>0</v>
      </c>
      <c r="J39" s="101">
        <v>0</v>
      </c>
      <c r="K39" s="120">
        <f t="shared" si="3"/>
        <v>0</v>
      </c>
      <c r="L39" s="1012"/>
      <c r="M39"/>
      <c r="N39" s="27"/>
      <c r="O39" s="27"/>
      <c r="P39" s="17"/>
      <c r="Q39" s="17"/>
      <c r="R39" s="17"/>
      <c r="S39" s="28"/>
      <c r="T39" s="28"/>
      <c r="U39" s="29"/>
      <c r="V39" s="29"/>
    </row>
    <row r="40" spans="2:23" x14ac:dyDescent="0.2">
      <c r="B40" s="979"/>
      <c r="C40" s="543"/>
      <c r="D40" s="114"/>
      <c r="E40" s="114"/>
      <c r="F40" s="118"/>
      <c r="G40" s="546">
        <v>0</v>
      </c>
      <c r="H40" s="151">
        <f t="shared" si="2"/>
        <v>0</v>
      </c>
      <c r="I40" s="524">
        <v>0</v>
      </c>
      <c r="J40" s="101">
        <v>0</v>
      </c>
      <c r="K40" s="120">
        <f t="shared" si="3"/>
        <v>0</v>
      </c>
      <c r="L40" s="1012"/>
      <c r="M40"/>
      <c r="N40" s="27"/>
      <c r="O40" s="27"/>
      <c r="P40" s="17"/>
      <c r="Q40" s="17"/>
      <c r="R40" s="17"/>
      <c r="S40" s="28"/>
      <c r="T40" s="28"/>
      <c r="U40" s="29"/>
      <c r="V40" s="29"/>
    </row>
    <row r="41" spans="2:23" x14ac:dyDescent="0.2">
      <c r="B41" s="979"/>
      <c r="C41" s="543" t="s">
        <v>416</v>
      </c>
      <c r="D41" s="114" t="s">
        <v>421</v>
      </c>
      <c r="E41" s="114" t="s">
        <v>394</v>
      </c>
      <c r="F41" s="118" t="s">
        <v>412</v>
      </c>
      <c r="G41" s="546">
        <f>+(1031954*12)+691176</f>
        <v>13074624</v>
      </c>
      <c r="H41" s="151">
        <f t="shared" si="2"/>
        <v>13728355.200000001</v>
      </c>
      <c r="I41" s="524">
        <v>165270</v>
      </c>
      <c r="J41" s="101">
        <v>162394</v>
      </c>
      <c r="K41" s="120">
        <f t="shared" si="3"/>
        <v>14056019.200000001</v>
      </c>
      <c r="L41" s="1012"/>
      <c r="M41"/>
      <c r="N41" s="27"/>
      <c r="O41" s="27"/>
      <c r="P41" s="17"/>
      <c r="Q41" s="17"/>
      <c r="R41" s="17"/>
      <c r="S41" s="28"/>
      <c r="T41" s="28"/>
      <c r="U41" s="29"/>
      <c r="V41" s="29"/>
    </row>
    <row r="42" spans="2:23" x14ac:dyDescent="0.2">
      <c r="B42" s="979"/>
      <c r="C42" s="543" t="s">
        <v>417</v>
      </c>
      <c r="D42" s="114" t="s">
        <v>422</v>
      </c>
      <c r="E42" s="114" t="s">
        <v>395</v>
      </c>
      <c r="F42" s="118" t="s">
        <v>412</v>
      </c>
      <c r="G42" s="546">
        <f>+(841409*12)+561348</f>
        <v>10658256</v>
      </c>
      <c r="H42" s="151">
        <f t="shared" si="2"/>
        <v>11191168.800000001</v>
      </c>
      <c r="I42" s="524">
        <v>165270</v>
      </c>
      <c r="J42" s="101">
        <v>166178</v>
      </c>
      <c r="K42" s="120">
        <f t="shared" si="3"/>
        <v>11522616.800000001</v>
      </c>
      <c r="L42" s="1012"/>
      <c r="M42"/>
      <c r="N42" s="27"/>
      <c r="O42" s="27"/>
      <c r="P42" s="17"/>
      <c r="Q42" s="17"/>
      <c r="R42" s="17"/>
      <c r="S42" s="28"/>
      <c r="T42" s="28"/>
      <c r="U42" s="29"/>
      <c r="V42" s="29"/>
    </row>
    <row r="43" spans="2:23" ht="13.5" thickBot="1" x14ac:dyDescent="0.25">
      <c r="B43" s="979"/>
      <c r="C43" s="70"/>
      <c r="D43" s="537"/>
      <c r="E43" s="537"/>
      <c r="F43" s="538"/>
      <c r="G43" s="549">
        <v>0</v>
      </c>
      <c r="H43" s="553">
        <f t="shared" si="2"/>
        <v>0</v>
      </c>
      <c r="I43" s="550">
        <v>0</v>
      </c>
      <c r="J43" s="540">
        <v>0</v>
      </c>
      <c r="K43" s="539">
        <f t="shared" si="3"/>
        <v>0</v>
      </c>
      <c r="L43" s="981"/>
      <c r="M43"/>
      <c r="N43" s="27"/>
      <c r="O43" s="27"/>
      <c r="P43" s="17"/>
      <c r="Q43" s="17"/>
      <c r="R43" s="17"/>
      <c r="S43" s="28"/>
      <c r="T43" s="28"/>
      <c r="U43" s="29"/>
      <c r="V43" s="29"/>
    </row>
    <row r="44" spans="2:23" x14ac:dyDescent="0.2">
      <c r="B44" s="978" t="str">
        <f>+'A) Resumen Ingresos y Egresos'!A12</f>
        <v>Sala Cuna Burbujitas de Mar Nocturna</v>
      </c>
      <c r="C44" s="542" t="s">
        <v>390</v>
      </c>
      <c r="D44" s="115" t="s">
        <v>390</v>
      </c>
      <c r="E44" s="115" t="s">
        <v>394</v>
      </c>
      <c r="F44" s="532" t="s">
        <v>255</v>
      </c>
      <c r="G44" s="545">
        <f>+(1037695*12)+760068</f>
        <v>13212408</v>
      </c>
      <c r="H44" s="551">
        <f t="shared" si="2"/>
        <v>13873028.4</v>
      </c>
      <c r="I44" s="523">
        <v>165270</v>
      </c>
      <c r="J44" s="533">
        <v>162394</v>
      </c>
      <c r="K44" s="119">
        <f>SUM(H44:J44)</f>
        <v>14200692.4</v>
      </c>
      <c r="L44" s="997">
        <f>SUM(K44:K58)</f>
        <v>51133613.799999997</v>
      </c>
      <c r="M44"/>
      <c r="N44" s="27"/>
      <c r="O44" s="27"/>
      <c r="P44" s="17"/>
      <c r="Q44" s="17"/>
      <c r="R44" s="17"/>
      <c r="S44" s="28"/>
      <c r="T44" s="28"/>
      <c r="U44" s="29"/>
      <c r="V44" s="29"/>
    </row>
    <row r="45" spans="2:23" ht="12.75" customHeight="1" x14ac:dyDescent="0.2">
      <c r="B45" s="979"/>
      <c r="C45" s="543" t="s">
        <v>391</v>
      </c>
      <c r="D45" s="114" t="s">
        <v>391</v>
      </c>
      <c r="E45" s="114" t="s">
        <v>394</v>
      </c>
      <c r="F45" s="535" t="s">
        <v>255</v>
      </c>
      <c r="G45" s="546">
        <f>+(872168*12)+584964</f>
        <v>11050980</v>
      </c>
      <c r="H45" s="151">
        <f t="shared" si="2"/>
        <v>11603529</v>
      </c>
      <c r="I45" s="524">
        <v>165270</v>
      </c>
      <c r="J45" s="536">
        <v>162394</v>
      </c>
      <c r="K45" s="120">
        <f>SUM(H45:J45)</f>
        <v>11931193</v>
      </c>
      <c r="L45" s="981"/>
      <c r="M45"/>
      <c r="N45" s="27"/>
      <c r="O45" s="27"/>
      <c r="P45" s="27"/>
      <c r="Q45" s="27"/>
      <c r="R45" s="27"/>
      <c r="S45" s="28"/>
      <c r="T45" s="28"/>
      <c r="U45" s="29"/>
      <c r="V45" s="29"/>
    </row>
    <row r="46" spans="2:23" ht="12.75" customHeight="1" x14ac:dyDescent="0.2">
      <c r="B46" s="979"/>
      <c r="C46" s="543" t="s">
        <v>393</v>
      </c>
      <c r="D46" s="114" t="s">
        <v>393</v>
      </c>
      <c r="E46" s="114" t="s">
        <v>394</v>
      </c>
      <c r="F46" s="535" t="s">
        <v>255</v>
      </c>
      <c r="G46" s="546">
        <f>+(988957*12)+722268</f>
        <v>12589752</v>
      </c>
      <c r="H46" s="151">
        <f t="shared" si="2"/>
        <v>13219239.600000001</v>
      </c>
      <c r="I46" s="524">
        <v>165270</v>
      </c>
      <c r="J46" s="536">
        <v>162394</v>
      </c>
      <c r="K46" s="120">
        <f t="shared" ref="K46:K58" si="4">SUM(H46:J46)</f>
        <v>13546903.600000001</v>
      </c>
      <c r="L46" s="981"/>
      <c r="M46"/>
      <c r="N46" s="27"/>
      <c r="O46" s="27"/>
      <c r="P46" s="48"/>
      <c r="Q46" s="48"/>
      <c r="R46" s="48"/>
      <c r="T46" s="85"/>
      <c r="U46" s="85"/>
      <c r="V46" s="85"/>
      <c r="W46" s="85"/>
    </row>
    <row r="47" spans="2:23" ht="12.75" customHeight="1" x14ac:dyDescent="0.2">
      <c r="B47" s="979"/>
      <c r="C47" s="543" t="s">
        <v>392</v>
      </c>
      <c r="D47" s="534" t="s">
        <v>392</v>
      </c>
      <c r="E47" s="534" t="s">
        <v>394</v>
      </c>
      <c r="F47" s="535" t="s">
        <v>255</v>
      </c>
      <c r="G47" s="546">
        <f>+(831094*12)+624168</f>
        <v>10597296</v>
      </c>
      <c r="H47" s="151">
        <f t="shared" si="2"/>
        <v>11127160.800000001</v>
      </c>
      <c r="I47" s="524">
        <v>165270</v>
      </c>
      <c r="J47" s="536">
        <v>162394</v>
      </c>
      <c r="K47" s="120">
        <f t="shared" si="4"/>
        <v>11454824.800000001</v>
      </c>
      <c r="L47" s="981"/>
      <c r="M47"/>
      <c r="N47" s="27"/>
      <c r="O47" s="27"/>
      <c r="P47" s="17"/>
      <c r="Q47" s="17"/>
      <c r="R47" s="17"/>
      <c r="S47" s="28"/>
      <c r="T47" s="28"/>
      <c r="U47" s="29"/>
      <c r="V47" s="29"/>
    </row>
    <row r="48" spans="2:23" ht="12.75" customHeight="1" x14ac:dyDescent="0.2">
      <c r="B48" s="979"/>
      <c r="C48" s="543"/>
      <c r="D48" s="534"/>
      <c r="E48" s="534"/>
      <c r="F48" s="535"/>
      <c r="G48" s="546">
        <v>0</v>
      </c>
      <c r="H48" s="151">
        <f t="shared" si="2"/>
        <v>0</v>
      </c>
      <c r="I48" s="524">
        <v>0</v>
      </c>
      <c r="J48" s="536">
        <v>0</v>
      </c>
      <c r="K48" s="120">
        <f t="shared" si="4"/>
        <v>0</v>
      </c>
      <c r="L48" s="981"/>
      <c r="M48"/>
      <c r="N48" s="27"/>
      <c r="O48" s="27"/>
      <c r="P48" s="17"/>
      <c r="Q48" s="17"/>
      <c r="R48" s="17"/>
      <c r="S48" s="28"/>
      <c r="T48" s="28"/>
      <c r="U48" s="29"/>
      <c r="V48" s="29"/>
    </row>
    <row r="49" spans="2:22" ht="12.75" customHeight="1" x14ac:dyDescent="0.2">
      <c r="B49" s="979"/>
      <c r="C49" s="543"/>
      <c r="D49" s="534"/>
      <c r="E49" s="534"/>
      <c r="F49" s="535"/>
      <c r="G49" s="546">
        <v>0</v>
      </c>
      <c r="H49" s="151">
        <f t="shared" si="2"/>
        <v>0</v>
      </c>
      <c r="I49" s="524">
        <v>0</v>
      </c>
      <c r="J49" s="536">
        <v>0</v>
      </c>
      <c r="K49" s="120">
        <f t="shared" si="4"/>
        <v>0</v>
      </c>
      <c r="L49" s="981"/>
      <c r="M49"/>
      <c r="N49" s="27"/>
      <c r="O49" s="27"/>
      <c r="P49" s="17"/>
      <c r="Q49" s="17"/>
      <c r="R49" s="17"/>
      <c r="S49" s="28"/>
      <c r="T49" s="28"/>
      <c r="U49" s="29"/>
      <c r="V49" s="29"/>
    </row>
    <row r="50" spans="2:22" ht="12.75" customHeight="1" x14ac:dyDescent="0.2">
      <c r="B50" s="979"/>
      <c r="C50" s="543"/>
      <c r="D50" s="534"/>
      <c r="E50" s="534"/>
      <c r="F50" s="535"/>
      <c r="G50" s="546">
        <v>0</v>
      </c>
      <c r="H50" s="151">
        <f t="shared" si="2"/>
        <v>0</v>
      </c>
      <c r="I50" s="524">
        <v>0</v>
      </c>
      <c r="J50" s="536">
        <v>0</v>
      </c>
      <c r="K50" s="120">
        <f t="shared" si="4"/>
        <v>0</v>
      </c>
      <c r="L50" s="981"/>
      <c r="M50"/>
      <c r="N50" s="27"/>
      <c r="O50" s="27"/>
      <c r="P50" s="17"/>
      <c r="Q50" s="17"/>
      <c r="R50" s="17"/>
      <c r="S50" s="28"/>
      <c r="T50" s="28"/>
      <c r="U50" s="29"/>
      <c r="V50" s="29"/>
    </row>
    <row r="51" spans="2:22" ht="12.75" customHeight="1" x14ac:dyDescent="0.2">
      <c r="B51" s="979"/>
      <c r="C51" s="543"/>
      <c r="D51" s="534"/>
      <c r="E51" s="534"/>
      <c r="F51" s="535"/>
      <c r="G51" s="546">
        <v>0</v>
      </c>
      <c r="H51" s="151">
        <f t="shared" si="2"/>
        <v>0</v>
      </c>
      <c r="I51" s="524">
        <v>0</v>
      </c>
      <c r="J51" s="536">
        <v>0</v>
      </c>
      <c r="K51" s="120">
        <f t="shared" si="4"/>
        <v>0</v>
      </c>
      <c r="L51" s="981"/>
      <c r="M51"/>
      <c r="N51" s="27"/>
      <c r="O51" s="27"/>
      <c r="P51" s="17"/>
      <c r="Q51" s="17"/>
      <c r="R51" s="17"/>
      <c r="S51" s="28"/>
      <c r="T51" s="28"/>
      <c r="U51" s="29"/>
      <c r="V51" s="29"/>
    </row>
    <row r="52" spans="2:22" x14ac:dyDescent="0.2">
      <c r="B52" s="979"/>
      <c r="C52" s="543"/>
      <c r="D52" s="534"/>
      <c r="E52" s="534"/>
      <c r="F52" s="535"/>
      <c r="G52" s="546">
        <v>0</v>
      </c>
      <c r="H52" s="151">
        <f t="shared" si="2"/>
        <v>0</v>
      </c>
      <c r="I52" s="524">
        <v>0</v>
      </c>
      <c r="J52" s="536">
        <v>0</v>
      </c>
      <c r="K52" s="120">
        <f t="shared" si="4"/>
        <v>0</v>
      </c>
      <c r="L52" s="981"/>
      <c r="M52"/>
      <c r="N52" s="27"/>
      <c r="O52" s="27"/>
      <c r="P52" s="17"/>
      <c r="Q52" s="17"/>
      <c r="R52" s="17"/>
      <c r="S52" s="28"/>
      <c r="T52" s="28"/>
      <c r="U52" s="29"/>
      <c r="V52" s="29"/>
    </row>
    <row r="53" spans="2:22" ht="12.75" customHeight="1" x14ac:dyDescent="0.2">
      <c r="B53" s="979"/>
      <c r="C53" s="543"/>
      <c r="D53" s="534"/>
      <c r="E53" s="534"/>
      <c r="F53" s="535"/>
      <c r="G53" s="546">
        <v>0</v>
      </c>
      <c r="H53" s="151">
        <f t="shared" si="2"/>
        <v>0</v>
      </c>
      <c r="I53" s="524">
        <v>0</v>
      </c>
      <c r="J53" s="536">
        <v>0</v>
      </c>
      <c r="K53" s="120">
        <f t="shared" si="4"/>
        <v>0</v>
      </c>
      <c r="L53" s="981"/>
      <c r="M53"/>
      <c r="N53" s="27"/>
      <c r="O53" s="27"/>
      <c r="P53" s="17"/>
      <c r="Q53" s="17"/>
      <c r="R53" s="17"/>
      <c r="S53" s="28"/>
      <c r="T53" s="28"/>
      <c r="U53" s="29"/>
      <c r="V53" s="29"/>
    </row>
    <row r="54" spans="2:22" ht="12.75" customHeight="1" x14ac:dyDescent="0.2">
      <c r="B54" s="979"/>
      <c r="C54" s="543"/>
      <c r="D54" s="534"/>
      <c r="E54" s="534"/>
      <c r="F54" s="535"/>
      <c r="G54" s="546">
        <v>0</v>
      </c>
      <c r="H54" s="151">
        <f t="shared" si="2"/>
        <v>0</v>
      </c>
      <c r="I54" s="524">
        <v>0</v>
      </c>
      <c r="J54" s="536">
        <v>0</v>
      </c>
      <c r="K54" s="120">
        <f t="shared" si="4"/>
        <v>0</v>
      </c>
      <c r="L54" s="981"/>
      <c r="M54"/>
      <c r="N54" s="27"/>
      <c r="O54" s="27"/>
      <c r="P54" s="17"/>
      <c r="Q54" s="17"/>
      <c r="R54" s="17"/>
      <c r="S54" s="28"/>
      <c r="T54" s="28"/>
      <c r="U54" s="29"/>
      <c r="V54" s="29"/>
    </row>
    <row r="55" spans="2:22" ht="13.5" customHeight="1" x14ac:dyDescent="0.2">
      <c r="B55" s="979"/>
      <c r="C55" s="543"/>
      <c r="D55" s="534"/>
      <c r="E55" s="534"/>
      <c r="F55" s="535"/>
      <c r="G55" s="546">
        <v>0</v>
      </c>
      <c r="H55" s="151">
        <f t="shared" si="2"/>
        <v>0</v>
      </c>
      <c r="I55" s="524">
        <v>0</v>
      </c>
      <c r="J55" s="536">
        <v>0</v>
      </c>
      <c r="K55" s="120">
        <f t="shared" si="4"/>
        <v>0</v>
      </c>
      <c r="L55" s="981"/>
      <c r="M55"/>
      <c r="N55" s="27"/>
      <c r="O55" s="27"/>
      <c r="P55" s="17"/>
      <c r="Q55" s="17"/>
      <c r="R55" s="17"/>
      <c r="S55" s="28"/>
      <c r="T55" s="28"/>
      <c r="U55" s="29"/>
      <c r="V55" s="29"/>
    </row>
    <row r="56" spans="2:22" ht="12.75" customHeight="1" x14ac:dyDescent="0.2">
      <c r="B56" s="979"/>
      <c r="C56" s="543"/>
      <c r="D56" s="534"/>
      <c r="E56" s="534"/>
      <c r="F56" s="535"/>
      <c r="G56" s="546">
        <v>0</v>
      </c>
      <c r="H56" s="151">
        <f t="shared" si="2"/>
        <v>0</v>
      </c>
      <c r="I56" s="524">
        <v>0</v>
      </c>
      <c r="J56" s="536">
        <v>0</v>
      </c>
      <c r="K56" s="120">
        <f t="shared" si="4"/>
        <v>0</v>
      </c>
      <c r="L56" s="981"/>
      <c r="M56"/>
      <c r="N56" s="27"/>
      <c r="O56" s="27"/>
      <c r="P56" s="17"/>
      <c r="Q56" s="17"/>
      <c r="R56" s="17"/>
      <c r="S56" s="28"/>
      <c r="T56" s="28"/>
      <c r="U56" s="29"/>
      <c r="V56" s="29"/>
    </row>
    <row r="57" spans="2:22" ht="13.5" customHeight="1" x14ac:dyDescent="0.2">
      <c r="B57" s="979"/>
      <c r="C57" s="543"/>
      <c r="D57" s="534"/>
      <c r="E57" s="534"/>
      <c r="F57" s="535"/>
      <c r="G57" s="546">
        <v>0</v>
      </c>
      <c r="H57" s="151">
        <f t="shared" si="2"/>
        <v>0</v>
      </c>
      <c r="I57" s="524">
        <v>0</v>
      </c>
      <c r="J57" s="536">
        <v>0</v>
      </c>
      <c r="K57" s="120">
        <f t="shared" si="4"/>
        <v>0</v>
      </c>
      <c r="L57" s="981"/>
      <c r="M57"/>
      <c r="N57" s="27"/>
      <c r="O57" s="27"/>
      <c r="P57" s="17"/>
      <c r="Q57" s="17"/>
      <c r="R57" s="17"/>
      <c r="S57" s="28"/>
      <c r="T57" s="28"/>
      <c r="U57" s="29"/>
      <c r="V57" s="29"/>
    </row>
    <row r="58" spans="2:22" ht="13.5" customHeight="1" thickBot="1" x14ac:dyDescent="0.25">
      <c r="B58" s="980"/>
      <c r="C58" s="128"/>
      <c r="D58" s="218"/>
      <c r="E58" s="218"/>
      <c r="F58" s="219"/>
      <c r="G58" s="547">
        <v>0</v>
      </c>
      <c r="H58" s="153">
        <f t="shared" si="2"/>
        <v>0</v>
      </c>
      <c r="I58" s="525">
        <v>0</v>
      </c>
      <c r="J58" s="220">
        <v>0</v>
      </c>
      <c r="K58" s="221">
        <f t="shared" si="4"/>
        <v>0</v>
      </c>
      <c r="L58" s="982"/>
      <c r="M58"/>
      <c r="N58" s="27"/>
      <c r="O58" s="27"/>
      <c r="P58" s="17"/>
      <c r="Q58" s="17"/>
      <c r="R58" s="17"/>
      <c r="S58" s="28"/>
      <c r="T58" s="28"/>
      <c r="U58" s="29"/>
      <c r="V58" s="29"/>
    </row>
    <row r="59" spans="2:22" ht="16.5" thickBot="1" x14ac:dyDescent="0.25">
      <c r="B59" s="21"/>
      <c r="C59"/>
      <c r="D59"/>
      <c r="E59" s="34"/>
      <c r="F59" s="34"/>
      <c r="G59" s="34"/>
      <c r="H59" s="34"/>
      <c r="I59" s="34"/>
      <c r="J59" s="34"/>
      <c r="K59" s="541" t="s">
        <v>94</v>
      </c>
      <c r="L59" s="121">
        <f>SUM(L11:L58)</f>
        <v>170153566.30000001</v>
      </c>
      <c r="M59" s="22"/>
      <c r="N59" s="22"/>
      <c r="O59" s="22"/>
      <c r="P59" s="27"/>
      <c r="Q59" s="27"/>
      <c r="R59" s="27"/>
      <c r="S59" s="28"/>
      <c r="T59" s="28"/>
      <c r="U59" s="29"/>
      <c r="V59" s="29"/>
    </row>
    <row r="60" spans="2:22" x14ac:dyDescent="0.2">
      <c r="B60" s="21"/>
      <c r="C60"/>
      <c r="D60"/>
      <c r="E60" s="34"/>
      <c r="F60" s="34"/>
      <c r="G60" s="34"/>
      <c r="H60" s="34"/>
      <c r="I60" s="34"/>
      <c r="J60" s="34"/>
      <c r="K60" s="30"/>
      <c r="L60" s="30"/>
      <c r="M60" s="22"/>
      <c r="N60" s="22"/>
      <c r="O60" s="22"/>
      <c r="P60" s="27"/>
      <c r="Q60" s="27"/>
      <c r="R60" s="27"/>
      <c r="S60" s="28"/>
      <c r="T60" s="28"/>
      <c r="U60" s="29"/>
      <c r="V60" s="29"/>
    </row>
    <row r="61" spans="2:22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9"/>
      <c r="V61" s="29"/>
    </row>
    <row r="62" spans="2:22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9"/>
      <c r="V62" s="29"/>
    </row>
    <row r="63" spans="2:22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9"/>
      <c r="V63" s="29"/>
    </row>
    <row r="64" spans="2:22" x14ac:dyDescent="0.2">
      <c r="B64" s="21"/>
      <c r="C64" s="21"/>
      <c r="D64" s="21"/>
      <c r="E64" s="21"/>
      <c r="F64" s="21"/>
      <c r="G64" s="21"/>
      <c r="H64" s="21"/>
      <c r="I64" s="21"/>
      <c r="J64" s="21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9"/>
      <c r="V64" s="29"/>
    </row>
    <row r="65" spans="2:22" x14ac:dyDescent="0.2">
      <c r="B65" s="21"/>
      <c r="C65" s="21"/>
      <c r="D65" s="21"/>
      <c r="E65" s="21"/>
      <c r="F65" s="21"/>
      <c r="G65" s="21"/>
      <c r="H65" s="21"/>
      <c r="I65" s="21"/>
      <c r="J65" s="21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9"/>
      <c r="V65" s="29"/>
    </row>
    <row r="66" spans="2:22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9"/>
      <c r="V66" s="29"/>
    </row>
  </sheetData>
  <mergeCells count="33">
    <mergeCell ref="B44:B58"/>
    <mergeCell ref="L44:L58"/>
    <mergeCell ref="T28:W28"/>
    <mergeCell ref="B29:B43"/>
    <mergeCell ref="L29:L43"/>
    <mergeCell ref="G27:G28"/>
    <mergeCell ref="H27:H28"/>
    <mergeCell ref="I27:I28"/>
    <mergeCell ref="J27:J28"/>
    <mergeCell ref="B7:E7"/>
    <mergeCell ref="B9:B10"/>
    <mergeCell ref="C9:C10"/>
    <mergeCell ref="D9:D10"/>
    <mergeCell ref="E9:E10"/>
    <mergeCell ref="K9:K10"/>
    <mergeCell ref="L9:L10"/>
    <mergeCell ref="T10:W10"/>
    <mergeCell ref="B11:B18"/>
    <mergeCell ref="L11:L18"/>
    <mergeCell ref="F9:F10"/>
    <mergeCell ref="G9:G10"/>
    <mergeCell ref="H9:H10"/>
    <mergeCell ref="I9:I10"/>
    <mergeCell ref="J9:J10"/>
    <mergeCell ref="B19:B26"/>
    <mergeCell ref="L19:L26"/>
    <mergeCell ref="K27:K28"/>
    <mergeCell ref="L27:L28"/>
    <mergeCell ref="B27:B28"/>
    <mergeCell ref="C27:C28"/>
    <mergeCell ref="D27:D28"/>
    <mergeCell ref="E27:E28"/>
    <mergeCell ref="F27:F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S25"/>
  <sheetViews>
    <sheetView showGridLines="0" topLeftCell="C1" zoomScale="65" zoomScaleNormal="65" workbookViewId="0">
      <selection activeCell="K38" sqref="K38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33"/>
      <c r="C1" s="33"/>
      <c r="D1" s="33" t="s">
        <v>210</v>
      </c>
      <c r="E1" s="33"/>
      <c r="F1" s="33"/>
      <c r="G1" s="33"/>
      <c r="H1" s="33"/>
      <c r="I1" s="33"/>
      <c r="J1" s="33"/>
      <c r="K1" s="33"/>
      <c r="L1" s="33"/>
      <c r="M1" s="33"/>
      <c r="N1" s="33"/>
      <c r="P1" s="33"/>
    </row>
    <row r="2" spans="1:19" x14ac:dyDescent="0.2">
      <c r="B2" s="33"/>
      <c r="C2" s="33"/>
      <c r="D2" s="33" t="s">
        <v>202</v>
      </c>
      <c r="E2" s="33"/>
      <c r="F2" s="33"/>
      <c r="G2" s="33"/>
      <c r="H2" s="33"/>
      <c r="I2" s="33"/>
      <c r="J2" s="33"/>
      <c r="K2" s="33"/>
      <c r="L2" s="33"/>
      <c r="M2" s="33"/>
      <c r="N2" s="33"/>
      <c r="P2" s="33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6" t="s">
        <v>0</v>
      </c>
      <c r="D4" s="1022" t="str">
        <f>+'B) Reajuste Tarifas y Ocupación'!F5</f>
        <v>(DEPTO./DELEG.)</v>
      </c>
      <c r="E4" s="800"/>
      <c r="F4" s="1023"/>
      <c r="G4" s="33"/>
      <c r="H4" s="33"/>
      <c r="I4" s="33"/>
      <c r="J4" s="33"/>
      <c r="K4" s="33"/>
      <c r="L4" s="33"/>
      <c r="N4" s="33"/>
      <c r="P4" s="33"/>
    </row>
    <row r="5" spans="1:19" x14ac:dyDescent="0.2">
      <c r="A5" s="6"/>
      <c r="B5" s="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P5" s="33"/>
    </row>
    <row r="6" spans="1:19" x14ac:dyDescent="0.2">
      <c r="A6" s="6"/>
      <c r="B6" s="6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</row>
    <row r="7" spans="1:19" ht="12.75" customHeight="1" x14ac:dyDescent="0.2">
      <c r="A7" s="1026" t="s">
        <v>128</v>
      </c>
      <c r="B7" s="1027"/>
      <c r="C7" s="1027"/>
      <c r="D7" s="1027"/>
      <c r="E7" s="1027"/>
      <c r="F7" s="1027"/>
      <c r="G7" s="1027"/>
      <c r="H7" s="1027"/>
      <c r="I7" s="1027"/>
      <c r="J7" s="1027"/>
      <c r="K7" s="1027"/>
      <c r="L7" s="1027"/>
      <c r="M7" s="1027"/>
      <c r="N7" s="1027"/>
      <c r="O7" s="1028"/>
      <c r="P7" s="45"/>
    </row>
    <row r="8" spans="1:19" x14ac:dyDescent="0.2">
      <c r="A8" s="1029"/>
      <c r="B8" s="1030"/>
      <c r="C8" s="1030"/>
      <c r="D8" s="1030"/>
      <c r="E8" s="1030"/>
      <c r="F8" s="1030"/>
      <c r="G8" s="1030"/>
      <c r="H8" s="1030"/>
      <c r="I8" s="1030"/>
      <c r="J8" s="1030"/>
      <c r="K8" s="1030"/>
      <c r="L8" s="1030"/>
      <c r="M8" s="1030"/>
      <c r="N8" s="1030"/>
      <c r="O8" s="1031"/>
      <c r="P8" s="45"/>
    </row>
    <row r="9" spans="1:19" x14ac:dyDescent="0.2">
      <c r="A9" s="1032"/>
      <c r="B9" s="1033"/>
      <c r="C9" s="1033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4"/>
      <c r="P9" s="45"/>
    </row>
    <row r="10" spans="1:19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9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9" ht="15.75" x14ac:dyDescent="0.2">
      <c r="A12" s="807" t="s">
        <v>163</v>
      </c>
      <c r="B12" s="807"/>
      <c r="C12" s="807"/>
      <c r="D12" s="807"/>
      <c r="E12" s="84"/>
      <c r="F12" s="45"/>
      <c r="G12" s="45"/>
      <c r="H12" s="45"/>
      <c r="I12" s="44"/>
      <c r="J12" s="44"/>
      <c r="K12" s="45"/>
      <c r="L12" s="45"/>
      <c r="M12" s="45"/>
      <c r="N12" s="45"/>
      <c r="O12" s="45"/>
      <c r="P12" s="45"/>
    </row>
    <row r="13" spans="1:19" ht="13.5" thickBot="1" x14ac:dyDescent="0.25">
      <c r="A13" s="6"/>
      <c r="B13" s="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P13" s="33"/>
    </row>
    <row r="14" spans="1:19" ht="20.25" customHeight="1" x14ac:dyDescent="0.2">
      <c r="A14" s="1044" t="s">
        <v>135</v>
      </c>
      <c r="B14" s="1015" t="s">
        <v>5</v>
      </c>
      <c r="C14" s="1017" t="s">
        <v>265</v>
      </c>
      <c r="D14" s="1018"/>
      <c r="E14" s="1018"/>
      <c r="F14" s="1018"/>
      <c r="G14" s="1019"/>
      <c r="H14" s="1035" t="s">
        <v>144</v>
      </c>
      <c r="I14" s="1036"/>
      <c r="J14" s="1036"/>
      <c r="K14" s="1036"/>
      <c r="L14" s="1037"/>
      <c r="M14" s="1046" t="s">
        <v>110</v>
      </c>
      <c r="N14" s="1047"/>
      <c r="O14" s="1024" t="s">
        <v>111</v>
      </c>
      <c r="P14" s="1025"/>
      <c r="Q14" s="1020" t="s">
        <v>129</v>
      </c>
    </row>
    <row r="15" spans="1:19" ht="74.25" customHeight="1" thickBot="1" x14ac:dyDescent="0.25">
      <c r="A15" s="1045"/>
      <c r="B15" s="1016"/>
      <c r="C15" s="159" t="s">
        <v>86</v>
      </c>
      <c r="D15" s="160" t="s">
        <v>138</v>
      </c>
      <c r="E15" s="160" t="s">
        <v>139</v>
      </c>
      <c r="F15" s="160" t="s">
        <v>87</v>
      </c>
      <c r="G15" s="161" t="s">
        <v>88</v>
      </c>
      <c r="H15" s="93" t="s">
        <v>86</v>
      </c>
      <c r="I15" s="172" t="s">
        <v>138</v>
      </c>
      <c r="J15" s="172" t="s">
        <v>139</v>
      </c>
      <c r="K15" s="172" t="s">
        <v>87</v>
      </c>
      <c r="L15" s="173" t="s">
        <v>88</v>
      </c>
      <c r="M15" s="174" t="s">
        <v>72</v>
      </c>
      <c r="N15" s="129" t="s">
        <v>85</v>
      </c>
      <c r="O15" s="175" t="s">
        <v>72</v>
      </c>
      <c r="P15" s="129" t="s">
        <v>85</v>
      </c>
      <c r="Q15" s="1021"/>
    </row>
    <row r="16" spans="1:19" ht="12.75" customHeight="1" x14ac:dyDescent="0.2">
      <c r="A16" s="1041" t="str">
        <f>'B) Reajuste Tarifas y Ocupación'!A12</f>
        <v>Jardín Infantil Tortuguita Marina</v>
      </c>
      <c r="B16" s="176" t="str">
        <f>+'B) Reajuste Tarifas y Ocupación'!B12</f>
        <v>Media jornada</v>
      </c>
      <c r="C16" s="89">
        <f>+'B) Reajuste Tarifas y Ocupación'!M12</f>
        <v>93900</v>
      </c>
      <c r="D16" s="177">
        <f>+'B) Reajuste Tarifas y Ocupación'!N12</f>
        <v>126700</v>
      </c>
      <c r="E16" s="177">
        <f>+'B) Reajuste Tarifas y Ocupación'!O12</f>
        <v>131400</v>
      </c>
      <c r="F16" s="177">
        <f>+'B) Reajuste Tarifas y Ocupación'!P12</f>
        <v>128100</v>
      </c>
      <c r="G16" s="178">
        <f>+'B) Reajuste Tarifas y Ocupación'!Q12</f>
        <v>162800</v>
      </c>
      <c r="H16" s="94">
        <f>IFERROR(C16/$Q16,0)</f>
        <v>0.42488687782805429</v>
      </c>
      <c r="I16" s="179">
        <f>IFERROR(D16/$Q16,0)</f>
        <v>0.57330316742081444</v>
      </c>
      <c r="J16" s="179">
        <f>IFERROR(E16/$Q16,0)</f>
        <v>0.59457013574660633</v>
      </c>
      <c r="K16" s="179">
        <f>IFERROR(F16/$Q16,0)</f>
        <v>0.57963800904977381</v>
      </c>
      <c r="L16" s="180">
        <f t="shared" ref="L16" si="0">IFERROR(G16/$Q16,0)</f>
        <v>0.73665158371040729</v>
      </c>
      <c r="M16" s="181" t="s">
        <v>429</v>
      </c>
      <c r="N16" s="182">
        <v>221000</v>
      </c>
      <c r="O16" s="181" t="s">
        <v>428</v>
      </c>
      <c r="P16" s="182">
        <v>221000</v>
      </c>
      <c r="Q16" s="90">
        <f>AVERAGE(N16,P16)</f>
        <v>221000</v>
      </c>
      <c r="R16" s="17"/>
      <c r="S16" s="18"/>
    </row>
    <row r="17" spans="1:19" ht="13.5" thickBot="1" x14ac:dyDescent="0.25">
      <c r="A17" s="1042"/>
      <c r="B17" s="91" t="str">
        <f>+'B) Reajuste Tarifas y Ocupación'!B13</f>
        <v xml:space="preserve">Doble Jornada </v>
      </c>
      <c r="C17" s="377">
        <f>+'B) Reajuste Tarifas y Ocupación'!M13</f>
        <v>119300</v>
      </c>
      <c r="D17" s="378">
        <f>+'B) Reajuste Tarifas y Ocupación'!N13</f>
        <v>161000</v>
      </c>
      <c r="E17" s="378">
        <f>+'B) Reajuste Tarifas y Ocupación'!O13</f>
        <v>167000</v>
      </c>
      <c r="F17" s="378">
        <f>+'B) Reajuste Tarifas y Ocupación'!P13</f>
        <v>178900</v>
      </c>
      <c r="G17" s="379">
        <f>+'B) Reajuste Tarifas y Ocupación'!Q13</f>
        <v>238300</v>
      </c>
      <c r="H17" s="130">
        <f t="shared" ref="H17" si="1">IFERROR(C17/$Q17,0)</f>
        <v>0.31813333333333332</v>
      </c>
      <c r="I17" s="131">
        <f t="shared" ref="I17" si="2">IFERROR(D17/$Q17,0)</f>
        <v>0.42933333333333334</v>
      </c>
      <c r="J17" s="131">
        <f t="shared" ref="J17" si="3">IFERROR(E17/$Q17,0)</f>
        <v>0.44533333333333336</v>
      </c>
      <c r="K17" s="131">
        <f t="shared" ref="K17" si="4">IFERROR(F17/$Q17,0)</f>
        <v>0.47706666666666669</v>
      </c>
      <c r="L17" s="132">
        <f t="shared" ref="L17:L18" si="5">IFERROR(G17/$Q17,0)</f>
        <v>0.63546666666666662</v>
      </c>
      <c r="M17" s="128" t="s">
        <v>429</v>
      </c>
      <c r="N17" s="126">
        <v>350000</v>
      </c>
      <c r="O17" s="128" t="s">
        <v>428</v>
      </c>
      <c r="P17" s="126">
        <v>400000</v>
      </c>
      <c r="Q17" s="145">
        <f t="shared" ref="Q17" si="6">AVERAGE(N17,P17)</f>
        <v>375000</v>
      </c>
      <c r="R17" s="17"/>
      <c r="S17" s="18"/>
    </row>
    <row r="18" spans="1:19" x14ac:dyDescent="0.2">
      <c r="A18" s="1041" t="str">
        <f>'B) Reajuste Tarifas y Ocupación'!A14</f>
        <v>Jardín Infantil Burbujitas de Mar</v>
      </c>
      <c r="B18" s="176" t="str">
        <f>+'B) Reajuste Tarifas y Ocupación'!B14</f>
        <v>Media jornada</v>
      </c>
      <c r="C18" s="89">
        <f>+'B) Reajuste Tarifas y Ocupación'!M14</f>
        <v>129600</v>
      </c>
      <c r="D18" s="177">
        <f>+'B) Reajuste Tarifas y Ocupación'!N14</f>
        <v>175000</v>
      </c>
      <c r="E18" s="177">
        <f>+'B) Reajuste Tarifas y Ocupación'!O14</f>
        <v>181500</v>
      </c>
      <c r="F18" s="177">
        <f>+'B) Reajuste Tarifas y Ocupación'!P14</f>
        <v>162100</v>
      </c>
      <c r="G18" s="380">
        <f>+'B) Reajuste Tarifas y Ocupación'!Q14</f>
        <v>194400</v>
      </c>
      <c r="H18" s="375">
        <f>IFERROR(C18/$Q18,0)</f>
        <v>0.58642533936651586</v>
      </c>
      <c r="I18" s="179">
        <f>IFERROR(D18/$Q18,0)</f>
        <v>0.79185520361990946</v>
      </c>
      <c r="J18" s="179">
        <f>IFERROR(E18/$Q18,0)</f>
        <v>0.82126696832579182</v>
      </c>
      <c r="K18" s="179">
        <f>IFERROR(F18/$Q18,0)</f>
        <v>0.73348416289592755</v>
      </c>
      <c r="L18" s="180">
        <f t="shared" si="5"/>
        <v>0.87963800904977374</v>
      </c>
      <c r="M18" s="181" t="s">
        <v>429</v>
      </c>
      <c r="N18" s="182">
        <v>221000</v>
      </c>
      <c r="O18" s="181" t="s">
        <v>428</v>
      </c>
      <c r="P18" s="182">
        <v>221000</v>
      </c>
      <c r="Q18" s="90">
        <f>AVERAGE(N18,P18)</f>
        <v>221000</v>
      </c>
      <c r="R18" s="17"/>
      <c r="S18" s="18"/>
    </row>
    <row r="19" spans="1:19" ht="13.5" thickBot="1" x14ac:dyDescent="0.25">
      <c r="A19" s="1042"/>
      <c r="B19" s="91" t="str">
        <f>+'B) Reajuste Tarifas y Ocupación'!B15</f>
        <v>Jornada  Completa</v>
      </c>
      <c r="C19" s="364">
        <f>+'B) Reajuste Tarifas y Ocupación'!M15</f>
        <v>203300</v>
      </c>
      <c r="D19" s="351">
        <f>+'B) Reajuste Tarifas y Ocupación'!N15</f>
        <v>274500</v>
      </c>
      <c r="E19" s="351">
        <f>+'B) Reajuste Tarifas y Ocupación'!O15</f>
        <v>284600</v>
      </c>
      <c r="F19" s="351">
        <f>+'B) Reajuste Tarifas y Ocupación'!P15</f>
        <v>254200</v>
      </c>
      <c r="G19" s="365">
        <f>+'B) Reajuste Tarifas y Ocupación'!Q15</f>
        <v>305000</v>
      </c>
      <c r="H19" s="376">
        <f t="shared" ref="H19" si="7">IFERROR(C19/$Q19,0)</f>
        <v>0.54213333333333336</v>
      </c>
      <c r="I19" s="131">
        <f t="shared" ref="I19" si="8">IFERROR(D19/$Q19,0)</f>
        <v>0.73199999999999998</v>
      </c>
      <c r="J19" s="131">
        <f t="shared" ref="J19" si="9">IFERROR(E19/$Q19,0)</f>
        <v>0.75893333333333335</v>
      </c>
      <c r="K19" s="131">
        <f t="shared" ref="K19" si="10">IFERROR(F19/$Q19,0)</f>
        <v>0.67786666666666662</v>
      </c>
      <c r="L19" s="132">
        <f t="shared" ref="L19" si="11">IFERROR(G19/$Q19,0)</f>
        <v>0.81333333333333335</v>
      </c>
      <c r="M19" s="128" t="s">
        <v>429</v>
      </c>
      <c r="N19" s="126">
        <v>350000</v>
      </c>
      <c r="O19" s="128" t="s">
        <v>428</v>
      </c>
      <c r="P19" s="126">
        <v>400000</v>
      </c>
      <c r="Q19" s="145">
        <f t="shared" ref="Q19" si="12">AVERAGE(N19,P19)</f>
        <v>375000</v>
      </c>
      <c r="R19" s="17"/>
      <c r="S19" s="18"/>
    </row>
    <row r="20" spans="1:19" ht="12.75" customHeight="1" thickBot="1" x14ac:dyDescent="0.25"/>
    <row r="21" spans="1:19" ht="20.25" customHeight="1" x14ac:dyDescent="0.2">
      <c r="A21" s="1044" t="s">
        <v>136</v>
      </c>
      <c r="B21" s="1015" t="s">
        <v>5</v>
      </c>
      <c r="C21" s="1017" t="s">
        <v>265</v>
      </c>
      <c r="D21" s="1018"/>
      <c r="E21" s="1018"/>
      <c r="F21" s="1018"/>
      <c r="G21" s="1019"/>
      <c r="H21" s="1035" t="s">
        <v>144</v>
      </c>
      <c r="I21" s="1036"/>
      <c r="J21" s="1036"/>
      <c r="K21" s="1036"/>
      <c r="L21" s="1037"/>
      <c r="M21" s="1038" t="s">
        <v>110</v>
      </c>
      <c r="N21" s="1039"/>
      <c r="O21" s="1040" t="s">
        <v>111</v>
      </c>
      <c r="P21" s="1039"/>
      <c r="Q21" s="1013" t="s">
        <v>129</v>
      </c>
    </row>
    <row r="22" spans="1:19" ht="71.25" customHeight="1" thickBot="1" x14ac:dyDescent="0.25">
      <c r="A22" s="1045"/>
      <c r="B22" s="1016"/>
      <c r="C22" s="159" t="s">
        <v>86</v>
      </c>
      <c r="D22" s="160" t="s">
        <v>138</v>
      </c>
      <c r="E22" s="160" t="s">
        <v>139</v>
      </c>
      <c r="F22" s="160" t="s">
        <v>87</v>
      </c>
      <c r="G22" s="161" t="s">
        <v>88</v>
      </c>
      <c r="H22" s="96" t="s">
        <v>86</v>
      </c>
      <c r="I22" s="185" t="s">
        <v>138</v>
      </c>
      <c r="J22" s="172" t="s">
        <v>139</v>
      </c>
      <c r="K22" s="185" t="s">
        <v>87</v>
      </c>
      <c r="L22" s="186" t="s">
        <v>88</v>
      </c>
      <c r="M22" s="146" t="s">
        <v>72</v>
      </c>
      <c r="N22" s="113" t="s">
        <v>85</v>
      </c>
      <c r="O22" s="147" t="s">
        <v>72</v>
      </c>
      <c r="P22" s="113" t="s">
        <v>85</v>
      </c>
      <c r="Q22" s="1014"/>
    </row>
    <row r="23" spans="1:19" ht="12.75" customHeight="1" x14ac:dyDescent="0.2">
      <c r="A23" s="1043" t="str">
        <f>'B) Reajuste Tarifas y Ocupación'!A19</f>
        <v>Sala Cuna Burbujitas de Mar</v>
      </c>
      <c r="B23" s="187" t="str">
        <f>+'B) Reajuste Tarifas y Ocupación'!B19</f>
        <v>Jornada Completa Diurna</v>
      </c>
      <c r="C23" s="89">
        <f>+'B) Reajuste Tarifas y Ocupación'!M19</f>
        <v>397800</v>
      </c>
      <c r="D23" s="177">
        <f>+'B) Reajuste Tarifas y Ocupación'!N19</f>
        <v>537000</v>
      </c>
      <c r="E23" s="177">
        <f>+'B) Reajuste Tarifas y Ocupación'!O19</f>
        <v>556900</v>
      </c>
      <c r="F23" s="177">
        <f>+'B) Reajuste Tarifas y Ocupación'!P19</f>
        <v>497200</v>
      </c>
      <c r="G23" s="178">
        <f>+'B) Reajuste Tarifas y Ocupación'!Q19</f>
        <v>596600</v>
      </c>
      <c r="H23" s="94">
        <f>IFERROR(C23/$Q23,0)</f>
        <v>0.98832298136645957</v>
      </c>
      <c r="I23" s="188">
        <f t="shared" ref="I23:L23" si="13">IFERROR(D23/$Q23,0)</f>
        <v>1.3341614906832298</v>
      </c>
      <c r="J23" s="188">
        <f t="shared" si="13"/>
        <v>1.3836024844720496</v>
      </c>
      <c r="K23" s="188">
        <f t="shared" si="13"/>
        <v>1.2352795031055901</v>
      </c>
      <c r="L23" s="189">
        <f t="shared" si="13"/>
        <v>1.4822360248447204</v>
      </c>
      <c r="M23" s="190" t="s">
        <v>430</v>
      </c>
      <c r="N23" s="182">
        <v>405000</v>
      </c>
      <c r="O23" s="191" t="s">
        <v>431</v>
      </c>
      <c r="P23" s="182">
        <v>400000</v>
      </c>
      <c r="Q23" s="192">
        <f t="shared" ref="Q23:Q25" si="14">AVERAGE(N23,P23)</f>
        <v>402500</v>
      </c>
    </row>
    <row r="24" spans="1:19" ht="12.75" customHeight="1" x14ac:dyDescent="0.2">
      <c r="A24" s="1041"/>
      <c r="B24" s="176" t="str">
        <f>+'B) Reajuste Tarifas y Ocupación'!B20</f>
        <v>Nocturna</v>
      </c>
      <c r="C24" s="193">
        <f>+'B) Reajuste Tarifas y Ocupación'!M20</f>
        <v>320900</v>
      </c>
      <c r="D24" s="605"/>
      <c r="E24" s="605"/>
      <c r="F24" s="605"/>
      <c r="G24" s="606"/>
      <c r="H24" s="95">
        <f t="shared" ref="H24:H25" si="15">IFERROR(C24/$Q24,0)</f>
        <v>0</v>
      </c>
      <c r="I24" s="607"/>
      <c r="J24" s="607"/>
      <c r="K24" s="607"/>
      <c r="L24" s="608"/>
      <c r="M24" s="123"/>
      <c r="N24" s="124">
        <v>0</v>
      </c>
      <c r="O24" s="127"/>
      <c r="P24" s="124">
        <v>0</v>
      </c>
      <c r="Q24" s="194">
        <f t="shared" si="14"/>
        <v>0</v>
      </c>
    </row>
    <row r="25" spans="1:19" ht="12.75" customHeight="1" thickBot="1" x14ac:dyDescent="0.25">
      <c r="A25" s="1042"/>
      <c r="B25" s="91" t="str">
        <f>+'B) Reajuste Tarifas y Ocupación'!B21</f>
        <v>Media Jornada</v>
      </c>
      <c r="C25" s="183">
        <f>+'B) Reajuste Tarifas y Ocupación'!M21</f>
        <v>238900</v>
      </c>
      <c r="D25" s="184">
        <f>+'B) Reajuste Tarifas y Ocupación'!N21</f>
        <v>322600</v>
      </c>
      <c r="E25" s="184">
        <f>+'B) Reajuste Tarifas y Ocupación'!O21</f>
        <v>334500</v>
      </c>
      <c r="F25" s="184">
        <f>+'B) Reajuste Tarifas y Ocupación'!P21</f>
        <v>358100</v>
      </c>
      <c r="G25" s="92">
        <f>+'B) Reajuste Tarifas y Ocupación'!Q21</f>
        <v>477400</v>
      </c>
      <c r="H25" s="130">
        <f t="shared" si="15"/>
        <v>0.90150943396226413</v>
      </c>
      <c r="I25" s="131">
        <f t="shared" ref="I25" si="16">IFERROR(D25/$Q25,0)</f>
        <v>1.2173584905660377</v>
      </c>
      <c r="J25" s="131">
        <f t="shared" ref="J25" si="17">IFERROR(E25/$Q25,0)</f>
        <v>1.2622641509433963</v>
      </c>
      <c r="K25" s="131">
        <f t="shared" ref="K25" si="18">IFERROR(F25/$Q25,0)</f>
        <v>1.3513207547169812</v>
      </c>
      <c r="L25" s="122">
        <f t="shared" ref="L25" si="19">IFERROR(G25/$Q25,0)</f>
        <v>1.8015094339622642</v>
      </c>
      <c r="M25" s="125" t="s">
        <v>431</v>
      </c>
      <c r="N25" s="126">
        <v>280000</v>
      </c>
      <c r="O25" s="128" t="s">
        <v>431</v>
      </c>
      <c r="P25" s="126">
        <v>250000</v>
      </c>
      <c r="Q25" s="145">
        <f t="shared" si="14"/>
        <v>265000</v>
      </c>
    </row>
  </sheetData>
  <sheetProtection algorithmName="SHA-512" hashValue="3FhndKmHdm/ImziFK/J/A2JnKWAzfGrvWuf7tfOwpUYVGItrGAfW6yQ+3w6tNv/cKCtno/phGNgRuFUynCSQpw==" saltValue="Fq0xN1WYmqxBr2IGkTqu9A==" spinCount="100000" sheet="1" objects="1" scenarios="1"/>
  <mergeCells count="20">
    <mergeCell ref="A23:A25"/>
    <mergeCell ref="A21:A22"/>
    <mergeCell ref="A14:A15"/>
    <mergeCell ref="B14:B15"/>
    <mergeCell ref="M14:N14"/>
    <mergeCell ref="C14:G14"/>
    <mergeCell ref="H14:L14"/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Roxana Mery</cp:lastModifiedBy>
  <cp:lastPrinted>2017-09-14T16:34:08Z</cp:lastPrinted>
  <dcterms:created xsi:type="dcterms:W3CDTF">2017-05-11T00:45:10Z</dcterms:created>
  <dcterms:modified xsi:type="dcterms:W3CDTF">2024-12-12T15:24:35Z</dcterms:modified>
</cp:coreProperties>
</file>